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gnyte\Shared\EPR Folder\WY\SQT\"/>
    </mc:Choice>
  </mc:AlternateContent>
  <bookViews>
    <workbookView xWindow="0" yWindow="0" windowWidth="12250" windowHeight="5270" tabRatio="832" activeTab="5"/>
  </bookViews>
  <sheets>
    <sheet name="Project Assessment" sheetId="10" r:id="rId1"/>
    <sheet name="Catchment Assessment" sheetId="11" r:id="rId2"/>
    <sheet name="Quantification Tool" sheetId="2" r:id="rId3"/>
    <sheet name="Debit Tool" sheetId="15" r:id="rId4"/>
    <sheet name="Monitoring Data" sheetId="13" r:id="rId5"/>
    <sheet name="Data Summary" sheetId="14" r:id="rId6"/>
    <sheet name="Performance Standards" sheetId="1" r:id="rId7"/>
    <sheet name="Pull Down Notes" sheetId="3" state="hidden" r:id="rId8"/>
  </sheets>
  <definedNames>
    <definedName name="BedMaterial">'Pull Down Notes'!$B$13:$B$15</definedName>
    <definedName name="BedType">'Pull Down Notes'!#REF!</definedName>
    <definedName name="BEHI.NBS">'Pull Down Notes'!$B$18:$B$48</definedName>
    <definedName name="CatchmentAssessment">'Pull Down Notes'!$B$100:$B$102</definedName>
    <definedName name="CatchmentAssessmentQuat">'Pull Down Notes'!$B$104:$B$113</definedName>
    <definedName name="DrainageArea">'Pull Down Notes'!#REF!</definedName>
    <definedName name="Flow.Type">'Pull Down Notes'!#REF!</definedName>
    <definedName name="Level">'Pull Down Notes'!$B$50:$B$53</definedName>
    <definedName name="_xlnm.Print_Area" localSheetId="3">'Debit Tool'!$A$3:$E$26</definedName>
    <definedName name="_xlnm.Print_Area" localSheetId="4">'Monitoring Data'!$A$1:$K$471</definedName>
    <definedName name="_xlnm.Print_Area" localSheetId="2">'Quantification Tool'!$A$3:$K$129</definedName>
    <definedName name="ProgramGoals">'Pull Down Notes'!$B$78:$B$82</definedName>
    <definedName name="Region">'Pull Down Notes'!$B$60:$B$71</definedName>
    <definedName name="RiverBasins">'Pull Down Notes'!$B$84:$B$90</definedName>
    <definedName name="StreamType">'Pull Down Notes'!$B$1:$B$11</definedName>
    <definedName name="WaterTypes">'Pull Down Notes'!$B$92:$B$97</definedName>
    <definedName name="Yes.No">'Pull Down Notes'!$B$74:$B$75</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0" i="13" l="1"/>
  <c r="F397" i="13"/>
  <c r="F354" i="13"/>
  <c r="F311" i="13"/>
  <c r="F268" i="13"/>
  <c r="F225" i="13"/>
  <c r="F182" i="13"/>
  <c r="F139" i="13"/>
  <c r="F96" i="13"/>
  <c r="F54" i="13"/>
  <c r="F11" i="13"/>
  <c r="F97" i="2"/>
  <c r="F54" i="2"/>
  <c r="F470" i="13" l="1"/>
  <c r="F427" i="13"/>
  <c r="F384" i="13"/>
  <c r="F341" i="13"/>
  <c r="F298" i="13"/>
  <c r="F255" i="13"/>
  <c r="F212" i="13"/>
  <c r="F169" i="13"/>
  <c r="F84" i="13"/>
  <c r="F41" i="13"/>
  <c r="F126" i="13"/>
  <c r="F90" i="2" l="1"/>
  <c r="F47" i="2"/>
  <c r="F449" i="13"/>
  <c r="F448" i="13"/>
  <c r="F447" i="13"/>
  <c r="F446" i="13"/>
  <c r="F433" i="13"/>
  <c r="F406" i="13"/>
  <c r="F405" i="13"/>
  <c r="F404" i="13"/>
  <c r="F403" i="13"/>
  <c r="F390" i="13"/>
  <c r="F363" i="13"/>
  <c r="F362" i="13"/>
  <c r="F361" i="13"/>
  <c r="F360" i="13"/>
  <c r="F347" i="13"/>
  <c r="F320" i="13"/>
  <c r="F319" i="13"/>
  <c r="F318" i="13"/>
  <c r="F317" i="13"/>
  <c r="F304" i="13"/>
  <c r="F277" i="13"/>
  <c r="F276" i="13"/>
  <c r="F275" i="13"/>
  <c r="F218" i="13"/>
  <c r="F274" i="13"/>
  <c r="F261" i="13"/>
  <c r="F234" i="13"/>
  <c r="F233" i="13"/>
  <c r="F232" i="13"/>
  <c r="F231" i="13"/>
  <c r="F191" i="13"/>
  <c r="F190" i="13"/>
  <c r="F189" i="13"/>
  <c r="F188" i="13"/>
  <c r="F175" i="13"/>
  <c r="F148" i="13"/>
  <c r="F147" i="13"/>
  <c r="F146" i="13"/>
  <c r="F145" i="13"/>
  <c r="F132" i="13"/>
  <c r="F105" i="13"/>
  <c r="F104" i="13"/>
  <c r="F103" i="13"/>
  <c r="F102" i="13"/>
  <c r="F89" i="13"/>
  <c r="F63" i="13"/>
  <c r="F62" i="13"/>
  <c r="F61" i="13"/>
  <c r="F60" i="13"/>
  <c r="F47" i="13"/>
  <c r="F4" i="13"/>
  <c r="F20" i="13"/>
  <c r="F19" i="13"/>
  <c r="F18" i="13"/>
  <c r="F17" i="13"/>
  <c r="F106" i="2"/>
  <c r="F105" i="2"/>
  <c r="F63" i="2"/>
  <c r="F62" i="2"/>
  <c r="F61" i="2"/>
  <c r="F60" i="2"/>
  <c r="F127" i="2" l="1"/>
  <c r="F84" i="2"/>
  <c r="F77" i="2" l="1"/>
  <c r="A34" i="14" l="1"/>
  <c r="O23" i="14"/>
  <c r="N23" i="14"/>
  <c r="M23" i="14"/>
  <c r="L23" i="14"/>
  <c r="K23" i="14"/>
  <c r="I23" i="14"/>
  <c r="O4" i="14"/>
  <c r="N4" i="14"/>
  <c r="M4" i="14"/>
  <c r="L4" i="14"/>
  <c r="K4" i="14"/>
  <c r="J4" i="14"/>
  <c r="J23" i="14" s="1"/>
  <c r="I4" i="14"/>
  <c r="H4" i="14"/>
  <c r="H23" i="14" s="1"/>
  <c r="G4" i="14"/>
  <c r="G23" i="14" s="1"/>
  <c r="F4" i="14"/>
  <c r="F23" i="14" s="1"/>
  <c r="F469" i="13"/>
  <c r="F468" i="13"/>
  <c r="F467" i="13"/>
  <c r="F466" i="13"/>
  <c r="F465" i="13"/>
  <c r="G465" i="13" s="1"/>
  <c r="F464" i="13"/>
  <c r="G463" i="13" s="1"/>
  <c r="O15" i="14" s="1"/>
  <c r="F463" i="13"/>
  <c r="F462" i="13"/>
  <c r="G462" i="13" s="1"/>
  <c r="O14" i="14" s="1"/>
  <c r="F461" i="13"/>
  <c r="F460" i="13"/>
  <c r="F459" i="13"/>
  <c r="F458" i="13"/>
  <c r="F457" i="13"/>
  <c r="G457" i="13" s="1"/>
  <c r="O12" i="14" s="1"/>
  <c r="F456" i="13"/>
  <c r="F455" i="13"/>
  <c r="F454" i="13"/>
  <c r="F453" i="13"/>
  <c r="F452" i="13"/>
  <c r="F451" i="13"/>
  <c r="F450" i="13"/>
  <c r="F445" i="13"/>
  <c r="F444" i="13"/>
  <c r="F443" i="13"/>
  <c r="F442" i="13"/>
  <c r="F441" i="13"/>
  <c r="F439" i="13"/>
  <c r="F438" i="13"/>
  <c r="F437" i="13"/>
  <c r="F436" i="13"/>
  <c r="G436" i="13" s="1"/>
  <c r="O7" i="14" s="1"/>
  <c r="F435" i="13"/>
  <c r="F434" i="13"/>
  <c r="F432" i="13"/>
  <c r="G432" i="13" s="1"/>
  <c r="O5" i="14" s="1"/>
  <c r="F426" i="13"/>
  <c r="F425" i="13"/>
  <c r="F424" i="13"/>
  <c r="F423" i="13"/>
  <c r="F422" i="13"/>
  <c r="G422" i="13" s="1"/>
  <c r="N16" i="14" s="1"/>
  <c r="F421" i="13"/>
  <c r="G420" i="13" s="1"/>
  <c r="F420" i="13"/>
  <c r="F419" i="13"/>
  <c r="G419" i="13" s="1"/>
  <c r="N14" i="14" s="1"/>
  <c r="F418" i="13"/>
  <c r="F417" i="13"/>
  <c r="F416" i="13"/>
  <c r="F415" i="13"/>
  <c r="F414" i="13"/>
  <c r="G414" i="13" s="1"/>
  <c r="N12" i="14" s="1"/>
  <c r="F413" i="13"/>
  <c r="F412" i="13"/>
  <c r="F411" i="13"/>
  <c r="F410" i="13"/>
  <c r="F409" i="13"/>
  <c r="F408" i="13"/>
  <c r="F407" i="13"/>
  <c r="F402" i="13"/>
  <c r="F401" i="13"/>
  <c r="F400" i="13"/>
  <c r="F399" i="13"/>
  <c r="F398" i="13"/>
  <c r="F396" i="13"/>
  <c r="F395" i="13"/>
  <c r="F394" i="13"/>
  <c r="F393" i="13"/>
  <c r="G393" i="13" s="1"/>
  <c r="N7" i="14" s="1"/>
  <c r="F392" i="13"/>
  <c r="F391" i="13"/>
  <c r="G390" i="13" s="1"/>
  <c r="F389" i="13"/>
  <c r="G389" i="13" s="1"/>
  <c r="N5" i="14" s="1"/>
  <c r="F383" i="13"/>
  <c r="F382" i="13"/>
  <c r="F381" i="13"/>
  <c r="F380" i="13"/>
  <c r="F379" i="13"/>
  <c r="G379" i="13" s="1"/>
  <c r="F378" i="13"/>
  <c r="G377" i="13" s="1"/>
  <c r="M15" i="14" s="1"/>
  <c r="F377" i="13"/>
  <c r="F376" i="13"/>
  <c r="G376" i="13" s="1"/>
  <c r="M14" i="14" s="1"/>
  <c r="F375" i="13"/>
  <c r="F374" i="13"/>
  <c r="F373" i="13"/>
  <c r="F372" i="13"/>
  <c r="F371" i="13"/>
  <c r="G371" i="13" s="1"/>
  <c r="M12" i="14" s="1"/>
  <c r="F370" i="13"/>
  <c r="F369" i="13"/>
  <c r="F368" i="13"/>
  <c r="F367" i="13"/>
  <c r="F366" i="13"/>
  <c r="F365" i="13"/>
  <c r="F364" i="13"/>
  <c r="F359" i="13"/>
  <c r="F358" i="13"/>
  <c r="F357" i="13"/>
  <c r="F356" i="13"/>
  <c r="G355" i="13" s="1"/>
  <c r="M10" i="14" s="1"/>
  <c r="F355" i="13"/>
  <c r="F353" i="13"/>
  <c r="F352" i="13"/>
  <c r="F351" i="13"/>
  <c r="F350" i="13"/>
  <c r="G350" i="13" s="1"/>
  <c r="M7" i="14" s="1"/>
  <c r="F349" i="13"/>
  <c r="F348" i="13"/>
  <c r="F346" i="13"/>
  <c r="G346" i="13" s="1"/>
  <c r="M5" i="14" s="1"/>
  <c r="F340" i="13"/>
  <c r="F339" i="13"/>
  <c r="F338" i="13"/>
  <c r="F337" i="13"/>
  <c r="F336" i="13"/>
  <c r="G336" i="13" s="1"/>
  <c r="L16" i="14" s="1"/>
  <c r="F335" i="13"/>
  <c r="G334" i="13" s="1"/>
  <c r="F334" i="13"/>
  <c r="F333" i="13"/>
  <c r="G333" i="13" s="1"/>
  <c r="L14" i="14" s="1"/>
  <c r="F332" i="13"/>
  <c r="F331" i="13"/>
  <c r="F330" i="13"/>
  <c r="F329" i="13"/>
  <c r="F328" i="13"/>
  <c r="G328" i="13" s="1"/>
  <c r="L12" i="14" s="1"/>
  <c r="F327" i="13"/>
  <c r="F326" i="13"/>
  <c r="F325" i="13"/>
  <c r="F324" i="13"/>
  <c r="F323" i="13"/>
  <c r="F322" i="13"/>
  <c r="F321" i="13"/>
  <c r="F316" i="13"/>
  <c r="F315" i="13"/>
  <c r="F314" i="13"/>
  <c r="F313" i="13"/>
  <c r="G312" i="13" s="1"/>
  <c r="L10" i="14" s="1"/>
  <c r="F312" i="13"/>
  <c r="F310" i="13"/>
  <c r="F309" i="13"/>
  <c r="F308" i="13"/>
  <c r="F307" i="13"/>
  <c r="G307" i="13" s="1"/>
  <c r="L7" i="14" s="1"/>
  <c r="F306" i="13"/>
  <c r="F305" i="13"/>
  <c r="F303" i="13"/>
  <c r="G303" i="13" s="1"/>
  <c r="L5" i="14" s="1"/>
  <c r="F297" i="13"/>
  <c r="F296" i="13"/>
  <c r="F295" i="13"/>
  <c r="F294" i="13"/>
  <c r="F293" i="13"/>
  <c r="G293" i="13" s="1"/>
  <c r="K16" i="14" s="1"/>
  <c r="F292" i="13"/>
  <c r="G291" i="13" s="1"/>
  <c r="F291" i="13"/>
  <c r="F290" i="13"/>
  <c r="G290" i="13" s="1"/>
  <c r="K14" i="14" s="1"/>
  <c r="F289" i="13"/>
  <c r="F288" i="13"/>
  <c r="F287" i="13"/>
  <c r="F286" i="13"/>
  <c r="F285" i="13"/>
  <c r="G285" i="13" s="1"/>
  <c r="K12" i="14" s="1"/>
  <c r="F284" i="13"/>
  <c r="F283" i="13"/>
  <c r="F282" i="13"/>
  <c r="F281" i="13"/>
  <c r="F280" i="13"/>
  <c r="F279" i="13"/>
  <c r="F278" i="13"/>
  <c r="F273" i="13"/>
  <c r="F272" i="13"/>
  <c r="F271" i="13"/>
  <c r="F270" i="13"/>
  <c r="G269" i="13" s="1"/>
  <c r="K10" i="14" s="1"/>
  <c r="F269" i="13"/>
  <c r="F267" i="13"/>
  <c r="F266" i="13"/>
  <c r="F265" i="13"/>
  <c r="F264" i="13"/>
  <c r="G264" i="13" s="1"/>
  <c r="K7" i="14" s="1"/>
  <c r="F263" i="13"/>
  <c r="F262" i="13"/>
  <c r="F260" i="13"/>
  <c r="G260" i="13" s="1"/>
  <c r="K5" i="14" s="1"/>
  <c r="F254" i="13"/>
  <c r="F253" i="13"/>
  <c r="F252" i="13"/>
  <c r="F251" i="13"/>
  <c r="F250" i="13"/>
  <c r="G250" i="13" s="1"/>
  <c r="J16" i="14" s="1"/>
  <c r="F249" i="13"/>
  <c r="G248" i="13" s="1"/>
  <c r="J15" i="14" s="1"/>
  <c r="F248" i="13"/>
  <c r="F247" i="13"/>
  <c r="G247" i="13" s="1"/>
  <c r="J14" i="14" s="1"/>
  <c r="F246" i="13"/>
  <c r="F245" i="13"/>
  <c r="F244" i="13"/>
  <c r="F243" i="13"/>
  <c r="F242" i="13"/>
  <c r="G242" i="13" s="1"/>
  <c r="J12" i="14" s="1"/>
  <c r="F241" i="13"/>
  <c r="F240" i="13"/>
  <c r="F239" i="13"/>
  <c r="F238" i="13"/>
  <c r="F237" i="13"/>
  <c r="F236" i="13"/>
  <c r="F235" i="13"/>
  <c r="F230" i="13"/>
  <c r="F229" i="13"/>
  <c r="F228" i="13"/>
  <c r="F227" i="13"/>
  <c r="F226" i="13"/>
  <c r="F224" i="13"/>
  <c r="F223" i="13"/>
  <c r="F222" i="13"/>
  <c r="F221" i="13"/>
  <c r="G221" i="13" s="1"/>
  <c r="J7" i="14" s="1"/>
  <c r="F220" i="13"/>
  <c r="F219" i="13"/>
  <c r="F217" i="13"/>
  <c r="G217" i="13" s="1"/>
  <c r="J5" i="14" s="1"/>
  <c r="F211" i="13"/>
  <c r="F210" i="13"/>
  <c r="F209" i="13"/>
  <c r="F208" i="13"/>
  <c r="F207" i="13"/>
  <c r="G207" i="13" s="1"/>
  <c r="I16" i="14" s="1"/>
  <c r="F206" i="13"/>
  <c r="G205" i="13" s="1"/>
  <c r="I15" i="14" s="1"/>
  <c r="F205" i="13"/>
  <c r="F204" i="13"/>
  <c r="G204" i="13" s="1"/>
  <c r="I14" i="14" s="1"/>
  <c r="F203" i="13"/>
  <c r="F202" i="13"/>
  <c r="F201" i="13"/>
  <c r="F200" i="13"/>
  <c r="F199" i="13"/>
  <c r="G199" i="13" s="1"/>
  <c r="I12" i="14" s="1"/>
  <c r="F198" i="13"/>
  <c r="F197" i="13"/>
  <c r="F196" i="13"/>
  <c r="F195" i="13"/>
  <c r="F194" i="13"/>
  <c r="F193" i="13"/>
  <c r="F192" i="13"/>
  <c r="F187" i="13"/>
  <c r="F186" i="13"/>
  <c r="F185" i="13"/>
  <c r="F184" i="13"/>
  <c r="F183" i="13"/>
  <c r="F181" i="13"/>
  <c r="F180" i="13"/>
  <c r="F179" i="13"/>
  <c r="F178" i="13"/>
  <c r="G178" i="13" s="1"/>
  <c r="I7" i="14" s="1"/>
  <c r="F177" i="13"/>
  <c r="F176" i="13"/>
  <c r="F174" i="13"/>
  <c r="G174" i="13" s="1"/>
  <c r="I5" i="14" s="1"/>
  <c r="F168" i="13"/>
  <c r="F167" i="13"/>
  <c r="F166" i="13"/>
  <c r="F165" i="13"/>
  <c r="F164" i="13"/>
  <c r="G164" i="13" s="1"/>
  <c r="H16" i="14" s="1"/>
  <c r="F163" i="13"/>
  <c r="G162" i="13" s="1"/>
  <c r="F162" i="13"/>
  <c r="F161" i="13"/>
  <c r="G161" i="13" s="1"/>
  <c r="H14" i="14" s="1"/>
  <c r="F160" i="13"/>
  <c r="F159" i="13"/>
  <c r="F158" i="13"/>
  <c r="F157" i="13"/>
  <c r="F156" i="13"/>
  <c r="G156" i="13" s="1"/>
  <c r="H12" i="14" s="1"/>
  <c r="F155" i="13"/>
  <c r="F154" i="13"/>
  <c r="F153" i="13"/>
  <c r="F152" i="13"/>
  <c r="F151" i="13"/>
  <c r="F150" i="13"/>
  <c r="F149" i="13"/>
  <c r="F144" i="13"/>
  <c r="F143" i="13"/>
  <c r="F142" i="13"/>
  <c r="F141" i="13"/>
  <c r="F140" i="13"/>
  <c r="F138" i="13"/>
  <c r="F137" i="13"/>
  <c r="F136" i="13"/>
  <c r="F135" i="13"/>
  <c r="G135" i="13" s="1"/>
  <c r="H7" i="14" s="1"/>
  <c r="F134" i="13"/>
  <c r="F133" i="13"/>
  <c r="F131" i="13"/>
  <c r="G131" i="13" s="1"/>
  <c r="H5" i="14" s="1"/>
  <c r="F125" i="13"/>
  <c r="F124" i="13"/>
  <c r="F123" i="13"/>
  <c r="F122" i="13"/>
  <c r="F121" i="13"/>
  <c r="G121" i="13" s="1"/>
  <c r="G16" i="14" s="1"/>
  <c r="F120" i="13"/>
  <c r="G119" i="13" s="1"/>
  <c r="G15" i="14" s="1"/>
  <c r="F119" i="13"/>
  <c r="F118" i="13"/>
  <c r="G118" i="13" s="1"/>
  <c r="G14" i="14" s="1"/>
  <c r="F117" i="13"/>
  <c r="F116" i="13"/>
  <c r="F115" i="13"/>
  <c r="F114" i="13"/>
  <c r="F113" i="13"/>
  <c r="G113" i="13" s="1"/>
  <c r="G12" i="14" s="1"/>
  <c r="F112" i="13"/>
  <c r="F111" i="13"/>
  <c r="F110" i="13"/>
  <c r="F109" i="13"/>
  <c r="F108" i="13"/>
  <c r="F107" i="13"/>
  <c r="F106" i="13"/>
  <c r="F101" i="13"/>
  <c r="F100" i="13"/>
  <c r="F99" i="13"/>
  <c r="F98" i="13"/>
  <c r="F97" i="13"/>
  <c r="F95" i="13"/>
  <c r="F94" i="13"/>
  <c r="F93" i="13"/>
  <c r="F92" i="13"/>
  <c r="G92" i="13" s="1"/>
  <c r="G7" i="14" s="1"/>
  <c r="F91" i="13"/>
  <c r="F90" i="13"/>
  <c r="F88" i="13"/>
  <c r="G88" i="13" s="1"/>
  <c r="G5" i="14" s="1"/>
  <c r="F83" i="13"/>
  <c r="F82" i="13"/>
  <c r="F81" i="13"/>
  <c r="F80" i="13"/>
  <c r="F79" i="13"/>
  <c r="G79" i="13" s="1"/>
  <c r="F16" i="14" s="1"/>
  <c r="F78" i="13"/>
  <c r="G77" i="13" s="1"/>
  <c r="F77" i="13"/>
  <c r="F76" i="13"/>
  <c r="G76" i="13" s="1"/>
  <c r="F75" i="13"/>
  <c r="F74" i="13"/>
  <c r="F73" i="13"/>
  <c r="F72" i="13"/>
  <c r="F71" i="13"/>
  <c r="G71" i="13" s="1"/>
  <c r="F12" i="14" s="1"/>
  <c r="F70" i="13"/>
  <c r="F69" i="13"/>
  <c r="F68" i="13"/>
  <c r="F67" i="13"/>
  <c r="F66" i="13"/>
  <c r="F65" i="13"/>
  <c r="F64" i="13"/>
  <c r="F59" i="13"/>
  <c r="F58" i="13"/>
  <c r="F57" i="13"/>
  <c r="F56" i="13"/>
  <c r="F55" i="13"/>
  <c r="F53" i="13"/>
  <c r="F52" i="13"/>
  <c r="F51" i="13"/>
  <c r="F50" i="13"/>
  <c r="G50" i="13" s="1"/>
  <c r="F7" i="14" s="1"/>
  <c r="F49" i="13"/>
  <c r="F48" i="13"/>
  <c r="F46" i="13"/>
  <c r="G46" i="13" s="1"/>
  <c r="F5" i="14" s="1"/>
  <c r="F40" i="13"/>
  <c r="F39" i="13"/>
  <c r="F38" i="13"/>
  <c r="F37" i="13"/>
  <c r="F36" i="13"/>
  <c r="G36" i="13" s="1"/>
  <c r="F35" i="13"/>
  <c r="F34" i="13"/>
  <c r="F33" i="13"/>
  <c r="G33" i="13" s="1"/>
  <c r="E14" i="14" s="1"/>
  <c r="F32" i="13"/>
  <c r="F31" i="13"/>
  <c r="F30" i="13"/>
  <c r="F29" i="13"/>
  <c r="F28" i="13"/>
  <c r="G28" i="13" s="1"/>
  <c r="E12" i="14" s="1"/>
  <c r="F27" i="13"/>
  <c r="F26" i="13"/>
  <c r="F25" i="13"/>
  <c r="F24" i="13"/>
  <c r="F23" i="13"/>
  <c r="F22" i="13"/>
  <c r="F21" i="13"/>
  <c r="F16" i="13"/>
  <c r="F15" i="13"/>
  <c r="F14" i="13"/>
  <c r="F13" i="13"/>
  <c r="F12" i="13"/>
  <c r="F10" i="13"/>
  <c r="F9" i="13"/>
  <c r="F8" i="13"/>
  <c r="F7" i="13"/>
  <c r="G7" i="13" s="1"/>
  <c r="F6" i="13"/>
  <c r="F5" i="13"/>
  <c r="F3" i="13"/>
  <c r="G3" i="13" s="1"/>
  <c r="E5" i="14" s="1"/>
  <c r="E19" i="15"/>
  <c r="E18" i="15"/>
  <c r="A16" i="15"/>
  <c r="G11" i="15"/>
  <c r="G10" i="15"/>
  <c r="G9" i="15"/>
  <c r="G8" i="15"/>
  <c r="G7" i="15"/>
  <c r="S562" i="1"/>
  <c r="S495" i="1"/>
  <c r="AN315" i="1"/>
  <c r="AM315" i="1"/>
  <c r="AL315" i="1"/>
  <c r="AK315" i="1"/>
  <c r="AK235" i="1"/>
  <c r="H80" i="1"/>
  <c r="C80" i="1"/>
  <c r="H79" i="1"/>
  <c r="C79" i="1"/>
  <c r="H78" i="1"/>
  <c r="C78" i="1"/>
  <c r="F73" i="1"/>
  <c r="AF54" i="1"/>
  <c r="AE54" i="1"/>
  <c r="AD54" i="1"/>
  <c r="AC54" i="1"/>
  <c r="AB54" i="1"/>
  <c r="F51" i="1"/>
  <c r="AF18" i="1"/>
  <c r="AE18" i="1"/>
  <c r="AD18" i="1"/>
  <c r="AC18" i="1"/>
  <c r="AB18" i="1"/>
  <c r="E15" i="1"/>
  <c r="D15" i="1"/>
  <c r="C15" i="1"/>
  <c r="F126" i="2"/>
  <c r="F125" i="2"/>
  <c r="F124" i="2"/>
  <c r="F123" i="2"/>
  <c r="F122" i="2"/>
  <c r="G122" i="2" s="1"/>
  <c r="F121" i="2"/>
  <c r="G120" i="2" s="1"/>
  <c r="D38" i="2" s="1"/>
  <c r="F120" i="2"/>
  <c r="F119" i="2"/>
  <c r="G119" i="2" s="1"/>
  <c r="D37" i="2" s="1"/>
  <c r="F118" i="2"/>
  <c r="F117" i="2"/>
  <c r="F116" i="2"/>
  <c r="F115" i="2"/>
  <c r="F114" i="2"/>
  <c r="G114" i="2" s="1"/>
  <c r="F113" i="2"/>
  <c r="F112" i="2"/>
  <c r="F111" i="2"/>
  <c r="F110" i="2"/>
  <c r="F109" i="2"/>
  <c r="F108" i="2"/>
  <c r="F107" i="2"/>
  <c r="F104" i="2"/>
  <c r="F103" i="2"/>
  <c r="F102" i="2"/>
  <c r="F101" i="2"/>
  <c r="F100" i="2"/>
  <c r="F99" i="2"/>
  <c r="F98" i="2"/>
  <c r="F96" i="2"/>
  <c r="F95" i="2"/>
  <c r="F94" i="2"/>
  <c r="F93" i="2"/>
  <c r="D7" i="14" s="1"/>
  <c r="F92" i="2"/>
  <c r="F91" i="2"/>
  <c r="F89" i="2"/>
  <c r="G89" i="2" s="1"/>
  <c r="F83" i="2"/>
  <c r="F82" i="2"/>
  <c r="F81" i="2"/>
  <c r="F80" i="2"/>
  <c r="F79" i="2"/>
  <c r="G79" i="2" s="1"/>
  <c r="C16" i="14" s="1"/>
  <c r="F78" i="2"/>
  <c r="F76" i="2"/>
  <c r="G76" i="2" s="1"/>
  <c r="F75" i="2"/>
  <c r="F74" i="2"/>
  <c r="F73" i="2"/>
  <c r="F72" i="2"/>
  <c r="F71" i="2"/>
  <c r="G71" i="2" s="1"/>
  <c r="C12" i="14" s="1"/>
  <c r="F70" i="2"/>
  <c r="F69" i="2"/>
  <c r="F68" i="2"/>
  <c r="F67" i="2"/>
  <c r="F66" i="2"/>
  <c r="F65" i="2"/>
  <c r="F64" i="2"/>
  <c r="F59" i="2"/>
  <c r="F58" i="2"/>
  <c r="F57" i="2"/>
  <c r="F56" i="2"/>
  <c r="F55" i="2"/>
  <c r="F53" i="2"/>
  <c r="F52" i="2"/>
  <c r="F51" i="2"/>
  <c r="F50" i="2"/>
  <c r="G50" i="2" s="1"/>
  <c r="C30" i="2" s="1"/>
  <c r="F49" i="2"/>
  <c r="F48" i="2"/>
  <c r="F46" i="2"/>
  <c r="G46" i="2" s="1"/>
  <c r="F13" i="2"/>
  <c r="F12" i="2"/>
  <c r="G34" i="13" l="1"/>
  <c r="E15" i="14" s="1"/>
  <c r="G12" i="13"/>
  <c r="E10" i="14" s="1"/>
  <c r="G80" i="2"/>
  <c r="C40" i="2" s="1"/>
  <c r="G98" i="2"/>
  <c r="D33" i="2" s="1"/>
  <c r="G439" i="13"/>
  <c r="O9" i="14" s="1"/>
  <c r="G224" i="13"/>
  <c r="J9" i="14" s="1"/>
  <c r="G267" i="13"/>
  <c r="K9" i="14" s="1"/>
  <c r="G89" i="13"/>
  <c r="G6" i="14" s="1"/>
  <c r="G347" i="13"/>
  <c r="H346" i="13" s="1"/>
  <c r="G132" i="13"/>
  <c r="H6" i="14" s="1"/>
  <c r="F14" i="2"/>
  <c r="D5" i="14"/>
  <c r="D28" i="2"/>
  <c r="G265" i="13"/>
  <c r="H265" i="13" s="1"/>
  <c r="H334" i="13"/>
  <c r="I334" i="13" s="1"/>
  <c r="G179" i="13"/>
  <c r="I8" i="14" s="1"/>
  <c r="E7" i="14"/>
  <c r="G308" i="13"/>
  <c r="L8" i="14" s="1"/>
  <c r="H5" i="15"/>
  <c r="C5" i="14"/>
  <c r="C28" i="2"/>
  <c r="E20" i="15"/>
  <c r="G77" i="2"/>
  <c r="H77" i="2" s="1"/>
  <c r="C27" i="14" s="1"/>
  <c r="G37" i="13"/>
  <c r="G165" i="13"/>
  <c r="H17" i="14" s="1"/>
  <c r="G294" i="13"/>
  <c r="K17" i="14" s="1"/>
  <c r="G437" i="13"/>
  <c r="H437" i="13" s="1"/>
  <c r="C35" i="2"/>
  <c r="G53" i="2"/>
  <c r="C32" i="2" s="1"/>
  <c r="G96" i="2"/>
  <c r="D9" i="14" s="1"/>
  <c r="G95" i="13"/>
  <c r="G9" i="14" s="1"/>
  <c r="G339" i="13"/>
  <c r="L18" i="14" s="1"/>
  <c r="G82" i="13"/>
  <c r="F18" i="14" s="1"/>
  <c r="G125" i="2"/>
  <c r="D41" i="2" s="1"/>
  <c r="G51" i="13"/>
  <c r="H51" i="13" s="1"/>
  <c r="F25" i="14" s="1"/>
  <c r="G93" i="13"/>
  <c r="G8" i="14" s="1"/>
  <c r="G136" i="13"/>
  <c r="H136" i="13" s="1"/>
  <c r="G253" i="13"/>
  <c r="J18" i="14" s="1"/>
  <c r="G466" i="13"/>
  <c r="O17" i="14" s="1"/>
  <c r="G167" i="13"/>
  <c r="H18" i="14" s="1"/>
  <c r="D15" i="14"/>
  <c r="G138" i="13"/>
  <c r="H9" i="14" s="1"/>
  <c r="G382" i="13"/>
  <c r="M18" i="14" s="1"/>
  <c r="G423" i="13"/>
  <c r="G458" i="13"/>
  <c r="O13" i="14" s="1"/>
  <c r="G97" i="13"/>
  <c r="G10" i="14" s="1"/>
  <c r="G122" i="13"/>
  <c r="G140" i="13"/>
  <c r="H10" i="14" s="1"/>
  <c r="G82" i="2"/>
  <c r="C18" i="14" s="1"/>
  <c r="G175" i="13"/>
  <c r="H174" i="13" s="1"/>
  <c r="G218" i="13"/>
  <c r="J6" i="14" s="1"/>
  <c r="G261" i="13"/>
  <c r="K6" i="14" s="1"/>
  <c r="G304" i="13"/>
  <c r="L6" i="14" s="1"/>
  <c r="G353" i="13"/>
  <c r="M9" i="14" s="1"/>
  <c r="D16" i="14"/>
  <c r="D39" i="2"/>
  <c r="G441" i="13"/>
  <c r="O10" i="14" s="1"/>
  <c r="G47" i="2"/>
  <c r="C6" i="14" s="1"/>
  <c r="G90" i="2"/>
  <c r="D6" i="14" s="1"/>
  <c r="G15" i="13"/>
  <c r="E11" i="14" s="1"/>
  <c r="G425" i="13"/>
  <c r="N18" i="14" s="1"/>
  <c r="G444" i="13"/>
  <c r="O11" i="14" s="1"/>
  <c r="G55" i="2"/>
  <c r="C10" i="14" s="1"/>
  <c r="G72" i="2"/>
  <c r="C13" i="14" s="1"/>
  <c r="G53" i="13"/>
  <c r="F9" i="14" s="1"/>
  <c r="G124" i="13"/>
  <c r="G18" i="14" s="1"/>
  <c r="G396" i="13"/>
  <c r="N9" i="14" s="1"/>
  <c r="G468" i="13"/>
  <c r="O18" i="14" s="1"/>
  <c r="G123" i="2"/>
  <c r="D40" i="2" s="1"/>
  <c r="G55" i="13"/>
  <c r="F10" i="14" s="1"/>
  <c r="G72" i="13"/>
  <c r="F13" i="14" s="1"/>
  <c r="H119" i="13"/>
  <c r="I119" i="13" s="1"/>
  <c r="G380" i="13"/>
  <c r="M17" i="14" s="1"/>
  <c r="G115" i="2"/>
  <c r="D36" i="2" s="1"/>
  <c r="G200" i="13"/>
  <c r="I13" i="14" s="1"/>
  <c r="G372" i="13"/>
  <c r="M13" i="14" s="1"/>
  <c r="G8" i="13"/>
  <c r="E8" i="14" s="1"/>
  <c r="G186" i="13"/>
  <c r="I11" i="14" s="1"/>
  <c r="G310" i="13"/>
  <c r="L9" i="14" s="1"/>
  <c r="G358" i="13"/>
  <c r="M11" i="14" s="1"/>
  <c r="D12" i="14"/>
  <c r="D35" i="2"/>
  <c r="E16" i="14"/>
  <c r="H34" i="13"/>
  <c r="I34" i="13" s="1"/>
  <c r="M16" i="14"/>
  <c r="H377" i="13"/>
  <c r="M27" i="14" s="1"/>
  <c r="G4" i="13"/>
  <c r="E6" i="14" s="1"/>
  <c r="G229" i="13"/>
  <c r="J11" i="14" s="1"/>
  <c r="G51" i="2"/>
  <c r="C31" i="2" s="1"/>
  <c r="G114" i="13"/>
  <c r="G13" i="14" s="1"/>
  <c r="G183" i="13"/>
  <c r="I10" i="14" s="1"/>
  <c r="G47" i="13"/>
  <c r="F6" i="14" s="1"/>
  <c r="H291" i="13"/>
  <c r="K27" i="14" s="1"/>
  <c r="F14" i="14"/>
  <c r="G94" i="2"/>
  <c r="D8" i="14" s="1"/>
  <c r="G29" i="13"/>
  <c r="E13" i="14" s="1"/>
  <c r="G181" i="13"/>
  <c r="I9" i="14" s="1"/>
  <c r="G208" i="13"/>
  <c r="G226" i="13"/>
  <c r="J10" i="14" s="1"/>
  <c r="G243" i="13"/>
  <c r="J13" i="14" s="1"/>
  <c r="H308" i="13"/>
  <c r="G58" i="13"/>
  <c r="F11" i="14" s="1"/>
  <c r="G101" i="2"/>
  <c r="D34" i="2" s="1"/>
  <c r="G433" i="13"/>
  <c r="O6" i="14" s="1"/>
  <c r="G351" i="13"/>
  <c r="M8" i="14" s="1"/>
  <c r="G10" i="13"/>
  <c r="E9" i="14" s="1"/>
  <c r="G286" i="13"/>
  <c r="K13" i="14" s="1"/>
  <c r="G398" i="13"/>
  <c r="N10" i="14" s="1"/>
  <c r="G415" i="13"/>
  <c r="N13" i="14" s="1"/>
  <c r="H389" i="13"/>
  <c r="N6" i="14"/>
  <c r="O16" i="14"/>
  <c r="H463" i="13"/>
  <c r="C14" i="14"/>
  <c r="C37" i="2"/>
  <c r="G93" i="2"/>
  <c r="D14" i="14"/>
  <c r="K8" i="14"/>
  <c r="G58" i="2"/>
  <c r="G100" i="13"/>
  <c r="G11" i="14" s="1"/>
  <c r="G143" i="13"/>
  <c r="H11" i="14" s="1"/>
  <c r="C39" i="2"/>
  <c r="H205" i="13"/>
  <c r="G210" i="13"/>
  <c r="I18" i="14" s="1"/>
  <c r="G337" i="13"/>
  <c r="M6" i="14"/>
  <c r="H162" i="13"/>
  <c r="H15" i="14"/>
  <c r="G39" i="13"/>
  <c r="E18" i="14" s="1"/>
  <c r="G157" i="13"/>
  <c r="H13" i="14" s="1"/>
  <c r="H248" i="13"/>
  <c r="G272" i="13"/>
  <c r="K11" i="14" s="1"/>
  <c r="G329" i="13"/>
  <c r="L13" i="14" s="1"/>
  <c r="C7" i="14"/>
  <c r="K15" i="14"/>
  <c r="H77" i="13"/>
  <c r="F15" i="14"/>
  <c r="L15" i="14"/>
  <c r="H120" i="2"/>
  <c r="G315" i="13"/>
  <c r="L11" i="14" s="1"/>
  <c r="G401" i="13"/>
  <c r="N11" i="14" s="1"/>
  <c r="D10" i="14"/>
  <c r="G251" i="13"/>
  <c r="G296" i="13"/>
  <c r="K18" i="14" s="1"/>
  <c r="G394" i="13"/>
  <c r="G80" i="13"/>
  <c r="G222" i="13"/>
  <c r="H420" i="13"/>
  <c r="N15" i="14"/>
  <c r="H88" i="13" l="1"/>
  <c r="H179" i="13"/>
  <c r="H131" i="13"/>
  <c r="H24" i="14" s="1"/>
  <c r="L27" i="14"/>
  <c r="O8" i="14"/>
  <c r="C33" i="2"/>
  <c r="D32" i="2"/>
  <c r="C9" i="14"/>
  <c r="H260" i="13"/>
  <c r="I260" i="13" s="1"/>
  <c r="D29" i="2"/>
  <c r="H122" i="13"/>
  <c r="I122" i="13" s="1"/>
  <c r="H423" i="13"/>
  <c r="N28" i="14" s="1"/>
  <c r="H37" i="13"/>
  <c r="E28" i="14" s="1"/>
  <c r="N17" i="14"/>
  <c r="C15" i="14"/>
  <c r="C38" i="2"/>
  <c r="D11" i="14"/>
  <c r="H217" i="13"/>
  <c r="J24" i="14" s="1"/>
  <c r="H303" i="13"/>
  <c r="I303" i="13" s="1"/>
  <c r="E17" i="14"/>
  <c r="I291" i="13"/>
  <c r="E27" i="14"/>
  <c r="H466" i="13"/>
  <c r="I466" i="13" s="1"/>
  <c r="F8" i="14"/>
  <c r="H51" i="2"/>
  <c r="C25" i="14" s="1"/>
  <c r="I51" i="13"/>
  <c r="H8" i="13"/>
  <c r="E25" i="14" s="1"/>
  <c r="D31" i="2"/>
  <c r="H8" i="14"/>
  <c r="H93" i="13"/>
  <c r="I93" i="13" s="1"/>
  <c r="D13" i="14"/>
  <c r="H351" i="13"/>
  <c r="I351" i="13" s="1"/>
  <c r="H439" i="13"/>
  <c r="G17" i="14"/>
  <c r="H165" i="13"/>
  <c r="H28" i="14" s="1"/>
  <c r="H3" i="13"/>
  <c r="E24" i="14" s="1"/>
  <c r="C8" i="14"/>
  <c r="D18" i="14"/>
  <c r="C41" i="2"/>
  <c r="H123" i="2"/>
  <c r="D28" i="14" s="1"/>
  <c r="H380" i="13"/>
  <c r="I380" i="13" s="1"/>
  <c r="H94" i="2"/>
  <c r="I30" i="2" s="1"/>
  <c r="H353" i="13"/>
  <c r="I6" i="14"/>
  <c r="D17" i="14"/>
  <c r="H208" i="13"/>
  <c r="I208" i="13" s="1"/>
  <c r="H46" i="13"/>
  <c r="I46" i="13" s="1"/>
  <c r="H80" i="2"/>
  <c r="H36" i="2" s="1"/>
  <c r="H11" i="15" s="1"/>
  <c r="C36" i="2"/>
  <c r="G27" i="14"/>
  <c r="H432" i="13"/>
  <c r="O24" i="14" s="1"/>
  <c r="C29" i="2"/>
  <c r="H46" i="2"/>
  <c r="I46" i="2" s="1"/>
  <c r="H96" i="2"/>
  <c r="I32" i="2" s="1"/>
  <c r="H53" i="13"/>
  <c r="F26" i="14" s="1"/>
  <c r="C17" i="14"/>
  <c r="I377" i="13"/>
  <c r="H224" i="13"/>
  <c r="J26" i="14" s="1"/>
  <c r="H181" i="13"/>
  <c r="H10" i="13"/>
  <c r="I10" i="13" s="1"/>
  <c r="O25" i="14"/>
  <c r="I437" i="13"/>
  <c r="I308" i="13"/>
  <c r="L25" i="14"/>
  <c r="H34" i="2"/>
  <c r="H10" i="15" s="1"/>
  <c r="I17" i="14"/>
  <c r="I77" i="2"/>
  <c r="I174" i="13"/>
  <c r="I24" i="14"/>
  <c r="H394" i="13"/>
  <c r="N8" i="14"/>
  <c r="J8" i="14"/>
  <c r="H222" i="13"/>
  <c r="H294" i="13"/>
  <c r="H89" i="2"/>
  <c r="D30" i="2"/>
  <c r="I179" i="13"/>
  <c r="I25" i="14"/>
  <c r="H138" i="13"/>
  <c r="D27" i="14"/>
  <c r="I34" i="2"/>
  <c r="I120" i="2"/>
  <c r="I463" i="13"/>
  <c r="O27" i="14"/>
  <c r="H267" i="13"/>
  <c r="I346" i="13"/>
  <c r="M24" i="14"/>
  <c r="C34" i="2"/>
  <c r="C11" i="14"/>
  <c r="H27" i="14"/>
  <c r="I162" i="13"/>
  <c r="H396" i="13"/>
  <c r="H53" i="2"/>
  <c r="G24" i="14"/>
  <c r="I88" i="13"/>
  <c r="N27" i="14"/>
  <c r="I420" i="13"/>
  <c r="H251" i="13"/>
  <c r="J17" i="14"/>
  <c r="I131" i="13"/>
  <c r="F27" i="14"/>
  <c r="I77" i="13"/>
  <c r="I389" i="13"/>
  <c r="N24" i="14"/>
  <c r="H95" i="13"/>
  <c r="H310" i="13"/>
  <c r="L17" i="14"/>
  <c r="H337" i="13"/>
  <c r="K25" i="14"/>
  <c r="I265" i="13"/>
  <c r="I136" i="13"/>
  <c r="H25" i="14"/>
  <c r="F17" i="14"/>
  <c r="H80" i="13"/>
  <c r="I248" i="13"/>
  <c r="J27" i="14"/>
  <c r="I27" i="14"/>
  <c r="I205" i="13"/>
  <c r="I8" i="13" l="1"/>
  <c r="H30" i="2"/>
  <c r="H8" i="15" s="1"/>
  <c r="I423" i="13"/>
  <c r="G28" i="14"/>
  <c r="C24" i="14"/>
  <c r="H28" i="2"/>
  <c r="H7" i="15" s="1"/>
  <c r="L24" i="14"/>
  <c r="K24" i="14"/>
  <c r="I37" i="13"/>
  <c r="M28" i="14"/>
  <c r="O28" i="14"/>
  <c r="I165" i="13"/>
  <c r="I217" i="13"/>
  <c r="F24" i="14"/>
  <c r="I3" i="13"/>
  <c r="J260" i="13"/>
  <c r="K260" i="13" s="1"/>
  <c r="J131" i="13"/>
  <c r="K131" i="13" s="1"/>
  <c r="I51" i="2"/>
  <c r="J88" i="13"/>
  <c r="K88" i="13" s="1"/>
  <c r="C28" i="14"/>
  <c r="I123" i="2"/>
  <c r="I36" i="2"/>
  <c r="J36" i="2" s="1"/>
  <c r="J174" i="13"/>
  <c r="K174" i="13" s="1"/>
  <c r="I28" i="14"/>
  <c r="I80" i="2"/>
  <c r="J46" i="2"/>
  <c r="F9" i="2" s="1"/>
  <c r="F15" i="2" s="1"/>
  <c r="G25" i="14"/>
  <c r="I96" i="2"/>
  <c r="M25" i="14"/>
  <c r="J346" i="13"/>
  <c r="K346" i="13" s="1"/>
  <c r="D26" i="14"/>
  <c r="I94" i="2"/>
  <c r="I432" i="13"/>
  <c r="J432" i="13"/>
  <c r="K432" i="13" s="1"/>
  <c r="D25" i="14"/>
  <c r="M26" i="14"/>
  <c r="I353" i="13"/>
  <c r="I439" i="13"/>
  <c r="O26" i="14"/>
  <c r="J3" i="13"/>
  <c r="K3" i="13" s="1"/>
  <c r="I26" i="14"/>
  <c r="I224" i="13"/>
  <c r="I181" i="13"/>
  <c r="E26" i="14"/>
  <c r="E29" i="14" s="1"/>
  <c r="E30" i="14" s="1"/>
  <c r="I53" i="13"/>
  <c r="D20" i="2"/>
  <c r="J34" i="2"/>
  <c r="L28" i="14"/>
  <c r="I337" i="13"/>
  <c r="N26" i="14"/>
  <c r="I396" i="13"/>
  <c r="I222" i="13"/>
  <c r="J25" i="14"/>
  <c r="I95" i="13"/>
  <c r="G26" i="14"/>
  <c r="F28" i="14"/>
  <c r="I80" i="13"/>
  <c r="H26" i="14"/>
  <c r="H29" i="14" s="1"/>
  <c r="H30" i="14" s="1"/>
  <c r="I138" i="13"/>
  <c r="J46" i="13"/>
  <c r="K46" i="13" s="1"/>
  <c r="N25" i="14"/>
  <c r="I394" i="13"/>
  <c r="I310" i="13"/>
  <c r="L26" i="14"/>
  <c r="L29" i="14" s="1"/>
  <c r="L30" i="14" s="1"/>
  <c r="J303" i="13"/>
  <c r="K303" i="13" s="1"/>
  <c r="I267" i="13"/>
  <c r="K26" i="14"/>
  <c r="K28" i="14"/>
  <c r="I294" i="13"/>
  <c r="J389" i="13"/>
  <c r="K389" i="13" s="1"/>
  <c r="J28" i="14"/>
  <c r="I251" i="13"/>
  <c r="J217" i="13"/>
  <c r="K217" i="13" s="1"/>
  <c r="D24" i="14"/>
  <c r="I28" i="2"/>
  <c r="J89" i="2"/>
  <c r="I89" i="2"/>
  <c r="C26" i="14"/>
  <c r="I53" i="2"/>
  <c r="H32" i="2"/>
  <c r="H9" i="15" s="1"/>
  <c r="J28" i="2" l="1"/>
  <c r="J30" i="2"/>
  <c r="H13" i="15"/>
  <c r="F29" i="14"/>
  <c r="F30" i="14" s="1"/>
  <c r="I29" i="14"/>
  <c r="I30" i="14" s="1"/>
  <c r="O29" i="14"/>
  <c r="O30" i="14" s="1"/>
  <c r="C29" i="14"/>
  <c r="C30" i="14" s="1"/>
  <c r="K46" i="2"/>
  <c r="G29" i="14"/>
  <c r="G30" i="14" s="1"/>
  <c r="M29" i="14"/>
  <c r="M30" i="14" s="1"/>
  <c r="D29" i="14"/>
  <c r="D30" i="14" s="1"/>
  <c r="J29" i="14"/>
  <c r="J30" i="14" s="1"/>
  <c r="N29" i="14"/>
  <c r="N30" i="14" s="1"/>
  <c r="J32" i="2"/>
  <c r="H14" i="15"/>
  <c r="K29" i="14"/>
  <c r="K30" i="14" s="1"/>
  <c r="K89" i="2"/>
  <c r="F10" i="2"/>
  <c r="E15" i="15" l="1"/>
  <c r="B16" i="15" s="1"/>
  <c r="E16" i="15" s="1"/>
  <c r="F16" i="2"/>
  <c r="F17" i="2" s="1"/>
  <c r="F11" i="2"/>
  <c r="E21" i="15" l="1"/>
  <c r="E17" i="15"/>
  <c r="E22" i="15"/>
  <c r="H9" i="2"/>
  <c r="F18" i="2"/>
  <c r="J9" i="2"/>
  <c r="E23" i="15" l="1"/>
  <c r="E24" i="15" s="1"/>
</calcChain>
</file>

<file path=xl/comments1.xml><?xml version="1.0" encoding="utf-8"?>
<comments xmlns="http://schemas.openxmlformats.org/spreadsheetml/2006/main">
  <authors>
    <author>Will Harman</author>
  </authors>
  <commentList>
    <comment ref="B5" authorId="0" shapeId="0">
      <text>
        <r>
          <rPr>
            <sz val="9"/>
            <color indexed="81"/>
            <rFont val="Tahoma"/>
            <family val="2"/>
          </rPr>
          <t xml:space="preserve">Type entry into gray cells.
</t>
        </r>
      </text>
    </comment>
    <comment ref="B7" authorId="0" shapeId="0">
      <text>
        <r>
          <rPr>
            <sz val="9"/>
            <color indexed="81"/>
            <rFont val="Tahoma"/>
            <family val="2"/>
          </rPr>
          <t xml:space="preserve">Select from pull-down menu for highlighted cells. Do not type.
</t>
        </r>
      </text>
    </comment>
  </commentList>
</comments>
</file>

<file path=xl/sharedStrings.xml><?xml version="1.0" encoding="utf-8"?>
<sst xmlns="http://schemas.openxmlformats.org/spreadsheetml/2006/main" count="1750" uniqueCount="456">
  <si>
    <t>Bank Height Ratio (BHR)</t>
  </si>
  <si>
    <t>Functional Category</t>
  </si>
  <si>
    <t>Function-Based Parameters</t>
  </si>
  <si>
    <t>Measurement Method</t>
  </si>
  <si>
    <t>Field</t>
  </si>
  <si>
    <t>Index</t>
  </si>
  <si>
    <t>Hydraulics</t>
  </si>
  <si>
    <t>Floodplain Connectivity</t>
  </si>
  <si>
    <t>Bank Height Ratio</t>
  </si>
  <si>
    <t>Entrenchment Ratio</t>
  </si>
  <si>
    <t>C</t>
  </si>
  <si>
    <t>E</t>
  </si>
  <si>
    <t>B</t>
  </si>
  <si>
    <t>Bc</t>
  </si>
  <si>
    <t>Field Value</t>
  </si>
  <si>
    <t>Index Value</t>
  </si>
  <si>
    <t>Roll Up Scoring</t>
  </si>
  <si>
    <t>Parameter</t>
  </si>
  <si>
    <t>Category</t>
  </si>
  <si>
    <t>Overall</t>
  </si>
  <si>
    <t>A</t>
  </si>
  <si>
    <t>Sand</t>
  </si>
  <si>
    <t>LWD Index</t>
  </si>
  <si>
    <t>Geomorphology</t>
  </si>
  <si>
    <t>Large Woody Debris</t>
  </si>
  <si>
    <t>L/VL</t>
  </si>
  <si>
    <t>L/L</t>
  </si>
  <si>
    <t>L/M</t>
  </si>
  <si>
    <t>L/H</t>
  </si>
  <si>
    <t>L/VH</t>
  </si>
  <si>
    <t>M/VL</t>
  </si>
  <si>
    <t>M/L</t>
  </si>
  <si>
    <t>M/M</t>
  </si>
  <si>
    <t>M/H</t>
  </si>
  <si>
    <t>L/Ex</t>
  </si>
  <si>
    <t>H/L</t>
  </si>
  <si>
    <t>H/M</t>
  </si>
  <si>
    <t>H/H</t>
  </si>
  <si>
    <t>VH/VL</t>
  </si>
  <si>
    <t>Ex/VL</t>
  </si>
  <si>
    <t>H/Ex</t>
  </si>
  <si>
    <t>Ex/M</t>
  </si>
  <si>
    <t>Ex/H</t>
  </si>
  <si>
    <t>Ex/VH</t>
  </si>
  <si>
    <t>VH/VH</t>
  </si>
  <si>
    <t>Ex/Ex</t>
  </si>
  <si>
    <t>Lateral Stability</t>
  </si>
  <si>
    <t>Dominant BEHI/NBS</t>
  </si>
  <si>
    <t>Riparian Vegetation</t>
  </si>
  <si>
    <t>Bed Form Diversity</t>
  </si>
  <si>
    <t>Pool Spacing Ratio</t>
  </si>
  <si>
    <t>Pool Depth Ratio</t>
  </si>
  <si>
    <t>Percent Riffle</t>
  </si>
  <si>
    <t>Sinuosity</t>
  </si>
  <si>
    <t>Plan Form</t>
  </si>
  <si>
    <t>EXISTING CONDITION ASSESSMENT</t>
  </si>
  <si>
    <t>PROPOSED CONDITION ASSESSMENT</t>
  </si>
  <si>
    <t>Restoration Potential:</t>
  </si>
  <si>
    <t>Physicochemical</t>
  </si>
  <si>
    <t>Biology</t>
  </si>
  <si>
    <t>Level 3 - Geomorphology</t>
  </si>
  <si>
    <t>Level 4 - Physicochemical</t>
  </si>
  <si>
    <t>Level 5 - Biology</t>
  </si>
  <si>
    <t>Hydrology</t>
  </si>
  <si>
    <t>Yes</t>
  </si>
  <si>
    <t>No</t>
  </si>
  <si>
    <t>Proposed Stream Length (ft):</t>
  </si>
  <si>
    <t>Existing Stream Length (ft):</t>
  </si>
  <si>
    <t>Notes</t>
  </si>
  <si>
    <t>1. Users input values that are highlighted based on restoration potential</t>
  </si>
  <si>
    <t>Existing Stream Length (ft)</t>
  </si>
  <si>
    <t>Existing Parameter</t>
  </si>
  <si>
    <t>Proposed Parameter</t>
  </si>
  <si>
    <t>Macros</t>
  </si>
  <si>
    <t>CATCHMENT ASSESSMENT</t>
  </si>
  <si>
    <t xml:space="preserve">Rater(s): </t>
  </si>
  <si>
    <t xml:space="preserve">Date: </t>
  </si>
  <si>
    <t>Categories</t>
  </si>
  <si>
    <t>Description of Catchment Condition</t>
  </si>
  <si>
    <t>TMDL</t>
  </si>
  <si>
    <t>Grant</t>
  </si>
  <si>
    <t>Other</t>
  </si>
  <si>
    <t>Programmatic Goals</t>
  </si>
  <si>
    <t>Select:</t>
  </si>
  <si>
    <t>River Basin:</t>
  </si>
  <si>
    <t>Fish</t>
  </si>
  <si>
    <t>HYDRAULICS</t>
  </si>
  <si>
    <t>HYDROLOGY</t>
  </si>
  <si>
    <t>GEOMORPHOLOGY</t>
  </si>
  <si>
    <t>PHYSICOCHEMICAL</t>
  </si>
  <si>
    <t>BIOLOGY</t>
  </si>
  <si>
    <t>Erosion Rate (ft/yr)</t>
  </si>
  <si>
    <t>Stream Temperature:</t>
  </si>
  <si>
    <t>Temperature</t>
  </si>
  <si>
    <t xml:space="preserve">Overall Watershed Conditon       </t>
  </si>
  <si>
    <t>Proposed Stream Length (ft)</t>
  </si>
  <si>
    <t>F</t>
  </si>
  <si>
    <t>G</t>
  </si>
  <si>
    <t>Stream Slope (%):</t>
  </si>
  <si>
    <t>Proposed Bed Material:</t>
  </si>
  <si>
    <t>Catchment Hydrology</t>
  </si>
  <si>
    <t>Catchment Assessment</t>
  </si>
  <si>
    <t>Percent Streambank Erosion (%)</t>
  </si>
  <si>
    <t>Gc</t>
  </si>
  <si>
    <t>M/Ex</t>
  </si>
  <si>
    <t>M/VH</t>
  </si>
  <si>
    <t>H/VL</t>
  </si>
  <si>
    <t>H/VH</t>
  </si>
  <si>
    <t>VH/L</t>
  </si>
  <si>
    <t>VH/M</t>
  </si>
  <si>
    <t>VH/H</t>
  </si>
  <si>
    <t>VH/Ex</t>
  </si>
  <si>
    <t>Ex/L</t>
  </si>
  <si>
    <t>Insert Aerial Photo of Project Reach</t>
  </si>
  <si>
    <t>Reach ID:</t>
  </si>
  <si>
    <t>Existing Stream Type:</t>
  </si>
  <si>
    <t>FUNCTIONAL CATEGORY REPORT CARD</t>
  </si>
  <si>
    <t xml:space="preserve">Functional Category  </t>
  </si>
  <si>
    <t>ECS</t>
  </si>
  <si>
    <t>PCS</t>
  </si>
  <si>
    <t>Bed Material</t>
  </si>
  <si>
    <t>Bed Material Characterization</t>
  </si>
  <si>
    <t>Site Information and 
Performance Standard Stratification</t>
  </si>
  <si>
    <t>Project Name:</t>
  </si>
  <si>
    <t>a</t>
  </si>
  <si>
    <t>b</t>
  </si>
  <si>
    <t>NF</t>
  </si>
  <si>
    <t>c</t>
  </si>
  <si>
    <t>d</t>
  </si>
  <si>
    <t>NF &amp; FAR</t>
  </si>
  <si>
    <t>FAR &amp; F</t>
  </si>
  <si>
    <t>Exisiting Condition Score (ECS)</t>
  </si>
  <si>
    <t>Proposed Condition Score (PCS)</t>
  </si>
  <si>
    <t>FUNCTION BASED PARAMETERS SUMMARY</t>
  </si>
  <si>
    <t>Winter/Spring</t>
  </si>
  <si>
    <t>Summer</t>
  </si>
  <si>
    <t>Fall</t>
  </si>
  <si>
    <t>Poor</t>
  </si>
  <si>
    <t>Fair</t>
  </si>
  <si>
    <t>Good</t>
  </si>
  <si>
    <t>Rating (P/F/G)</t>
  </si>
  <si>
    <t>P</t>
  </si>
  <si>
    <t xml:space="preserve">Channel immediately upstream or downstream of project reach is concrete, piped, or hardened. </t>
  </si>
  <si>
    <t>Channel immediately upstream or downstream of project reach has native bed and bank material.</t>
  </si>
  <si>
    <t xml:space="preserve">This sheet provides the formulas used to calculate index values from the field values entered on the Quantification Tool worksheet.  Formulas are fit to known delineations between Functioning, Functioning-At-Risk and Not Functioning. </t>
  </si>
  <si>
    <t xml:space="preserve">This sheet is locked to prevent editing. If you have suggested changes based on watershed-specific data, please contact your local permitting agency or client. </t>
  </si>
  <si>
    <t>Reach Runoff</t>
  </si>
  <si>
    <t>Curve Number</t>
  </si>
  <si>
    <t>Concentrated Flow Points</t>
  </si>
  <si>
    <t>Soil Compaction</t>
  </si>
  <si>
    <t>&gt;3</t>
  </si>
  <si>
    <t>Sandy</t>
  </si>
  <si>
    <t xml:space="preserve">Silty </t>
  </si>
  <si>
    <t>Clayey</t>
  </si>
  <si>
    <t>Soil Compaction (Stratified by soil texture)</t>
  </si>
  <si>
    <t>Silty</t>
  </si>
  <si>
    <t>Riparian Soil Texture:</t>
  </si>
  <si>
    <t>Version Last Updated</t>
  </si>
  <si>
    <t>Left Stem Density (stems/acre)</t>
  </si>
  <si>
    <t>Right Stem Density (stems/acre)</t>
  </si>
  <si>
    <t>Size Class Pebble Count Analyzer (p-value)</t>
  </si>
  <si>
    <t xml:space="preserve">As-Built </t>
  </si>
  <si>
    <t>As-Built</t>
  </si>
  <si>
    <t>Overall Score</t>
  </si>
  <si>
    <t>Functional Feet</t>
  </si>
  <si>
    <t>Monitoring Year</t>
  </si>
  <si>
    <t>Last Monitoring Year</t>
  </si>
  <si>
    <t>Purpose: This form is used to determine the project's restoration potential. The hydrology categories are used to determine the catchment hydrology score on the Quantification Tool sheet.</t>
  </si>
  <si>
    <t>3. Leave values blank for field values that were not measured</t>
  </si>
  <si>
    <t>2. Users select values from a pull-down menu</t>
  </si>
  <si>
    <t>Flow Alteration</t>
  </si>
  <si>
    <t>Fish Passage</t>
  </si>
  <si>
    <t>Reach isolated by upstream and downstream anthropogenic barriers within 10 miles.</t>
  </si>
  <si>
    <t>Reach isolated by upstream OR downstream anthropogenic barrier within 10 miles.</t>
  </si>
  <si>
    <t>Organism Recruitment</t>
  </si>
  <si>
    <t>Channel immediately upstream or downstream of project reach has native bed and bank material that is highly embedded by fine sediment</t>
  </si>
  <si>
    <t>Wyoming Integrated Report (305(b) and 303(d)) status</t>
  </si>
  <si>
    <t>Percent of Catchment Stream Length Being Enhanced or Restored</t>
  </si>
  <si>
    <t>Less than 5% of the total catchment stream length is within the project reach.</t>
  </si>
  <si>
    <t>5 to 15% of the total catchment stream length is within the project reach.</t>
  </si>
  <si>
    <t>Greater than 15% of the total catchment stream length is within the project reach.</t>
  </si>
  <si>
    <t>Urbanization</t>
  </si>
  <si>
    <t>Development: Oil, Gas, Wind, Pipeline, Mining, Timber Harvest, Roads</t>
  </si>
  <si>
    <t xml:space="preserve">High development in contributing watershed or some within 1 mile of project reach, or &gt;1 mile but available information indicates high potential for impacts to project reach. </t>
  </si>
  <si>
    <t>Moderate development or moderate potential for impacts and none within 1 mile of project reach.</t>
  </si>
  <si>
    <t>WYPDES Permits</t>
  </si>
  <si>
    <t>WYPDES permitted facilities comprise a high percentage of the baseflow in the project reach OR one or more facilities present within two miles upstream of project reach have a high potential to threaten aquatic life.</t>
  </si>
  <si>
    <t>Historic Tie Drives</t>
  </si>
  <si>
    <t>Sediment Supply</t>
  </si>
  <si>
    <t>Bioregion:</t>
  </si>
  <si>
    <t>Existing and Proposed Stream Types</t>
  </si>
  <si>
    <t>Proposed Bed Material</t>
  </si>
  <si>
    <t>BEHI/NBS Scores</t>
  </si>
  <si>
    <t>Restoration Potential</t>
  </si>
  <si>
    <t>Yes/No</t>
  </si>
  <si>
    <t>River Basin</t>
  </si>
  <si>
    <t>Stream Temperature</t>
  </si>
  <si>
    <t>Overall Watershed Condition</t>
  </si>
  <si>
    <t>Data Collection Season</t>
  </si>
  <si>
    <t>Riparian Soil Texture</t>
  </si>
  <si>
    <t>Bioregion</t>
  </si>
  <si>
    <t>SE Plains</t>
  </si>
  <si>
    <t>NE Plains</t>
  </si>
  <si>
    <t>Southern Foothills &amp; Laramie Range</t>
  </si>
  <si>
    <t>Southern Rockies</t>
  </si>
  <si>
    <t>Black Hills</t>
  </si>
  <si>
    <t>High Valleys</t>
  </si>
  <si>
    <t>Sedimentary Mountains</t>
  </si>
  <si>
    <t>Granitic Mountains</t>
  </si>
  <si>
    <t>Volcanic Mountains &amp; Valleys</t>
  </si>
  <si>
    <t>Wyoming Basin</t>
  </si>
  <si>
    <t>Bear River</t>
  </si>
  <si>
    <t>Green River</t>
  </si>
  <si>
    <t>NE Missouri Basin</t>
  </si>
  <si>
    <t>Platte River</t>
  </si>
  <si>
    <t>Snake/ Salt River</t>
  </si>
  <si>
    <t>Yellowstone River</t>
  </si>
  <si>
    <t>WSII</t>
  </si>
  <si>
    <t>RIVPACS</t>
  </si>
  <si>
    <t>Coefficients - Y = a X^2 + b X + c</t>
  </si>
  <si>
    <t>Bighorn Basin Foothills</t>
  </si>
  <si>
    <t>Macroinvertebrates</t>
  </si>
  <si>
    <t>Ba</t>
  </si>
  <si>
    <t>Cb</t>
  </si>
  <si>
    <t>Pool Spacing Ratio for C Stream Types</t>
  </si>
  <si>
    <t>Pool Spacing Ratio for Bc Stream Types</t>
  </si>
  <si>
    <t>Pool Spacing Ratio for B &amp; Ba Stream Types</t>
  </si>
  <si>
    <t>Rising Limb</t>
  </si>
  <si>
    <t>Falling limb</t>
  </si>
  <si>
    <t>Percent Riffle - Volcanic Mountains and Valleys Region</t>
  </si>
  <si>
    <t>Falling Limb</t>
  </si>
  <si>
    <t xml:space="preserve">Granitic Mountains </t>
  </si>
  <si>
    <t xml:space="preserve">Bighorn Basin Foothills </t>
  </si>
  <si>
    <t xml:space="preserve">Southern Foothills &amp; Laramie Range </t>
  </si>
  <si>
    <t xml:space="preserve">Volcanic Mountains &amp; Valleys </t>
  </si>
  <si>
    <t>Chlorophyll - Mountains</t>
  </si>
  <si>
    <t>Coefficients - Y = a * ln(X) + b</t>
  </si>
  <si>
    <t>Chlorophyll - Basins and Plains</t>
  </si>
  <si>
    <t>Chlorophyll</t>
  </si>
  <si>
    <r>
      <t>G</t>
    </r>
    <r>
      <rPr>
        <vertAlign val="subscript"/>
        <sz val="11"/>
        <color theme="1"/>
        <rFont val="Calibri"/>
        <family val="2"/>
        <scheme val="minor"/>
      </rPr>
      <t>1</t>
    </r>
  </si>
  <si>
    <r>
      <t>G</t>
    </r>
    <r>
      <rPr>
        <vertAlign val="subscript"/>
        <sz val="11"/>
        <color theme="1"/>
        <rFont val="Calibri"/>
        <family val="2"/>
        <scheme val="minor"/>
      </rPr>
      <t>2</t>
    </r>
  </si>
  <si>
    <r>
      <t>G</t>
    </r>
    <r>
      <rPr>
        <vertAlign val="subscript"/>
        <sz val="11"/>
        <color theme="1"/>
        <rFont val="Calibri"/>
        <family val="2"/>
        <scheme val="minor"/>
      </rPr>
      <t>3</t>
    </r>
  </si>
  <si>
    <r>
      <t>F</t>
    </r>
    <r>
      <rPr>
        <vertAlign val="subscript"/>
        <sz val="11"/>
        <color theme="1"/>
        <rFont val="Calibri"/>
        <family val="2"/>
        <scheme val="minor"/>
      </rPr>
      <t>1</t>
    </r>
  </si>
  <si>
    <r>
      <t>F</t>
    </r>
    <r>
      <rPr>
        <vertAlign val="subscript"/>
        <sz val="11"/>
        <color theme="1"/>
        <rFont val="Calibri"/>
        <family val="2"/>
        <scheme val="minor"/>
      </rPr>
      <t>2</t>
    </r>
  </si>
  <si>
    <r>
      <t>F</t>
    </r>
    <r>
      <rPr>
        <vertAlign val="subscript"/>
        <sz val="11"/>
        <color theme="1"/>
        <rFont val="Calibri"/>
        <family val="2"/>
        <scheme val="minor"/>
      </rPr>
      <t>3</t>
    </r>
  </si>
  <si>
    <r>
      <t>P</t>
    </r>
    <r>
      <rPr>
        <vertAlign val="subscript"/>
        <sz val="11"/>
        <color theme="1"/>
        <rFont val="Calibri"/>
        <family val="2"/>
        <scheme val="minor"/>
      </rPr>
      <t>1</t>
    </r>
  </si>
  <si>
    <r>
      <t>P</t>
    </r>
    <r>
      <rPr>
        <vertAlign val="subscript"/>
        <sz val="11"/>
        <color theme="1"/>
        <rFont val="Calibri"/>
        <family val="2"/>
        <scheme val="minor"/>
      </rPr>
      <t>2</t>
    </r>
  </si>
  <si>
    <r>
      <t>P</t>
    </r>
    <r>
      <rPr>
        <vertAlign val="subscript"/>
        <sz val="11"/>
        <color theme="1"/>
        <rFont val="Calibri"/>
        <family val="2"/>
        <scheme val="minor"/>
      </rPr>
      <t>3</t>
    </r>
  </si>
  <si>
    <t>Aggradation Ratio</t>
  </si>
  <si>
    <t xml:space="preserve">Tier I (Cold) </t>
  </si>
  <si>
    <t>Tier II (Cold-Cool)</t>
  </si>
  <si>
    <t xml:space="preserve">Tier III (Cool) </t>
  </si>
  <si>
    <t>Tier IV (Cool-Warm)</t>
  </si>
  <si>
    <t>Tier V (Warm)</t>
  </si>
  <si>
    <t>Region</t>
  </si>
  <si>
    <t>Mountains</t>
  </si>
  <si>
    <t>Plains</t>
  </si>
  <si>
    <t>Basin</t>
  </si>
  <si>
    <t>Coefficients - Y = a * X^3 + b * X^2 + c * X + d</t>
  </si>
  <si>
    <t>Gravel or Cobble</t>
  </si>
  <si>
    <t>Percent Riffle for Streams &lt; 3% slope</t>
  </si>
  <si>
    <t xml:space="preserve">Rising Limb </t>
  </si>
  <si>
    <t xml:space="preserve">Falling Limb </t>
  </si>
  <si>
    <t>Percent Riffle for Streams  &gt;=3% slope</t>
  </si>
  <si>
    <t>Number Native Fish Species (% of expected)</t>
  </si>
  <si>
    <t>SGSN Absent Score</t>
  </si>
  <si>
    <t>Game Species Biomass (% Increase)</t>
  </si>
  <si>
    <t>SGCN Absent</t>
  </si>
  <si>
    <t>Field  &lt; 1</t>
  </si>
  <si>
    <t>Field &gt; 1.1</t>
  </si>
  <si>
    <t>Tier I (Cold)</t>
  </si>
  <si>
    <t>Tier III (Cool)</t>
  </si>
  <si>
    <t>Mean Daily Aug Temp (⁰C)</t>
  </si>
  <si>
    <t>MWAT 7-day Average</t>
  </si>
  <si>
    <t>Fish - Game Biomass (% Increase)</t>
  </si>
  <si>
    <t>Blue Ribbon and non-trout game fish</t>
  </si>
  <si>
    <t>Red Ribbon</t>
  </si>
  <si>
    <t>Yellow Ribbon</t>
  </si>
  <si>
    <t>Green Ribbon</t>
  </si>
  <si>
    <t>Stream Productivity Rating</t>
  </si>
  <si>
    <t>Blue Ribbon and non-trout</t>
  </si>
  <si>
    <t>Vegetation Cover</t>
  </si>
  <si>
    <t>Forested</t>
  </si>
  <si>
    <t>Scrub-Shrub</t>
  </si>
  <si>
    <t>Herbaceous</t>
  </si>
  <si>
    <t>Q_Low, Measured / Q_Low, Expected</t>
  </si>
  <si>
    <t>Wyoming Game and Fish Department</t>
  </si>
  <si>
    <t>Wyoming Department of Environmental Quality</t>
  </si>
  <si>
    <r>
      <rPr>
        <b/>
        <sz val="11"/>
        <color theme="1"/>
        <rFont val="Calibri"/>
        <family val="2"/>
        <scheme val="minor"/>
      </rPr>
      <t>Lead Agency:</t>
    </r>
    <r>
      <rPr>
        <sz val="11"/>
        <color theme="1"/>
        <rFont val="Calibri"/>
        <family val="2"/>
        <scheme val="minor"/>
      </rPr>
      <t xml:space="preserve"> U.S. Army Corps of Engineers, Omaha District, Wyoming Regulatory Office</t>
    </r>
  </si>
  <si>
    <t>Contractors:</t>
  </si>
  <si>
    <t>Ecosystem Planning and Restoration (EPR) through a contract with the U.S. Environmental</t>
  </si>
  <si>
    <t>Projection Agency (Contract No. EP-C-17-001).</t>
  </si>
  <si>
    <t>Stream Mechanics as a sub-contractor to EPR</t>
  </si>
  <si>
    <t>Contributing Agencies:</t>
  </si>
  <si>
    <t>U.S. Environmental Protection Agency</t>
  </si>
  <si>
    <t>Reference Stream Type:</t>
  </si>
  <si>
    <t>FAR</t>
  </si>
  <si>
    <t>Nutrients</t>
  </si>
  <si>
    <t>Greenline Stability Rating</t>
  </si>
  <si>
    <t>Left Woody Vegetation Cover</t>
  </si>
  <si>
    <t>Right Woody Vegetation Cover</t>
  </si>
  <si>
    <t>Left Herbaceous Vegetation Cover</t>
  </si>
  <si>
    <t>Right Herbaceous Vegetation Cover</t>
  </si>
  <si>
    <t>Valley Type</t>
  </si>
  <si>
    <t>Left Non-native Plant Cover (%)</t>
  </si>
  <si>
    <t>Right Non-native Plant Cover (%)</t>
  </si>
  <si>
    <t>Hydrophytic Vegetation</t>
  </si>
  <si>
    <t>Left Hydrophytic Vegetation Cover (%)</t>
  </si>
  <si>
    <t>Right Hydrophytic Vegetation Cover (%)</t>
  </si>
  <si>
    <t>Herbaceous Cover (%) - Herbaceous</t>
  </si>
  <si>
    <t>Herbaceous Cover (%) - Forested, Scrub-Shrub - Colluvial</t>
  </si>
  <si>
    <t>Site Information</t>
  </si>
  <si>
    <t>Impact Severity Tier:</t>
  </si>
  <si>
    <t>Tier 4</t>
  </si>
  <si>
    <t>Explanation Text</t>
  </si>
  <si>
    <t>PCS Calculator   -   PCS = a * ECS</t>
  </si>
  <si>
    <t>FUNCTIONAL LOSS SUMMARY</t>
  </si>
  <si>
    <t>Condition Loss</t>
  </si>
  <si>
    <t>Impact Severity Tier</t>
  </si>
  <si>
    <t>N/A</t>
  </si>
  <si>
    <t>Proposed - Existing Stream Length (ft)</t>
  </si>
  <si>
    <t>Functional Loss (%)</t>
  </si>
  <si>
    <t>Tier 6</t>
  </si>
  <si>
    <t>Tier 5</t>
  </si>
  <si>
    <t>Tier 3</t>
  </si>
  <si>
    <t>Tier 2</t>
  </si>
  <si>
    <t>Tier 1</t>
  </si>
  <si>
    <t>Tier 0</t>
  </si>
  <si>
    <t>Basins</t>
  </si>
  <si>
    <t>Herbaceous Cover (%) - Forested, Scrub-Shrub - Alluvial</t>
  </si>
  <si>
    <t>FUNCTIONAL CHANGE SUMMARY</t>
  </si>
  <si>
    <t xml:space="preserve">3. Users input values that are highlighted </t>
  </si>
  <si>
    <t>1. Values are referenced from the Quantification Tool Tab</t>
  </si>
  <si>
    <t>Impacts to function-based parameters</t>
  </si>
  <si>
    <t>No impact</t>
  </si>
  <si>
    <t xml:space="preserve">Impacts to riparian vegetation and/or lateral stability. </t>
  </si>
  <si>
    <t xml:space="preserve">Impacts to riparian vegetation, lateral stability, and bed form diversity. </t>
  </si>
  <si>
    <t>Impacts to riparian vegetation, lateral stability, bed form diversity, and floodplain connectivity</t>
  </si>
  <si>
    <t>Impacts to riparian vegetation, lateral stability, bed form diversity, and floodplain connectivity. Potential impacts to temperature, processing of organic matter, macroinvertebrate and fish communities.</t>
  </si>
  <si>
    <t>Mitigation - Credits</t>
  </si>
  <si>
    <t>Mitigation - Debits</t>
  </si>
  <si>
    <t>Debit Options</t>
  </si>
  <si>
    <t>Debit Option:</t>
  </si>
  <si>
    <t>Restoration</t>
  </si>
  <si>
    <t>Impacts</t>
  </si>
  <si>
    <t>Reach Description</t>
  </si>
  <si>
    <t>The Stream Quantification Tool Credits:</t>
  </si>
  <si>
    <t>Change in Stream Length (ft)</t>
  </si>
  <si>
    <t>Functional Change (%)</t>
  </si>
  <si>
    <t>Change in Functional Condition (PCS - ECS)</t>
  </si>
  <si>
    <t>MITIGATION SUMMARY</t>
  </si>
  <si>
    <t>(FF)</t>
  </si>
  <si>
    <t>Multiplier (a)</t>
  </si>
  <si>
    <t>Functional Change</t>
  </si>
  <si>
    <t>Use this worksheet to calculate functional lift or to calculate functional loss using debit option 1. Portions of this worksheet will be used to assist in functional loss calculations for debit options 2 and 3.</t>
  </si>
  <si>
    <t>Use this worksheet to calculate functional loss using debit options 2 and 3.</t>
  </si>
  <si>
    <t>Existing Condition Scores (ECS)</t>
  </si>
  <si>
    <t># Pieces</t>
  </si>
  <si>
    <t>LWD - # Pieces</t>
  </si>
  <si>
    <t>Unconfined Alluvial</t>
  </si>
  <si>
    <t>Confined Alluvial</t>
  </si>
  <si>
    <t>Colluvial/V-Shaped</t>
  </si>
  <si>
    <t>MWAT - 7-day average temperature</t>
  </si>
  <si>
    <t>Coefficients - Y = a * X + b</t>
  </si>
  <si>
    <t xml:space="preserve">Coefficients - Y = a * X + b </t>
  </si>
  <si>
    <t>Q Low Measured / Q Low Expected</t>
  </si>
  <si>
    <t>FAR &amp; NF</t>
  </si>
  <si>
    <t>Entrenchment Ratio (ER) C, Cb and E Streams</t>
  </si>
  <si>
    <t>Entrenchment Ratio (ER) A, B, Ba and Bc Streams</t>
  </si>
  <si>
    <t>Formulas are of the form: Y = a * X + b, OR Y = a * X^2 + b * X + c, OR Y = a * X^3 + b * X^2 + c * X + d where Y is the index value and X is the field value.</t>
  </si>
  <si>
    <t>Coefficients - Y = a * X^2 + b * X + c</t>
  </si>
  <si>
    <t>Coefficients - Y = a  * X^2 + b * X + c</t>
  </si>
  <si>
    <t>Non-native Plant Cover (%)</t>
  </si>
  <si>
    <t>Woody Vegetation Cover Stratified by Cover and Region</t>
  </si>
  <si>
    <t>Mountains Forested, Scrub-Shrub</t>
  </si>
  <si>
    <t>Basins Forested, Scrub-Shrub</t>
  </si>
  <si>
    <t>Plains Forested, Scrub-Shrub</t>
  </si>
  <si>
    <t>0 - 15</t>
  </si>
  <si>
    <t>15 - 55</t>
  </si>
  <si>
    <t>56 - 100</t>
  </si>
  <si>
    <t>0 - 70</t>
  </si>
  <si>
    <t>71 - 100</t>
  </si>
  <si>
    <t>&lt; 25</t>
  </si>
  <si>
    <t>37 - 49</t>
  </si>
  <si>
    <t>Stem Density</t>
  </si>
  <si>
    <t>&lt; 4</t>
  </si>
  <si>
    <t>&gt; 6</t>
  </si>
  <si>
    <t>&lt; 3.7</t>
  </si>
  <si>
    <t>&gt; 5</t>
  </si>
  <si>
    <t>Pool Spacing Ratio for Cb Stream Types</t>
  </si>
  <si>
    <t>&lt; 1.3</t>
  </si>
  <si>
    <t>&lt; 1.6</t>
  </si>
  <si>
    <t>&gt; 1.7</t>
  </si>
  <si>
    <t>Sinuosity for E Stream Types</t>
  </si>
  <si>
    <t>&lt; 1.25</t>
  </si>
  <si>
    <t>&gt; 1.35</t>
  </si>
  <si>
    <t>Sinuosity for C Stream Types</t>
  </si>
  <si>
    <t>Sinuosity for B Stream Types</t>
  </si>
  <si>
    <t>DM: Daily Maximum acute criteria</t>
  </si>
  <si>
    <t>MWAT: 7-day average chronic criterion</t>
  </si>
  <si>
    <t>WSII Plot 1: Wyoming Basin, Black Hills, High Valleys, Sedimentary Mountains</t>
  </si>
  <si>
    <t>WSII Plot 2: Southern Rockies, SE Plains, NE Plains</t>
  </si>
  <si>
    <t>WSII Plot 3: Granitic Mountains, Bighorn Basin Foothills, Southern Foothills &amp; Laramie Range, Volcanic Mountains&amp; Valleys</t>
  </si>
  <si>
    <t>RIVPACS Plot 1: Wyoming Basin, Black Hills, High Valleys, Sedimentary Mountains</t>
  </si>
  <si>
    <t>RIVPACS Plot 2: Southern Rockies, SE Plains, NE Plains</t>
  </si>
  <si>
    <t>RIVPACS Plot 3: Granitic Mountains, Bighorn Basin Foothills, Southern Foothills &amp; Laramie Range, Volcanic Mountains&amp; Valleys</t>
  </si>
  <si>
    <t>Curve Number (Stratified by Cover Type)</t>
  </si>
  <si>
    <t>Ecoregion:</t>
  </si>
  <si>
    <t>Proposed FF - Existing FF</t>
  </si>
  <si>
    <t>Existing Functional Foot Score (FF)</t>
  </si>
  <si>
    <t>Proposed Functional Foot Score (FF)</t>
  </si>
  <si>
    <t>Existing Functional Feet (FF)</t>
  </si>
  <si>
    <t>Proposed Functional Feet (FF)</t>
  </si>
  <si>
    <t>ECS
Impact Severity Tiers 1 - 3</t>
  </si>
  <si>
    <t>ECS
Impact Severity Tiers 4 - 6</t>
  </si>
  <si>
    <t>Reach Scores</t>
  </si>
  <si>
    <t>Function Based Parameter</t>
  </si>
  <si>
    <t>Removal of all aquatic functions except for hydrology. This tier is exclusive to pipes. Any pipe that is installed into a stream channel will automatically be included in this tier.</t>
  </si>
  <si>
    <t>Removal of all aquatic functions. This tier is exclusive to projects that completely fill the stream channel, so that the channel is eliminated.</t>
  </si>
  <si>
    <t>High sediment supply from upstream bank erosion and surface runoff.</t>
  </si>
  <si>
    <t>Moderate sediment supply from upstream bank erosion and surface runoff.</t>
  </si>
  <si>
    <t>Low sediment supply. Upstream bank erosion and surface runoff is minimal.</t>
  </si>
  <si>
    <t>Occurred and effects persist.</t>
  </si>
  <si>
    <t>May have occurred but effects ameliorated.</t>
  </si>
  <si>
    <t>Never had them, or no remaining evidence.</t>
  </si>
  <si>
    <t>No WYPDES permitted facilities upstream of the project reach.</t>
  </si>
  <si>
    <t>WYPDES permited facilities comprise a low to moderate percentage of the baseflow in the project reach AND no facilities are located within two miles upstream of project reach.</t>
  </si>
  <si>
    <t>No development or no potential for impacts.</t>
  </si>
  <si>
    <t>Not urbanized.</t>
  </si>
  <si>
    <t>Rural communities or slow urban or suburban growth.</t>
  </si>
  <si>
    <t>Rapidly urbanizing.</t>
  </si>
  <si>
    <t>In category 1, 2, or 3 or aquatic life uses not evaluated.</t>
  </si>
  <si>
    <t>In Category 4 due to nonsupport of aquatic life uses and aquatic life impairment actively being mitigated.</t>
  </si>
  <si>
    <t>In Category 5 due to nonsupport of aquatic life uses OR in Category 4 and aquatic life impairment not actively being mitigated.</t>
  </si>
  <si>
    <t>Substantial reduction or augmentation of natural flow regime.</t>
  </si>
  <si>
    <t>Project area located less than 1 mile upstream or downstream of an impoundment.</t>
  </si>
  <si>
    <t>Project area is located more than 1 mile downstream of an impoundment but no perennial tributaries enter between the impoundment and the project area.</t>
  </si>
  <si>
    <t>No impoundment upstream or downstream of project reach.</t>
  </si>
  <si>
    <t>Minimal reduction or augmentation of natural flow regime.</t>
  </si>
  <si>
    <t>Moderate reduction or augmentation of natural flow regime.</t>
  </si>
  <si>
    <t>No anthropogenic barriers with 10 miles upstream or downstream of the reach.</t>
  </si>
  <si>
    <t>Drainage Area (sq.mi.):</t>
  </si>
  <si>
    <t>Reference Vegetation Cover:</t>
  </si>
  <si>
    <t>Stream Productivity Rating:</t>
  </si>
  <si>
    <t>Natural plant community extends less than 1/3 of active floodplain and vegetation gaps exceed 30% of the contributing stream length.</t>
  </si>
  <si>
    <t>Natural plant community extends more than 1/3 of active floodplain and vegetation gaps do not exceed 30% of the contributing stream length</t>
  </si>
  <si>
    <t>Natural plant community extends more than 2/3 of active floodplain and is over 80% contiguous along contributing stream length</t>
  </si>
  <si>
    <t xml:space="preserve">Left Riparian Width Ratio </t>
  </si>
  <si>
    <t xml:space="preserve">Right RiparianWidth Ratio </t>
  </si>
  <si>
    <t xml:space="preserve">Impoundments </t>
  </si>
  <si>
    <t>Valley Type:</t>
  </si>
  <si>
    <t>Riparian Width Ratio</t>
  </si>
  <si>
    <t>August 4 2017</t>
  </si>
  <si>
    <t>Version 0.9 - DRAFT for Public Notice</t>
  </si>
  <si>
    <t>Example</t>
  </si>
  <si>
    <t>G2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</si>
</sst>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00"/>
  </numFmts>
  <fonts count="30" x14ac:knownFonts="1">
    <font>
      <sz val="11"/>
      <color theme="1"/>
      <name val="Calibri"/>
      <family val="2"/>
      <scheme val="minor"/>
    </font>
    <font>
      <b/>
      <sz val="11"/>
      <color theme="1"/>
      <name val="Calibri"/>
      <family val="2"/>
      <scheme val="minor"/>
    </font>
    <font>
      <sz val="9"/>
      <color indexed="81"/>
      <name val="Tahoma"/>
      <family val="2"/>
    </font>
    <font>
      <sz val="10"/>
      <name val="Arial"/>
      <family val="2"/>
    </font>
    <font>
      <b/>
      <sz val="14"/>
      <name val="Arial"/>
      <family val="2"/>
    </font>
    <font>
      <sz val="11"/>
      <name val="Arial"/>
      <family val="2"/>
    </font>
    <font>
      <b/>
      <sz val="12"/>
      <name val="Arial"/>
      <family val="2"/>
    </font>
    <font>
      <b/>
      <sz val="13"/>
      <color theme="1"/>
      <name val="Calibri"/>
      <family val="2"/>
      <scheme val="minor"/>
    </font>
    <font>
      <sz val="11"/>
      <name val="Calibri"/>
      <family val="2"/>
      <scheme val="minor"/>
    </font>
    <font>
      <vertAlign val="subscript"/>
      <sz val="11"/>
      <color theme="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4"/>
      <color theme="1"/>
      <name val="Calibri"/>
      <family val="2"/>
      <scheme val="minor"/>
    </font>
    <font>
      <sz val="11"/>
      <color theme="1"/>
      <name val="Calibri"/>
      <family val="2"/>
      <scheme val="minor"/>
    </font>
    <font>
      <sz val="18"/>
      <color rgb="FFFF0000"/>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sz val="11"/>
      <color rgb="FFFF0000"/>
      <name val="Calibri"/>
      <family val="2"/>
      <scheme val="minor"/>
    </font>
    <font>
      <sz val="11"/>
      <color theme="1"/>
      <name val="Calibri"/>
      <family val="2"/>
      <scheme val="minor"/>
    </font>
    <font>
      <b/>
      <sz val="15"/>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6"/>
      <color theme="1"/>
      <name val="Calibri"/>
      <family val="2"/>
      <scheme val="minor"/>
    </font>
  </fonts>
  <fills count="2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3" fillId="0" borderId="0"/>
    <xf numFmtId="9" fontId="18" fillId="0" borderId="0" applyFont="0" applyFill="0" applyBorder="0" applyAlignment="0" applyProtection="0"/>
    <xf numFmtId="0" fontId="18" fillId="16" borderId="0" applyNumberFormat="0" applyBorder="0" applyAlignment="0" applyProtection="0"/>
  </cellStyleXfs>
  <cellXfs count="614">
    <xf numFmtId="0" fontId="0" fillId="0" borderId="0" xfId="0"/>
    <xf numFmtId="0" fontId="0" fillId="0" borderId="0" xfId="0" applyFill="1" applyBorder="1"/>
    <xf numFmtId="0" fontId="0" fillId="0" borderId="0" xfId="0" applyFill="1"/>
    <xf numFmtId="0" fontId="0" fillId="0" borderId="0" xfId="0"/>
    <xf numFmtId="0" fontId="1" fillId="0" borderId="0" xfId="0" applyFont="1"/>
    <xf numFmtId="0" fontId="0" fillId="0" borderId="0" xfId="0" applyBorder="1" applyAlignment="1">
      <alignment horizontal="center"/>
    </xf>
    <xf numFmtId="2" fontId="0" fillId="0" borderId="0" xfId="0" applyNumberFormat="1"/>
    <xf numFmtId="0" fontId="0" fillId="0" borderId="0" xfId="0" applyBorder="1"/>
    <xf numFmtId="0" fontId="5" fillId="0" borderId="0" xfId="1" applyFont="1"/>
    <xf numFmtId="0" fontId="5" fillId="6" borderId="0" xfId="1" applyFont="1" applyFill="1" applyBorder="1" applyAlignment="1">
      <alignment horizontal="left" vertical="center"/>
    </xf>
    <xf numFmtId="0" fontId="5" fillId="0" borderId="0" xfId="1" applyFont="1" applyAlignment="1">
      <alignment horizontal="left"/>
    </xf>
    <xf numFmtId="0" fontId="5" fillId="0" borderId="0" xfId="1" applyFont="1" applyAlignment="1">
      <alignment vertical="center" wrapText="1"/>
    </xf>
    <xf numFmtId="0" fontId="6" fillId="8" borderId="20" xfId="1" applyFont="1" applyFill="1" applyBorder="1" applyAlignment="1">
      <alignment vertical="center" wrapText="1"/>
    </xf>
    <xf numFmtId="0" fontId="6" fillId="8" borderId="23" xfId="1" applyFont="1" applyFill="1" applyBorder="1" applyAlignment="1">
      <alignment vertical="center" wrapText="1"/>
    </xf>
    <xf numFmtId="0" fontId="5" fillId="8" borderId="30" xfId="1" applyFont="1" applyFill="1" applyBorder="1" applyAlignment="1">
      <alignment vertical="center"/>
    </xf>
    <xf numFmtId="0" fontId="7" fillId="0" borderId="0" xfId="0" applyFont="1"/>
    <xf numFmtId="0" fontId="3" fillId="0" borderId="0" xfId="1" applyFont="1"/>
    <xf numFmtId="0" fontId="3" fillId="8" borderId="24" xfId="1" applyFont="1" applyFill="1" applyBorder="1"/>
    <xf numFmtId="0" fontId="3" fillId="8" borderId="25" xfId="1" applyFont="1" applyFill="1" applyBorder="1"/>
    <xf numFmtId="0" fontId="3" fillId="0" borderId="26" xfId="1" applyFont="1" applyBorder="1" applyAlignment="1">
      <alignment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Fill="1"/>
    <xf numFmtId="0" fontId="3" fillId="8" borderId="29" xfId="1" applyFont="1" applyFill="1" applyBorder="1"/>
    <xf numFmtId="0" fontId="3" fillId="8" borderId="30" xfId="1" applyFont="1" applyFill="1" applyBorder="1"/>
    <xf numFmtId="0" fontId="3" fillId="8" borderId="31" xfId="1" applyFont="1" applyFill="1" applyBorder="1"/>
    <xf numFmtId="14" fontId="5" fillId="6" borderId="0" xfId="1" applyNumberFormat="1" applyFont="1" applyFill="1" applyBorder="1" applyAlignment="1">
      <alignment horizontal="left" vertical="center"/>
    </xf>
    <xf numFmtId="0" fontId="6" fillId="8" borderId="22" xfId="1" applyFont="1" applyFill="1" applyBorder="1" applyAlignment="1">
      <alignment horizontal="center" vertical="center" wrapText="1"/>
    </xf>
    <xf numFmtId="0" fontId="5" fillId="0" borderId="0" xfId="1" applyFont="1" applyAlignment="1">
      <alignment horizontal="left" vertical="center" wrapText="1"/>
    </xf>
    <xf numFmtId="0" fontId="6" fillId="8" borderId="8" xfId="1" applyFont="1" applyFill="1" applyBorder="1" applyAlignment="1">
      <alignment horizontal="center" vertical="center" wrapText="1"/>
    </xf>
    <xf numFmtId="0" fontId="3" fillId="0" borderId="26" xfId="1" applyFont="1" applyFill="1" applyBorder="1" applyAlignment="1">
      <alignment vertical="center" wrapText="1"/>
    </xf>
    <xf numFmtId="0" fontId="3" fillId="0" borderId="26"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34" xfId="1" applyFont="1" applyBorder="1" applyAlignment="1">
      <alignment horizontal="center" vertical="center" wrapText="1"/>
    </xf>
    <xf numFmtId="0" fontId="3" fillId="0" borderId="35" xfId="1" applyFont="1" applyBorder="1" applyAlignment="1">
      <alignment horizontal="center" vertical="center" wrapText="1"/>
    </xf>
    <xf numFmtId="0" fontId="1" fillId="0" borderId="0" xfId="0" applyFont="1" applyBorder="1" applyAlignment="1"/>
    <xf numFmtId="0" fontId="0" fillId="0" borderId="0" xfId="0" applyFill="1" applyProtection="1"/>
    <xf numFmtId="0" fontId="0" fillId="0" borderId="0" xfId="0" applyProtection="1"/>
    <xf numFmtId="0" fontId="3" fillId="0" borderId="43" xfId="1" applyFont="1" applyBorder="1" applyAlignment="1">
      <alignment vertical="center" wrapText="1"/>
    </xf>
    <xf numFmtId="0" fontId="3" fillId="0" borderId="43" xfId="1" applyFont="1" applyBorder="1" applyAlignment="1">
      <alignment horizontal="center" vertical="center" wrapText="1"/>
    </xf>
    <xf numFmtId="0" fontId="13" fillId="0" borderId="7" xfId="0" applyFont="1" applyBorder="1"/>
    <xf numFmtId="0" fontId="13" fillId="8" borderId="7" xfId="0" applyFont="1" applyFill="1" applyBorder="1" applyAlignment="1" applyProtection="1">
      <alignment horizontal="center"/>
      <protection locked="0"/>
    </xf>
    <xf numFmtId="0" fontId="13" fillId="0" borderId="7" xfId="0" applyFont="1" applyFill="1" applyBorder="1"/>
    <xf numFmtId="2" fontId="13" fillId="0" borderId="7" xfId="0" applyNumberFormat="1" applyFont="1" applyBorder="1" applyAlignment="1" applyProtection="1">
      <alignment horizontal="center" vertical="center"/>
    </xf>
    <xf numFmtId="0" fontId="13" fillId="0" borderId="7" xfId="0" applyFont="1" applyBorder="1" applyAlignment="1" applyProtection="1">
      <alignment horizontal="center"/>
    </xf>
    <xf numFmtId="1" fontId="13" fillId="0" borderId="7" xfId="0" applyNumberFormat="1" applyFont="1" applyBorder="1" applyAlignment="1" applyProtection="1">
      <alignment horizontal="center"/>
    </xf>
    <xf numFmtId="2" fontId="13" fillId="0" borderId="7" xfId="0" applyNumberFormat="1" applyFont="1" applyBorder="1" applyAlignment="1">
      <alignment horizontal="center"/>
    </xf>
    <xf numFmtId="0" fontId="14" fillId="0" borderId="7" xfId="0" applyFont="1" applyBorder="1" applyAlignment="1">
      <alignment horizontal="center"/>
    </xf>
    <xf numFmtId="0" fontId="14" fillId="0" borderId="7" xfId="0" applyFont="1" applyFill="1" applyBorder="1" applyAlignment="1">
      <alignment horizontal="center"/>
    </xf>
    <xf numFmtId="0" fontId="13" fillId="9" borderId="8" xfId="0" applyFont="1" applyFill="1" applyBorder="1" applyAlignment="1">
      <alignment horizontal="left" vertical="center"/>
    </xf>
    <xf numFmtId="0" fontId="13" fillId="9" borderId="0" xfId="0" applyFont="1" applyFill="1" applyBorder="1"/>
    <xf numFmtId="0" fontId="13" fillId="9" borderId="0" xfId="0" applyFont="1" applyFill="1" applyBorder="1" applyAlignment="1">
      <alignment horizontal="center"/>
    </xf>
    <xf numFmtId="0" fontId="13" fillId="9" borderId="36" xfId="0" applyFont="1" applyFill="1" applyBorder="1"/>
    <xf numFmtId="0" fontId="13" fillId="10" borderId="0" xfId="0" applyFont="1" applyFill="1" applyBorder="1"/>
    <xf numFmtId="0" fontId="13" fillId="10" borderId="0" xfId="0" applyFont="1" applyFill="1" applyBorder="1" applyAlignment="1">
      <alignment horizontal="center"/>
    </xf>
    <xf numFmtId="0" fontId="13" fillId="10" borderId="36" xfId="0" applyFont="1" applyFill="1" applyBorder="1"/>
    <xf numFmtId="0" fontId="13" fillId="10" borderId="36" xfId="0" applyFont="1" applyFill="1" applyBorder="1" applyAlignment="1">
      <alignment horizontal="center"/>
    </xf>
    <xf numFmtId="0" fontId="13" fillId="11" borderId="7" xfId="0" applyFont="1" applyFill="1" applyBorder="1" applyAlignment="1">
      <alignment horizontal="left" vertical="center"/>
    </xf>
    <xf numFmtId="0" fontId="13" fillId="11" borderId="11" xfId="0" applyFont="1" applyFill="1" applyBorder="1"/>
    <xf numFmtId="0" fontId="13" fillId="11" borderId="0" xfId="0" applyFont="1" applyFill="1" applyBorder="1"/>
    <xf numFmtId="0" fontId="13" fillId="11" borderId="0" xfId="0" applyFont="1" applyFill="1" applyBorder="1" applyAlignment="1">
      <alignment horizontal="center"/>
    </xf>
    <xf numFmtId="0" fontId="15" fillId="11" borderId="0" xfId="0" applyFont="1" applyFill="1" applyBorder="1"/>
    <xf numFmtId="0" fontId="13" fillId="11" borderId="22" xfId="0" applyFont="1" applyFill="1" applyBorder="1"/>
    <xf numFmtId="0" fontId="13" fillId="11" borderId="32" xfId="0" applyFont="1" applyFill="1" applyBorder="1"/>
    <xf numFmtId="0" fontId="13" fillId="11" borderId="37" xfId="0" applyFont="1" applyFill="1" applyBorder="1"/>
    <xf numFmtId="0" fontId="13" fillId="11" borderId="40" xfId="0" applyFont="1" applyFill="1" applyBorder="1"/>
    <xf numFmtId="0" fontId="13" fillId="11" borderId="36" xfId="0" applyFont="1" applyFill="1" applyBorder="1"/>
    <xf numFmtId="0" fontId="13" fillId="11" borderId="9" xfId="0" applyFont="1" applyFill="1" applyBorder="1" applyAlignment="1">
      <alignment horizontal="left" vertical="center"/>
    </xf>
    <xf numFmtId="0" fontId="13" fillId="11" borderId="36" xfId="0" applyFont="1" applyFill="1" applyBorder="1" applyAlignment="1">
      <alignment horizontal="center"/>
    </xf>
    <xf numFmtId="0" fontId="13" fillId="12" borderId="0" xfId="0" applyFont="1" applyFill="1" applyBorder="1"/>
    <xf numFmtId="0" fontId="13" fillId="12" borderId="11" xfId="0" applyFont="1" applyFill="1" applyBorder="1"/>
    <xf numFmtId="0" fontId="13" fillId="13" borderId="36" xfId="0" applyFont="1" applyFill="1" applyBorder="1"/>
    <xf numFmtId="0" fontId="13" fillId="11" borderId="10" xfId="0" applyFont="1" applyFill="1" applyBorder="1"/>
    <xf numFmtId="0" fontId="13" fillId="12" borderId="10" xfId="0" applyFont="1" applyFill="1" applyBorder="1"/>
    <xf numFmtId="0" fontId="13" fillId="9" borderId="7" xfId="0" applyFont="1" applyFill="1" applyBorder="1" applyAlignment="1">
      <alignment horizontal="left"/>
    </xf>
    <xf numFmtId="0" fontId="13" fillId="10" borderId="7" xfId="0" applyFont="1" applyFill="1" applyBorder="1" applyAlignment="1">
      <alignment horizontal="left"/>
    </xf>
    <xf numFmtId="0" fontId="13" fillId="11" borderId="7" xfId="0" applyFont="1" applyFill="1" applyBorder="1" applyAlignment="1">
      <alignment horizontal="left"/>
    </xf>
    <xf numFmtId="0" fontId="13" fillId="5" borderId="7" xfId="0" applyFont="1" applyFill="1" applyBorder="1" applyAlignment="1">
      <alignment horizontal="left"/>
    </xf>
    <xf numFmtId="0" fontId="13" fillId="13" borderId="7" xfId="0" applyFont="1" applyFill="1" applyBorder="1" applyAlignment="1">
      <alignment horizontal="left"/>
    </xf>
    <xf numFmtId="0" fontId="13" fillId="0" borderId="10" xfId="0" applyFont="1" applyBorder="1" applyAlignment="1" applyProtection="1">
      <alignment horizontal="left"/>
    </xf>
    <xf numFmtId="0" fontId="13" fillId="0" borderId="11" xfId="0" applyFont="1" applyBorder="1" applyAlignment="1" applyProtection="1">
      <alignment horizontal="left"/>
    </xf>
    <xf numFmtId="2" fontId="13" fillId="11" borderId="7" xfId="0" applyNumberFormat="1" applyFont="1" applyFill="1" applyBorder="1" applyAlignment="1">
      <alignment horizontal="center"/>
    </xf>
    <xf numFmtId="2" fontId="13" fillId="9" borderId="8" xfId="0" applyNumberFormat="1" applyFont="1" applyFill="1" applyBorder="1" applyAlignment="1">
      <alignment horizontal="center"/>
    </xf>
    <xf numFmtId="2" fontId="13" fillId="11" borderId="39" xfId="0" applyNumberFormat="1" applyFont="1" applyFill="1" applyBorder="1" applyAlignment="1">
      <alignment horizontal="center"/>
    </xf>
    <xf numFmtId="2" fontId="13" fillId="12" borderId="7" xfId="0" applyNumberFormat="1" applyFont="1" applyFill="1" applyBorder="1" applyAlignment="1">
      <alignment horizontal="center"/>
    </xf>
    <xf numFmtId="2" fontId="13" fillId="12" borderId="39" xfId="0" applyNumberFormat="1" applyFont="1" applyFill="1" applyBorder="1" applyAlignment="1">
      <alignment horizontal="center"/>
    </xf>
    <xf numFmtId="2" fontId="13" fillId="13" borderId="9" xfId="0" applyNumberFormat="1" applyFont="1" applyFill="1" applyBorder="1" applyAlignment="1">
      <alignment horizontal="center"/>
    </xf>
    <xf numFmtId="0" fontId="13" fillId="0" borderId="10" xfId="0" applyFont="1" applyBorder="1" applyAlignment="1" applyProtection="1"/>
    <xf numFmtId="0" fontId="13" fillId="0" borderId="11" xfId="0" applyFont="1" applyBorder="1" applyAlignment="1" applyProtection="1"/>
    <xf numFmtId="0" fontId="13" fillId="0" borderId="22" xfId="0" applyFont="1" applyBorder="1" applyAlignment="1" applyProtection="1"/>
    <xf numFmtId="0" fontId="13" fillId="0" borderId="40" xfId="0" applyFont="1" applyBorder="1" applyAlignment="1" applyProtection="1"/>
    <xf numFmtId="0" fontId="13" fillId="0" borderId="22" xfId="0" applyFont="1" applyBorder="1" applyAlignment="1" applyProtection="1">
      <alignment horizontal="left"/>
    </xf>
    <xf numFmtId="0" fontId="13" fillId="0" borderId="40" xfId="0" applyFont="1" applyBorder="1" applyAlignment="1" applyProtection="1">
      <alignment horizontal="left"/>
    </xf>
    <xf numFmtId="0" fontId="13" fillId="0" borderId="11" xfId="0" applyFont="1" applyBorder="1" applyAlignment="1"/>
    <xf numFmtId="0" fontId="1" fillId="0" borderId="0" xfId="0" applyFont="1" applyFill="1"/>
    <xf numFmtId="2" fontId="13" fillId="0" borderId="7" xfId="2" applyNumberFormat="1" applyFont="1" applyBorder="1" applyAlignment="1">
      <alignment horizontal="center"/>
    </xf>
    <xf numFmtId="1" fontId="13" fillId="0" borderId="7" xfId="0" applyNumberFormat="1" applyFont="1" applyBorder="1" applyAlignment="1">
      <alignment horizontal="center"/>
    </xf>
    <xf numFmtId="0" fontId="12" fillId="0" borderId="0" xfId="0" applyFont="1" applyBorder="1" applyAlignment="1"/>
    <xf numFmtId="0" fontId="0" fillId="0" borderId="40" xfId="0" applyBorder="1" applyAlignment="1"/>
    <xf numFmtId="0" fontId="13" fillId="0" borderId="0" xfId="0" applyFont="1" applyBorder="1" applyAlignment="1" applyProtection="1">
      <alignment horizontal="left"/>
    </xf>
    <xf numFmtId="0" fontId="13" fillId="0" borderId="0" xfId="0" applyFont="1" applyBorder="1" applyAlignment="1" applyProtection="1"/>
    <xf numFmtId="0" fontId="13" fillId="0" borderId="0" xfId="0" applyFont="1" applyBorder="1" applyAlignment="1"/>
    <xf numFmtId="0" fontId="0" fillId="0" borderId="0" xfId="0" applyBorder="1" applyAlignment="1"/>
    <xf numFmtId="0" fontId="0" fillId="0" borderId="11" xfId="0" applyBorder="1"/>
    <xf numFmtId="9" fontId="13" fillId="0" borderId="7" xfId="2" applyFont="1" applyBorder="1" applyAlignment="1">
      <alignment horizontal="center"/>
    </xf>
    <xf numFmtId="0" fontId="13" fillId="0" borderId="10" xfId="0" applyFont="1" applyBorder="1"/>
    <xf numFmtId="0" fontId="12" fillId="0" borderId="0" xfId="0" applyFont="1" applyBorder="1" applyAlignment="1">
      <alignment horizontal="center" vertical="center"/>
    </xf>
    <xf numFmtId="0" fontId="14" fillId="0" borderId="0" xfId="0" applyFont="1" applyBorder="1" applyAlignment="1">
      <alignment horizontal="center" vertical="center" wrapText="1"/>
    </xf>
    <xf numFmtId="2" fontId="13" fillId="0" borderId="0" xfId="0" applyNumberFormat="1" applyFont="1" applyBorder="1" applyAlignment="1">
      <alignment horizontal="center"/>
    </xf>
    <xf numFmtId="0" fontId="13" fillId="12" borderId="40" xfId="0" applyFont="1" applyFill="1" applyBorder="1"/>
    <xf numFmtId="0" fontId="13" fillId="13" borderId="22" xfId="0" applyFont="1" applyFill="1" applyBorder="1"/>
    <xf numFmtId="0" fontId="13" fillId="13" borderId="40" xfId="0" applyFont="1" applyFill="1" applyBorder="1"/>
    <xf numFmtId="0" fontId="13" fillId="13" borderId="37" xfId="0" applyFont="1" applyFill="1" applyBorder="1"/>
    <xf numFmtId="0" fontId="13" fillId="8" borderId="8" xfId="0" applyFont="1" applyFill="1" applyBorder="1" applyAlignment="1" applyProtection="1">
      <alignment horizontal="center"/>
      <protection locked="0"/>
    </xf>
    <xf numFmtId="2" fontId="13" fillId="9" borderId="36" xfId="0" applyNumberFormat="1" applyFont="1" applyFill="1" applyBorder="1" applyAlignment="1">
      <alignment horizontal="center"/>
    </xf>
    <xf numFmtId="0" fontId="13" fillId="9" borderId="40" xfId="0" applyFont="1" applyFill="1" applyBorder="1"/>
    <xf numFmtId="0" fontId="13" fillId="9" borderId="22" xfId="0" applyFont="1" applyFill="1" applyBorder="1"/>
    <xf numFmtId="0" fontId="13" fillId="9" borderId="32" xfId="0" applyFont="1" applyFill="1" applyBorder="1"/>
    <xf numFmtId="0" fontId="13" fillId="9" borderId="37" xfId="0" applyFont="1" applyFill="1" applyBorder="1"/>
    <xf numFmtId="0" fontId="13" fillId="9" borderId="40" xfId="0" applyFont="1" applyFill="1" applyBorder="1" applyAlignment="1">
      <alignment horizontal="center"/>
    </xf>
    <xf numFmtId="0" fontId="0" fillId="0" borderId="41" xfId="0" applyBorder="1"/>
    <xf numFmtId="0" fontId="13" fillId="9" borderId="8" xfId="0" applyFont="1" applyFill="1" applyBorder="1" applyAlignment="1">
      <alignment horizontal="left" vertical="center"/>
    </xf>
    <xf numFmtId="0" fontId="14" fillId="0" borderId="7" xfId="0" applyFont="1" applyBorder="1" applyAlignment="1">
      <alignment horizontal="center"/>
    </xf>
    <xf numFmtId="0" fontId="13" fillId="0" borderId="0" xfId="0" applyFont="1" applyFill="1" applyBorder="1"/>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Border="1" applyAlignment="1">
      <alignment vertical="center"/>
    </xf>
    <xf numFmtId="2" fontId="10" fillId="0" borderId="7" xfId="0" applyNumberFormat="1" applyFont="1" applyBorder="1" applyAlignment="1">
      <alignment horizontal="center"/>
    </xf>
    <xf numFmtId="0" fontId="17" fillId="0" borderId="0" xfId="0" applyFont="1"/>
    <xf numFmtId="0" fontId="10" fillId="0" borderId="7" xfId="0" applyFont="1" applyBorder="1" applyAlignment="1">
      <alignment horizontal="center" vertical="center"/>
    </xf>
    <xf numFmtId="2" fontId="17" fillId="0" borderId="7" xfId="0" applyNumberFormat="1" applyFont="1" applyBorder="1" applyAlignment="1">
      <alignment horizontal="center" vertical="center"/>
    </xf>
    <xf numFmtId="0" fontId="10" fillId="0" borderId="7" xfId="0" applyFont="1" applyBorder="1" applyAlignment="1">
      <alignment horizontal="center"/>
    </xf>
    <xf numFmtId="0" fontId="12" fillId="0" borderId="10" xfId="0" applyFont="1" applyBorder="1" applyAlignment="1"/>
    <xf numFmtId="2" fontId="13" fillId="17" borderId="7" xfId="0" applyNumberFormat="1" applyFont="1" applyFill="1" applyBorder="1" applyAlignment="1">
      <alignment horizontal="center"/>
    </xf>
    <xf numFmtId="2" fontId="17" fillId="17" borderId="7" xfId="0" applyNumberFormat="1" applyFont="1" applyFill="1" applyBorder="1" applyAlignment="1">
      <alignment horizontal="center" vertical="center"/>
    </xf>
    <xf numFmtId="0" fontId="10" fillId="17" borderId="7" xfId="0" applyFont="1" applyFill="1" applyBorder="1" applyAlignment="1">
      <alignment horizontal="center"/>
    </xf>
    <xf numFmtId="0" fontId="10" fillId="17" borderId="7" xfId="0" applyFont="1" applyFill="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3" fillId="10" borderId="7" xfId="0" applyFont="1" applyFill="1" applyBorder="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3" fillId="18" borderId="7" xfId="0" applyFont="1" applyFill="1" applyBorder="1" applyAlignment="1" applyProtection="1">
      <alignment horizontal="center"/>
      <protection locked="0"/>
    </xf>
    <xf numFmtId="0" fontId="13" fillId="8" borderId="39" xfId="0" applyFont="1" applyFill="1" applyBorder="1" applyAlignment="1" applyProtection="1">
      <alignment horizontal="center"/>
      <protection locked="0"/>
    </xf>
    <xf numFmtId="0" fontId="13" fillId="8" borderId="9" xfId="0" applyFont="1" applyFill="1" applyBorder="1" applyAlignment="1" applyProtection="1">
      <alignment horizontal="center"/>
      <protection locked="0"/>
    </xf>
    <xf numFmtId="0" fontId="4" fillId="18" borderId="15" xfId="1" applyFont="1" applyFill="1" applyBorder="1" applyAlignment="1">
      <alignment horizontal="center" vertical="center" wrapText="1"/>
    </xf>
    <xf numFmtId="0" fontId="8" fillId="15" borderId="0" xfId="0" applyFont="1" applyFill="1"/>
    <xf numFmtId="0" fontId="0" fillId="3" borderId="0" xfId="0" applyFill="1"/>
    <xf numFmtId="0" fontId="0" fillId="0" borderId="0" xfId="0" applyAlignment="1">
      <alignment vertical="center" wrapText="1"/>
    </xf>
    <xf numFmtId="2" fontId="13" fillId="13" borderId="21" xfId="0" applyNumberFormat="1" applyFont="1" applyFill="1" applyBorder="1" applyAlignment="1">
      <alignment horizontal="center"/>
    </xf>
    <xf numFmtId="0" fontId="13" fillId="8" borderId="37" xfId="0" applyFont="1" applyFill="1" applyBorder="1" applyAlignment="1" applyProtection="1">
      <alignment horizontal="center"/>
      <protection locked="0"/>
    </xf>
    <xf numFmtId="0" fontId="0" fillId="0" borderId="0" xfId="0" applyAlignment="1">
      <alignment horizontal="left"/>
    </xf>
    <xf numFmtId="0" fontId="13" fillId="9" borderId="37" xfId="0" applyFont="1" applyFill="1" applyBorder="1" applyAlignment="1">
      <alignment vertical="center"/>
    </xf>
    <xf numFmtId="0" fontId="13" fillId="12" borderId="12" xfId="0" applyFont="1" applyFill="1" applyBorder="1"/>
    <xf numFmtId="0" fontId="13" fillId="11" borderId="9" xfId="0" applyFont="1" applyFill="1" applyBorder="1" applyAlignment="1">
      <alignment horizontal="center" vertical="center"/>
    </xf>
    <xf numFmtId="0" fontId="13" fillId="8" borderId="32" xfId="0" applyFont="1" applyFill="1" applyBorder="1" applyAlignment="1" applyProtection="1">
      <alignment horizontal="center"/>
      <protection locked="0"/>
    </xf>
    <xf numFmtId="0" fontId="13" fillId="8" borderId="22" xfId="0" applyFont="1" applyFill="1" applyBorder="1" applyAlignment="1" applyProtection="1">
      <alignment horizontal="center"/>
      <protection locked="0"/>
    </xf>
    <xf numFmtId="2" fontId="16" fillId="11" borderId="8" xfId="0" applyNumberFormat="1" applyFont="1" applyFill="1" applyBorder="1" applyAlignment="1">
      <alignment horizontal="center" vertical="center"/>
    </xf>
    <xf numFmtId="0" fontId="13" fillId="12" borderId="9" xfId="0" applyFont="1" applyFill="1" applyBorder="1" applyAlignment="1">
      <alignment horizontal="left" vertical="center"/>
    </xf>
    <xf numFmtId="0" fontId="13" fillId="12" borderId="9" xfId="0" applyFont="1" applyFill="1" applyBorder="1" applyAlignment="1">
      <alignment horizontal="center"/>
    </xf>
    <xf numFmtId="0" fontId="0" fillId="0" borderId="0" xfId="0" applyAlignment="1">
      <alignment wrapText="1"/>
    </xf>
    <xf numFmtId="0" fontId="13" fillId="0" borderId="0" xfId="0" applyFont="1" applyFill="1" applyBorder="1" applyAlignment="1">
      <alignment horizontal="left"/>
    </xf>
    <xf numFmtId="2" fontId="13" fillId="0" borderId="0" xfId="0" applyNumberFormat="1" applyFont="1" applyFill="1" applyBorder="1" applyAlignment="1">
      <alignment horizontal="center"/>
    </xf>
    <xf numFmtId="2" fontId="13" fillId="11" borderId="39" xfId="0" applyNumberFormat="1" applyFont="1" applyFill="1" applyBorder="1" applyAlignment="1">
      <alignment horizontal="center" vertical="center"/>
    </xf>
    <xf numFmtId="2" fontId="13" fillId="9" borderId="9" xfId="0" applyNumberFormat="1" applyFont="1" applyFill="1" applyBorder="1" applyAlignment="1">
      <alignment horizontal="center" vertical="center"/>
    </xf>
    <xf numFmtId="0" fontId="13" fillId="13" borderId="21" xfId="0" applyFont="1" applyFill="1" applyBorder="1"/>
    <xf numFmtId="0" fontId="13" fillId="13" borderId="33" xfId="0" applyFont="1" applyFill="1" applyBorder="1"/>
    <xf numFmtId="0" fontId="13" fillId="13" borderId="38" xfId="0" applyFont="1" applyFill="1" applyBorder="1"/>
    <xf numFmtId="2" fontId="13" fillId="13" borderId="39" xfId="0" applyNumberFormat="1" applyFont="1" applyFill="1" applyBorder="1" applyAlignment="1">
      <alignment horizontal="center"/>
    </xf>
    <xf numFmtId="0" fontId="19" fillId="0" borderId="0" xfId="0" applyFont="1" applyAlignment="1" applyProtection="1">
      <alignment horizontal="center"/>
    </xf>
    <xf numFmtId="0" fontId="13" fillId="8" borderId="9" xfId="0" applyFont="1" applyFill="1" applyBorder="1" applyAlignment="1" applyProtection="1">
      <alignment horizontal="center" vertical="center"/>
      <protection locked="0"/>
    </xf>
    <xf numFmtId="0" fontId="13" fillId="12" borderId="21" xfId="0" applyFont="1" applyFill="1" applyBorder="1"/>
    <xf numFmtId="0" fontId="13" fillId="12" borderId="33" xfId="0" applyFont="1" applyFill="1" applyBorder="1"/>
    <xf numFmtId="0" fontId="19" fillId="0" borderId="0" xfId="0" applyFont="1" applyAlignment="1" applyProtection="1">
      <alignment horizontal="center"/>
    </xf>
    <xf numFmtId="0" fontId="13" fillId="12" borderId="8" xfId="0" applyFont="1" applyFill="1" applyBorder="1" applyAlignment="1" applyProtection="1">
      <alignment horizontal="center"/>
    </xf>
    <xf numFmtId="0" fontId="13" fillId="12" borderId="9" xfId="0" applyFont="1" applyFill="1" applyBorder="1" applyAlignment="1" applyProtection="1">
      <alignment horizontal="center"/>
    </xf>
    <xf numFmtId="0" fontId="15" fillId="13" borderId="22" xfId="0" applyFont="1" applyFill="1" applyBorder="1"/>
    <xf numFmtId="0" fontId="15" fillId="13" borderId="32" xfId="0" applyFont="1" applyFill="1" applyBorder="1"/>
    <xf numFmtId="0" fontId="15" fillId="12" borderId="22" xfId="0" applyFont="1" applyFill="1" applyBorder="1"/>
    <xf numFmtId="0" fontId="15" fillId="12" borderId="32" xfId="0" applyFont="1" applyFill="1" applyBorder="1"/>
    <xf numFmtId="0" fontId="0" fillId="0" borderId="42" xfId="0" applyBorder="1"/>
    <xf numFmtId="0" fontId="15" fillId="9" borderId="37" xfId="0" applyFont="1" applyFill="1" applyBorder="1" applyAlignment="1">
      <alignment wrapText="1"/>
    </xf>
    <xf numFmtId="0" fontId="13" fillId="12" borderId="38" xfId="0" applyFont="1" applyFill="1" applyBorder="1"/>
    <xf numFmtId="0" fontId="15" fillId="12" borderId="37" xfId="0" applyFont="1" applyFill="1" applyBorder="1"/>
    <xf numFmtId="0" fontId="13" fillId="12" borderId="9" xfId="0" applyFont="1" applyFill="1" applyBorder="1" applyAlignment="1">
      <alignment horizontal="left" vertical="center"/>
    </xf>
    <xf numFmtId="0" fontId="12" fillId="0" borderId="0" xfId="0" applyFont="1" applyBorder="1" applyAlignment="1">
      <alignment horizontal="center"/>
    </xf>
    <xf numFmtId="0" fontId="15" fillId="11" borderId="38" xfId="0" applyFont="1" applyFill="1" applyBorder="1"/>
    <xf numFmtId="0" fontId="13" fillId="11" borderId="7" xfId="0" applyFont="1" applyFill="1" applyBorder="1" applyAlignment="1">
      <alignment horizontal="center"/>
    </xf>
    <xf numFmtId="0" fontId="16" fillId="11" borderId="39" xfId="0" applyNumberFormat="1" applyFont="1" applyFill="1" applyBorder="1" applyAlignment="1">
      <alignment horizontal="center" vertical="center"/>
    </xf>
    <xf numFmtId="0" fontId="13" fillId="0" borderId="7" xfId="0" applyFont="1" applyBorder="1" applyProtection="1"/>
    <xf numFmtId="0" fontId="11" fillId="0" borderId="0" xfId="0" applyFont="1" applyProtection="1"/>
    <xf numFmtId="0" fontId="13" fillId="0" borderId="0" xfId="0" applyFont="1" applyFill="1" applyBorder="1" applyProtection="1"/>
    <xf numFmtId="0" fontId="14" fillId="0" borderId="0"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0" fillId="0" borderId="0" xfId="0" applyFill="1" applyBorder="1" applyAlignment="1">
      <alignment horizontal="left" vertical="center" wrapText="1"/>
    </xf>
    <xf numFmtId="0" fontId="12" fillId="0" borderId="0" xfId="0" applyFont="1" applyBorder="1" applyAlignment="1" applyProtection="1">
      <alignment horizontal="center" vertical="center" wrapText="1"/>
    </xf>
    <xf numFmtId="0" fontId="14" fillId="0" borderId="45" xfId="0" applyFont="1" applyBorder="1" applyAlignment="1" applyProtection="1">
      <alignment horizontal="center" vertical="center" wrapText="1"/>
    </xf>
    <xf numFmtId="0" fontId="14" fillId="0" borderId="45"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1" fillId="0" borderId="45"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7" xfId="0" applyBorder="1" applyAlignment="1" applyProtection="1">
      <alignment horizontal="center"/>
    </xf>
    <xf numFmtId="0" fontId="0" fillId="0" borderId="7" xfId="0" applyFill="1" applyBorder="1" applyAlignment="1" applyProtection="1">
      <alignment horizontal="center"/>
    </xf>
    <xf numFmtId="0" fontId="0" fillId="0" borderId="0" xfId="0" applyAlignment="1" applyProtection="1">
      <alignment vertical="center"/>
    </xf>
    <xf numFmtId="2" fontId="13" fillId="11" borderId="39" xfId="0" applyNumberFormat="1" applyFont="1" applyFill="1" applyBorder="1" applyAlignment="1">
      <alignment horizontal="center" vertical="center"/>
    </xf>
    <xf numFmtId="0" fontId="13" fillId="11" borderId="9" xfId="0" applyFont="1" applyFill="1" applyBorder="1" applyAlignment="1">
      <alignment horizontal="center"/>
    </xf>
    <xf numFmtId="0" fontId="23" fillId="3" borderId="0" xfId="0" applyFont="1" applyFill="1"/>
    <xf numFmtId="0" fontId="23" fillId="0" borderId="0" xfId="0" applyFont="1" applyFill="1"/>
    <xf numFmtId="0" fontId="0" fillId="15" borderId="0" xfId="0" applyFill="1" applyAlignment="1">
      <alignment horizontal="center"/>
    </xf>
    <xf numFmtId="0" fontId="0" fillId="0" borderId="4" xfId="0" applyBorder="1"/>
    <xf numFmtId="0" fontId="0" fillId="0" borderId="5" xfId="0" applyBorder="1"/>
    <xf numFmtId="0" fontId="0" fillId="0" borderId="6" xfId="0" applyBorder="1"/>
    <xf numFmtId="1" fontId="12" fillId="0" borderId="37" xfId="0" applyNumberFormat="1" applyFont="1" applyBorder="1" applyAlignment="1">
      <alignment horizontal="center"/>
    </xf>
    <xf numFmtId="1" fontId="12" fillId="0" borderId="36" xfId="0" applyNumberFormat="1" applyFont="1" applyBorder="1" applyAlignment="1">
      <alignment horizontal="center"/>
    </xf>
    <xf numFmtId="0" fontId="12" fillId="0" borderId="38" xfId="0" applyFont="1" applyBorder="1" applyAlignment="1">
      <alignment horizontal="center"/>
    </xf>
    <xf numFmtId="2" fontId="20" fillId="0" borderId="7" xfId="0" applyNumberFormat="1" applyFont="1" applyBorder="1" applyAlignment="1" applyProtection="1">
      <alignment horizontal="center" vertical="center"/>
    </xf>
    <xf numFmtId="0" fontId="20" fillId="0" borderId="7" xfId="0" applyFont="1" applyBorder="1" applyAlignment="1" applyProtection="1">
      <alignment horizontal="center" vertical="center"/>
    </xf>
    <xf numFmtId="0" fontId="21" fillId="0" borderId="7" xfId="0" applyFont="1" applyBorder="1" applyAlignment="1" applyProtection="1">
      <alignment horizontal="center" vertical="center"/>
    </xf>
    <xf numFmtId="9" fontId="20" fillId="0" borderId="7" xfId="2" applyFont="1" applyBorder="1" applyAlignment="1" applyProtection="1">
      <alignment horizontal="center" vertical="center"/>
    </xf>
    <xf numFmtId="0" fontId="13" fillId="9" borderId="7" xfId="0" applyFont="1" applyFill="1" applyBorder="1" applyAlignment="1" applyProtection="1">
      <alignment vertical="center"/>
    </xf>
    <xf numFmtId="0" fontId="13" fillId="10" borderId="7" xfId="0" applyFont="1" applyFill="1" applyBorder="1" applyAlignment="1" applyProtection="1">
      <alignment horizontal="left"/>
    </xf>
    <xf numFmtId="0" fontId="13" fillId="11" borderId="7" xfId="0" applyFont="1" applyFill="1" applyBorder="1" applyAlignment="1" applyProtection="1">
      <alignment horizontal="left"/>
    </xf>
    <xf numFmtId="0" fontId="13" fillId="5" borderId="7" xfId="0" applyFont="1" applyFill="1" applyBorder="1" applyAlignment="1" applyProtection="1">
      <alignment horizontal="left"/>
    </xf>
    <xf numFmtId="0" fontId="13" fillId="13" borderId="7" xfId="0" applyFont="1" applyFill="1" applyBorder="1" applyAlignment="1" applyProtection="1">
      <alignment horizontal="left"/>
    </xf>
    <xf numFmtId="0" fontId="14" fillId="0" borderId="7" xfId="0" applyFont="1" applyBorder="1" applyAlignment="1" applyProtection="1">
      <alignment vertical="center" wrapText="1"/>
    </xf>
    <xf numFmtId="0" fontId="14" fillId="0" borderId="7"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7" xfId="0" applyFont="1" applyBorder="1" applyAlignment="1" applyProtection="1">
      <alignment vertical="center" wrapText="1"/>
    </xf>
    <xf numFmtId="0" fontId="22" fillId="0" borderId="7" xfId="0" applyFont="1" applyFill="1" applyBorder="1" applyAlignment="1" applyProtection="1">
      <alignment horizontal="center" vertical="center" wrapText="1"/>
    </xf>
    <xf numFmtId="0" fontId="22" fillId="0" borderId="7" xfId="0" applyFont="1" applyFill="1" applyBorder="1" applyAlignment="1" applyProtection="1">
      <alignment vertical="center" wrapText="1"/>
    </xf>
    <xf numFmtId="0" fontId="13" fillId="11" borderId="8" xfId="0" applyFont="1" applyFill="1" applyBorder="1" applyAlignment="1">
      <alignment horizontal="center"/>
    </xf>
    <xf numFmtId="0" fontId="13" fillId="11" borderId="21" xfId="0" applyFont="1" applyFill="1" applyBorder="1"/>
    <xf numFmtId="0" fontId="13" fillId="11" borderId="33" xfId="0" applyFont="1" applyFill="1" applyBorder="1"/>
    <xf numFmtId="0" fontId="15" fillId="11" borderId="37" xfId="0" applyFont="1" applyFill="1" applyBorder="1"/>
    <xf numFmtId="2" fontId="13" fillId="11" borderId="40" xfId="0" applyNumberFormat="1" applyFont="1" applyFill="1" applyBorder="1" applyAlignment="1">
      <alignment horizontal="center"/>
    </xf>
    <xf numFmtId="0" fontId="13" fillId="12" borderId="9" xfId="0" applyFont="1" applyFill="1" applyBorder="1" applyAlignment="1">
      <alignment horizontal="left" vertical="center"/>
    </xf>
    <xf numFmtId="0" fontId="13" fillId="9" borderId="8" xfId="0" applyFont="1" applyFill="1" applyBorder="1" applyAlignment="1">
      <alignment horizontal="left" vertical="center"/>
    </xf>
    <xf numFmtId="2" fontId="13" fillId="11" borderId="39" xfId="0" applyNumberFormat="1" applyFont="1" applyFill="1" applyBorder="1" applyAlignment="1">
      <alignment horizontal="center" vertical="center"/>
    </xf>
    <xf numFmtId="2" fontId="13" fillId="11" borderId="8" xfId="0" applyNumberFormat="1" applyFont="1" applyFill="1" applyBorder="1" applyAlignment="1">
      <alignment horizontal="center"/>
    </xf>
    <xf numFmtId="2" fontId="13" fillId="9" borderId="9" xfId="0" applyNumberFormat="1" applyFont="1" applyFill="1" applyBorder="1" applyAlignment="1">
      <alignment horizontal="center" vertical="center"/>
    </xf>
    <xf numFmtId="0" fontId="13" fillId="11" borderId="9" xfId="0" applyFont="1" applyFill="1" applyBorder="1" applyAlignment="1">
      <alignment horizontal="center" vertical="center"/>
    </xf>
    <xf numFmtId="0" fontId="13" fillId="13" borderId="32" xfId="0" applyFont="1" applyFill="1" applyBorder="1"/>
    <xf numFmtId="0" fontId="13" fillId="13" borderId="0" xfId="0" applyFont="1" applyFill="1" applyBorder="1"/>
    <xf numFmtId="0" fontId="13" fillId="9" borderId="8" xfId="0" applyFont="1" applyFill="1" applyBorder="1" applyAlignment="1">
      <alignment horizontal="center"/>
    </xf>
    <xf numFmtId="0" fontId="13" fillId="9" borderId="39" xfId="0" applyFont="1" applyFill="1" applyBorder="1" applyAlignment="1">
      <alignment horizontal="center"/>
    </xf>
    <xf numFmtId="2" fontId="13" fillId="9" borderId="9" xfId="0" applyNumberFormat="1" applyFont="1" applyFill="1" applyBorder="1" applyAlignment="1">
      <alignment horizontal="center"/>
    </xf>
    <xf numFmtId="0" fontId="13" fillId="10" borderId="39" xfId="0" applyFont="1" applyFill="1" applyBorder="1" applyAlignment="1">
      <alignment horizontal="center"/>
    </xf>
    <xf numFmtId="0" fontId="13" fillId="10" borderId="9" xfId="0" applyFont="1" applyFill="1" applyBorder="1" applyAlignment="1">
      <alignment horizontal="center"/>
    </xf>
    <xf numFmtId="0" fontId="13" fillId="11" borderId="39" xfId="0" applyFont="1" applyFill="1" applyBorder="1" applyAlignment="1">
      <alignment horizontal="center"/>
    </xf>
    <xf numFmtId="15" fontId="0" fillId="0" borderId="0" xfId="0" applyNumberFormat="1" applyFill="1"/>
    <xf numFmtId="0" fontId="0" fillId="0" borderId="7" xfId="0"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2" fontId="13" fillId="17" borderId="7" xfId="0" applyNumberFormat="1" applyFont="1" applyFill="1" applyBorder="1" applyAlignment="1" applyProtection="1">
      <alignment horizontal="center"/>
    </xf>
    <xf numFmtId="0" fontId="24" fillId="0" borderId="0" xfId="0" applyFont="1"/>
    <xf numFmtId="0" fontId="25" fillId="0" borderId="0" xfId="0" applyFont="1" applyAlignment="1">
      <alignment vertical="center"/>
    </xf>
    <xf numFmtId="0" fontId="24" fillId="0" borderId="0" xfId="0" applyFont="1" applyFill="1" applyBorder="1"/>
    <xf numFmtId="0" fontId="24" fillId="0" borderId="0" xfId="0" applyFont="1" applyFill="1" applyBorder="1" applyAlignment="1">
      <alignment vertical="center" wrapText="1"/>
    </xf>
    <xf numFmtId="0" fontId="26" fillId="0" borderId="0" xfId="0" applyFont="1" applyAlignment="1"/>
    <xf numFmtId="0" fontId="26" fillId="0" borderId="0" xfId="0" applyFont="1"/>
    <xf numFmtId="0" fontId="24" fillId="0" borderId="1" xfId="0" applyFont="1" applyBorder="1" applyAlignment="1">
      <alignment vertical="center" wrapText="1"/>
    </xf>
    <xf numFmtId="0" fontId="24" fillId="0" borderId="2" xfId="0" applyFont="1" applyBorder="1"/>
    <xf numFmtId="0" fontId="24" fillId="0" borderId="3" xfId="0" applyFont="1" applyBorder="1"/>
    <xf numFmtId="0" fontId="24" fillId="0" borderId="0" xfId="0" applyFont="1" applyFill="1"/>
    <xf numFmtId="0" fontId="24" fillId="0" borderId="41" xfId="0" applyFont="1" applyBorder="1"/>
    <xf numFmtId="0" fontId="24" fillId="0" borderId="0" xfId="0" applyFont="1" applyBorder="1"/>
    <xf numFmtId="0" fontId="24" fillId="0" borderId="42" xfId="0" applyFont="1" applyBorder="1"/>
    <xf numFmtId="164" fontId="24" fillId="0" borderId="0" xfId="0" applyNumberFormat="1" applyFont="1" applyFill="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2" xfId="0" applyFont="1" applyFill="1" applyBorder="1"/>
    <xf numFmtId="0" fontId="24" fillId="0" borderId="3" xfId="0" applyFont="1" applyFill="1" applyBorder="1"/>
    <xf numFmtId="0" fontId="24" fillId="0" borderId="1" xfId="0" applyFont="1" applyBorder="1" applyAlignment="1">
      <alignment vertical="center"/>
    </xf>
    <xf numFmtId="2" fontId="24" fillId="0" borderId="2" xfId="0" applyNumberFormat="1" applyFont="1" applyBorder="1" applyAlignment="1">
      <alignment vertical="center" wrapText="1"/>
    </xf>
    <xf numFmtId="2" fontId="24" fillId="0" borderId="3" xfId="0" applyNumberFormat="1" applyFont="1" applyBorder="1" applyAlignment="1">
      <alignment vertical="center" wrapText="1"/>
    </xf>
    <xf numFmtId="0" fontId="24" fillId="0" borderId="41" xfId="0" applyFont="1" applyFill="1" applyBorder="1"/>
    <xf numFmtId="0" fontId="24" fillId="0" borderId="4" xfId="0" applyFont="1" applyBorder="1" applyAlignment="1">
      <alignment vertical="center" wrapText="1"/>
    </xf>
    <xf numFmtId="0" fontId="24" fillId="2" borderId="5" xfId="0" applyFont="1" applyFill="1" applyBorder="1" applyAlignment="1">
      <alignment vertical="center" wrapText="1"/>
    </xf>
    <xf numFmtId="0" fontId="24" fillId="3" borderId="5" xfId="0" applyFont="1" applyFill="1" applyBorder="1" applyAlignment="1">
      <alignment vertical="center" wrapText="1"/>
    </xf>
    <xf numFmtId="0" fontId="24" fillId="3" borderId="5" xfId="0" applyFont="1" applyFill="1" applyBorder="1"/>
    <xf numFmtId="0" fontId="24" fillId="4" borderId="5" xfId="0" applyFont="1" applyFill="1" applyBorder="1" applyAlignment="1">
      <alignment vertical="center" wrapText="1"/>
    </xf>
    <xf numFmtId="0" fontId="24" fillId="4" borderId="6" xfId="0" applyFont="1" applyFill="1" applyBorder="1" applyAlignment="1">
      <alignment vertical="center" wrapText="1"/>
    </xf>
    <xf numFmtId="0" fontId="24" fillId="0" borderId="42" xfId="0" applyFont="1" applyFill="1" applyBorder="1"/>
    <xf numFmtId="0" fontId="24" fillId="0" borderId="41" xfId="0" applyFont="1" applyBorder="1" applyAlignment="1">
      <alignment vertical="center" wrapText="1"/>
    </xf>
    <xf numFmtId="2" fontId="24" fillId="0" borderId="0" xfId="0" applyNumberFormat="1" applyFont="1" applyBorder="1" applyAlignment="1">
      <alignment vertical="center" wrapText="1"/>
    </xf>
    <xf numFmtId="2" fontId="24" fillId="0" borderId="42" xfId="0" applyNumberFormat="1" applyFont="1" applyBorder="1" applyAlignment="1">
      <alignment vertical="center" wrapText="1"/>
    </xf>
    <xf numFmtId="0" fontId="24" fillId="0" borderId="0" xfId="0" applyFont="1" applyBorder="1" applyAlignment="1">
      <alignment vertical="center" wrapText="1"/>
    </xf>
    <xf numFmtId="0" fontId="24" fillId="0" borderId="0" xfId="0" applyFont="1" applyAlignment="1"/>
    <xf numFmtId="0" fontId="24" fillId="0" borderId="0" xfId="0" applyFont="1" applyBorder="1" applyAlignment="1"/>
    <xf numFmtId="0" fontId="24" fillId="0" borderId="41" xfId="0" applyFont="1" applyBorder="1" applyAlignment="1">
      <alignment vertical="center"/>
    </xf>
    <xf numFmtId="0" fontId="24" fillId="0" borderId="0" xfId="0" applyFont="1" applyFill="1" applyBorder="1" applyAlignment="1"/>
    <xf numFmtId="0" fontId="24" fillId="0" borderId="0" xfId="0" applyFont="1" applyFill="1" applyAlignment="1">
      <alignment horizontal="center"/>
    </xf>
    <xf numFmtId="0" fontId="24" fillId="0" borderId="0" xfId="0" applyFont="1" applyBorder="1" applyAlignment="1">
      <alignment horizontal="center"/>
    </xf>
    <xf numFmtId="0" fontId="24" fillId="0" borderId="44" xfId="0" applyFont="1" applyFill="1" applyBorder="1"/>
    <xf numFmtId="0" fontId="24" fillId="0" borderId="0" xfId="0" applyFont="1" applyAlignment="1">
      <alignment horizontal="center"/>
    </xf>
    <xf numFmtId="0" fontId="27" fillId="0" borderId="0" xfId="0" applyFont="1"/>
    <xf numFmtId="0" fontId="24" fillId="0" borderId="0" xfId="0" applyFont="1" applyAlignment="1">
      <alignment vertical="center"/>
    </xf>
    <xf numFmtId="166" fontId="27" fillId="0" borderId="0" xfId="0" applyNumberFormat="1" applyFont="1"/>
    <xf numFmtId="0" fontId="24" fillId="0" borderId="0" xfId="0" applyFont="1" applyFill="1" applyAlignment="1">
      <alignment vertical="center"/>
    </xf>
    <xf numFmtId="166" fontId="24" fillId="0" borderId="0" xfId="0" applyNumberFormat="1"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left"/>
    </xf>
    <xf numFmtId="0" fontId="24" fillId="0" borderId="0" xfId="0" applyFont="1" applyFill="1" applyBorder="1" applyAlignment="1">
      <alignment horizontal="left"/>
    </xf>
    <xf numFmtId="0" fontId="24" fillId="0" borderId="0" xfId="0" applyFont="1" applyFill="1" applyBorder="1" applyAlignment="1">
      <alignment horizontal="center"/>
    </xf>
    <xf numFmtId="165" fontId="24" fillId="0" borderId="0" xfId="0" applyNumberFormat="1" applyFont="1"/>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1" xfId="0" applyFont="1" applyBorder="1" applyAlignment="1">
      <alignment horizontal="left" vertical="center" wrapText="1"/>
    </xf>
    <xf numFmtId="0" fontId="24" fillId="0" borderId="2" xfId="3" applyFont="1" applyFill="1" applyBorder="1" applyAlignment="1">
      <alignment horizontal="center" vertical="center"/>
    </xf>
    <xf numFmtId="1" fontId="24" fillId="0" borderId="3" xfId="3" applyNumberFormat="1" applyFont="1" applyFill="1" applyBorder="1" applyAlignment="1">
      <alignment horizontal="center" vertical="center"/>
    </xf>
    <xf numFmtId="0" fontId="24" fillId="0" borderId="0" xfId="0" applyFont="1" applyFill="1" applyBorder="1" applyAlignment="1">
      <alignment horizontal="left" vertical="center" wrapText="1"/>
    </xf>
    <xf numFmtId="0" fontId="28" fillId="0" borderId="0" xfId="0" applyFont="1" applyFill="1" applyAlignment="1">
      <alignment horizontal="center"/>
    </xf>
    <xf numFmtId="0" fontId="28" fillId="0" borderId="0" xfId="0" quotePrefix="1" applyFont="1" applyAlignment="1">
      <alignment wrapText="1"/>
    </xf>
    <xf numFmtId="0" fontId="28" fillId="0" borderId="0" xfId="0" quotePrefix="1" applyNumberFormat="1" applyFont="1" applyAlignment="1">
      <alignment wrapText="1"/>
    </xf>
    <xf numFmtId="0" fontId="28" fillId="0" borderId="0" xfId="0" applyFont="1" applyAlignment="1">
      <alignment wrapText="1"/>
    </xf>
    <xf numFmtId="0" fontId="24" fillId="0" borderId="1" xfId="3" applyFont="1" applyFill="1" applyBorder="1" applyAlignment="1">
      <alignment horizontal="center" vertical="center"/>
    </xf>
    <xf numFmtId="2" fontId="24" fillId="0" borderId="2" xfId="3" applyNumberFormat="1" applyFont="1" applyFill="1" applyBorder="1" applyAlignment="1">
      <alignment horizontal="center" vertical="center"/>
    </xf>
    <xf numFmtId="2" fontId="24" fillId="0" borderId="3" xfId="3" applyNumberFormat="1" applyFont="1" applyFill="1" applyBorder="1" applyAlignment="1">
      <alignment horizontal="center" vertical="center"/>
    </xf>
    <xf numFmtId="0" fontId="24" fillId="0" borderId="41" xfId="3" applyFont="1" applyFill="1" applyBorder="1" applyAlignment="1">
      <alignment horizontal="center" vertical="center"/>
    </xf>
    <xf numFmtId="2" fontId="24" fillId="0" borderId="0" xfId="3" applyNumberFormat="1" applyFont="1" applyFill="1" applyBorder="1" applyAlignment="1">
      <alignment horizontal="center" vertical="center"/>
    </xf>
    <xf numFmtId="0" fontId="24" fillId="0" borderId="0" xfId="3" applyFont="1" applyFill="1" applyBorder="1" applyAlignment="1">
      <alignment horizontal="center" vertical="center"/>
    </xf>
    <xf numFmtId="2" fontId="24" fillId="0" borderId="42" xfId="3" applyNumberFormat="1" applyFont="1" applyFill="1" applyBorder="1" applyAlignment="1">
      <alignment horizontal="center" vertical="center"/>
    </xf>
    <xf numFmtId="166" fontId="24" fillId="0" borderId="2" xfId="0" applyNumberFormat="1" applyFont="1" applyBorder="1" applyAlignment="1">
      <alignment vertical="center" wrapText="1"/>
    </xf>
    <xf numFmtId="0" fontId="24" fillId="0" borderId="0" xfId="0" applyFont="1" applyFill="1" applyAlignment="1"/>
    <xf numFmtId="0" fontId="24" fillId="0" borderId="1" xfId="0" applyFont="1" applyBorder="1"/>
    <xf numFmtId="2" fontId="24" fillId="0" borderId="2" xfId="0" applyNumberFormat="1" applyFont="1" applyBorder="1"/>
    <xf numFmtId="2" fontId="24" fillId="0" borderId="0" xfId="0" applyNumberFormat="1" applyFont="1"/>
    <xf numFmtId="2" fontId="24" fillId="0" borderId="0" xfId="0" applyNumberFormat="1" applyFont="1" applyBorder="1"/>
    <xf numFmtId="0" fontId="24" fillId="0" borderId="42" xfId="0" applyFont="1" applyFill="1" applyBorder="1" applyAlignment="1">
      <alignment vertical="center" wrapText="1"/>
    </xf>
    <xf numFmtId="1" fontId="24" fillId="0" borderId="2" xfId="0" applyNumberFormat="1" applyFont="1" applyBorder="1" applyAlignment="1">
      <alignment vertical="center" wrapText="1"/>
    </xf>
    <xf numFmtId="1" fontId="24" fillId="0" borderId="3" xfId="0" applyNumberFormat="1" applyFont="1" applyBorder="1" applyAlignment="1">
      <alignment vertical="center" wrapText="1"/>
    </xf>
    <xf numFmtId="0" fontId="24" fillId="0" borderId="0" xfId="0" applyFont="1" applyFill="1" applyAlignment="1">
      <alignment horizontal="left"/>
    </xf>
    <xf numFmtId="0" fontId="24" fillId="0" borderId="1" xfId="0" applyFont="1" applyFill="1" applyBorder="1" applyAlignment="1">
      <alignment horizontal="left" vertical="center"/>
    </xf>
    <xf numFmtId="0" fontId="28" fillId="0" borderId="2" xfId="0" applyFont="1" applyFill="1" applyBorder="1" applyAlignment="1">
      <alignment horizontal="right" vertical="center"/>
    </xf>
    <xf numFmtId="0" fontId="24" fillId="0" borderId="3" xfId="0" applyFont="1" applyBorder="1" applyAlignment="1">
      <alignment horizontal="right"/>
    </xf>
    <xf numFmtId="0" fontId="24" fillId="0" borderId="41" xfId="0" applyFont="1" applyFill="1" applyBorder="1" applyAlignment="1">
      <alignment horizontal="left" vertical="center"/>
    </xf>
    <xf numFmtId="0" fontId="28" fillId="0" borderId="0" xfId="0" applyFont="1" applyFill="1" applyBorder="1" applyAlignment="1">
      <alignment horizontal="right" vertical="center"/>
    </xf>
    <xf numFmtId="0" fontId="24" fillId="0" borderId="0" xfId="0" applyFont="1" applyBorder="1" applyAlignment="1">
      <alignment horizontal="right"/>
    </xf>
    <xf numFmtId="0" fontId="24" fillId="0" borderId="42" xfId="0" applyFont="1" applyFill="1" applyBorder="1" applyAlignment="1">
      <alignment horizontal="right"/>
    </xf>
    <xf numFmtId="0" fontId="24" fillId="0" borderId="0" xfId="0" applyFont="1" applyFill="1" applyBorder="1" applyAlignment="1">
      <alignment horizontal="right"/>
    </xf>
    <xf numFmtId="0" fontId="24" fillId="0" borderId="42" xfId="0" applyFont="1" applyBorder="1" applyAlignment="1">
      <alignment horizontal="right"/>
    </xf>
    <xf numFmtId="0" fontId="24" fillId="0" borderId="0" xfId="0" applyFont="1" applyFill="1" applyBorder="1" applyAlignment="1">
      <alignment horizontal="left" vertical="center"/>
    </xf>
    <xf numFmtId="166" fontId="24" fillId="0" borderId="0" xfId="0" applyNumberFormat="1" applyFont="1" applyBorder="1" applyAlignment="1">
      <alignment vertical="center" wrapText="1"/>
    </xf>
    <xf numFmtId="0" fontId="24" fillId="0" borderId="0" xfId="0" applyFont="1" applyFill="1" applyBorder="1" applyAlignment="1">
      <alignment vertical="center"/>
    </xf>
    <xf numFmtId="0" fontId="24" fillId="0" borderId="1" xfId="0" applyFont="1" applyFill="1" applyBorder="1" applyAlignment="1">
      <alignment horizontal="left" vertical="center" wrapText="1"/>
    </xf>
    <xf numFmtId="0" fontId="24" fillId="0" borderId="2" xfId="0" applyFont="1" applyFill="1" applyBorder="1" applyAlignment="1">
      <alignment vertical="center"/>
    </xf>
    <xf numFmtId="0" fontId="24" fillId="0" borderId="3" xfId="0" applyFont="1" applyFill="1" applyBorder="1" applyAlignment="1">
      <alignment vertical="center"/>
    </xf>
    <xf numFmtId="0" fontId="24" fillId="0" borderId="41" xfId="0" applyFont="1" applyFill="1" applyBorder="1" applyAlignment="1">
      <alignment horizontal="left" vertical="center" wrapText="1"/>
    </xf>
    <xf numFmtId="1" fontId="24" fillId="0" borderId="0" xfId="0" applyNumberFormat="1" applyFont="1" applyFill="1" applyBorder="1" applyAlignment="1">
      <alignment vertical="center" wrapText="1"/>
    </xf>
    <xf numFmtId="1" fontId="24" fillId="0" borderId="0" xfId="0" applyNumberFormat="1" applyFont="1" applyFill="1" applyBorder="1" applyAlignment="1">
      <alignment vertical="center"/>
    </xf>
    <xf numFmtId="1" fontId="24" fillId="0" borderId="42" xfId="0" applyNumberFormat="1" applyFont="1" applyFill="1" applyBorder="1" applyAlignment="1">
      <alignment vertical="center"/>
    </xf>
    <xf numFmtId="0" fontId="24" fillId="2" borderId="5" xfId="0" applyFont="1" applyFill="1" applyBorder="1" applyAlignment="1">
      <alignment horizontal="right" vertical="center" wrapText="1"/>
    </xf>
    <xf numFmtId="0" fontId="24" fillId="3" borderId="5" xfId="0" applyFont="1" applyFill="1" applyBorder="1" applyAlignment="1">
      <alignment horizontal="right" vertical="center" wrapText="1"/>
    </xf>
    <xf numFmtId="0" fontId="24" fillId="4" borderId="5"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0" borderId="0" xfId="0" applyFont="1" applyAlignment="1">
      <alignment wrapText="1"/>
    </xf>
    <xf numFmtId="0" fontId="24" fillId="0" borderId="22" xfId="0" applyFont="1" applyBorder="1" applyAlignment="1">
      <alignment horizontal="right" vertical="center"/>
    </xf>
    <xf numFmtId="0" fontId="24" fillId="0" borderId="40" xfId="0" applyFont="1" applyBorder="1" applyAlignment="1">
      <alignment horizontal="right" vertical="center"/>
    </xf>
    <xf numFmtId="0" fontId="24" fillId="0" borderId="21" xfId="0" applyFont="1" applyFill="1" applyBorder="1" applyAlignment="1">
      <alignment horizontal="right" vertical="center"/>
    </xf>
    <xf numFmtId="0" fontId="24" fillId="0" borderId="32" xfId="0" applyFont="1" applyFill="1" applyBorder="1" applyAlignment="1">
      <alignment horizontal="right" vertical="center" wrapText="1"/>
    </xf>
    <xf numFmtId="0" fontId="24" fillId="0" borderId="0" xfId="0" applyFont="1" applyFill="1" applyBorder="1" applyAlignment="1">
      <alignment horizontal="right" vertical="center"/>
    </xf>
    <xf numFmtId="0" fontId="24" fillId="0" borderId="33" xfId="0" applyFont="1" applyFill="1" applyBorder="1" applyAlignment="1">
      <alignment horizontal="right" vertical="center"/>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3" borderId="36" xfId="0" applyFont="1" applyFill="1" applyBorder="1" applyAlignment="1">
      <alignment vertical="center" wrapText="1"/>
    </xf>
    <xf numFmtId="0" fontId="24" fillId="4" borderId="36" xfId="0" applyFont="1" applyFill="1" applyBorder="1" applyAlignment="1">
      <alignment vertical="center" wrapText="1"/>
    </xf>
    <xf numFmtId="0" fontId="24" fillId="4" borderId="38" xfId="0" applyFont="1" applyFill="1" applyBorder="1" applyAlignment="1">
      <alignment vertical="center" wrapText="1"/>
    </xf>
    <xf numFmtId="11" fontId="24" fillId="0" borderId="0" xfId="0" applyNumberFormat="1" applyFont="1" applyFill="1"/>
    <xf numFmtId="0" fontId="24" fillId="0" borderId="2" xfId="0" applyFont="1" applyFill="1" applyBorder="1" applyAlignment="1">
      <alignment horizontal="right" vertical="center" wrapText="1"/>
    </xf>
    <xf numFmtId="0" fontId="24" fillId="0" borderId="2" xfId="0" applyFont="1" applyFill="1" applyBorder="1" applyAlignment="1">
      <alignment horizontal="right" vertical="center"/>
    </xf>
    <xf numFmtId="0" fontId="24" fillId="0" borderId="3" xfId="0" applyFont="1" applyFill="1" applyBorder="1" applyAlignment="1">
      <alignment horizontal="right" vertical="center"/>
    </xf>
    <xf numFmtId="0" fontId="24" fillId="0" borderId="0" xfId="0" applyFont="1" applyFill="1" applyBorder="1" applyAlignment="1">
      <alignment horizontal="right" vertical="center" wrapText="1"/>
    </xf>
    <xf numFmtId="0" fontId="24" fillId="0" borderId="42" xfId="0" applyFont="1" applyFill="1" applyBorder="1" applyAlignment="1">
      <alignment horizontal="right" vertical="center"/>
    </xf>
    <xf numFmtId="0" fontId="24" fillId="0" borderId="0" xfId="0" quotePrefix="1" applyFont="1" applyAlignment="1">
      <alignment wrapText="1"/>
    </xf>
    <xf numFmtId="11" fontId="24" fillId="0" borderId="0" xfId="0" applyNumberFormat="1" applyFont="1" applyAlignment="1">
      <alignment wrapText="1"/>
    </xf>
    <xf numFmtId="0" fontId="26" fillId="0" borderId="0" xfId="0" applyFont="1" applyFill="1"/>
    <xf numFmtId="11" fontId="24" fillId="0" borderId="0" xfId="0" quotePrefix="1" applyNumberFormat="1" applyFont="1" applyAlignment="1">
      <alignment wrapText="1"/>
    </xf>
    <xf numFmtId="0" fontId="29" fillId="0" borderId="0" xfId="0" applyFont="1" applyFill="1"/>
    <xf numFmtId="0" fontId="24" fillId="0" borderId="22" xfId="0" applyFont="1" applyFill="1" applyBorder="1" applyAlignment="1">
      <alignment horizontal="right" wrapText="1"/>
    </xf>
    <xf numFmtId="0" fontId="24" fillId="0" borderId="40" xfId="0" applyFont="1" applyFill="1" applyBorder="1" applyAlignment="1">
      <alignment horizontal="right" wrapText="1"/>
    </xf>
    <xf numFmtId="0" fontId="24" fillId="0" borderId="21" xfId="0" applyFont="1" applyFill="1" applyBorder="1" applyAlignment="1">
      <alignment horizontal="right" wrapText="1"/>
    </xf>
    <xf numFmtId="0" fontId="24" fillId="0" borderId="37" xfId="0" applyFont="1" applyFill="1" applyBorder="1" applyAlignment="1">
      <alignment horizontal="right" vertical="center" wrapText="1"/>
    </xf>
    <xf numFmtId="0" fontId="24" fillId="0" borderId="36" xfId="0" applyFont="1" applyFill="1" applyBorder="1" applyAlignment="1">
      <alignment horizontal="right" vertical="center" wrapText="1"/>
    </xf>
    <xf numFmtId="0" fontId="24" fillId="0" borderId="38" xfId="0" applyFont="1" applyFill="1" applyBorder="1" applyAlignment="1">
      <alignment horizontal="right" vertical="center" wrapText="1"/>
    </xf>
    <xf numFmtId="0" fontId="28" fillId="0" borderId="0" xfId="0" applyFont="1"/>
    <xf numFmtId="11" fontId="28" fillId="0" borderId="0" xfId="0" applyNumberFormat="1" applyFont="1" applyAlignment="1">
      <alignment wrapText="1"/>
    </xf>
    <xf numFmtId="2" fontId="24" fillId="3" borderId="5" xfId="0" applyNumberFormat="1" applyFont="1" applyFill="1" applyBorder="1" applyAlignment="1">
      <alignment vertical="center" wrapText="1"/>
    </xf>
    <xf numFmtId="167" fontId="24" fillId="0" borderId="0" xfId="0" applyNumberFormat="1" applyFont="1"/>
    <xf numFmtId="164" fontId="24" fillId="0" borderId="2" xfId="0" applyNumberFormat="1" applyFont="1" applyBorder="1" applyAlignment="1">
      <alignment vertical="center" wrapText="1"/>
    </xf>
    <xf numFmtId="164" fontId="24" fillId="0" borderId="3" xfId="0" applyNumberFormat="1" applyFont="1" applyBorder="1" applyAlignment="1">
      <alignment vertical="center" wrapText="1"/>
    </xf>
    <xf numFmtId="164" fontId="24" fillId="0" borderId="0" xfId="0" applyNumberFormat="1" applyFont="1" applyBorder="1" applyAlignment="1">
      <alignment vertical="center" wrapText="1"/>
    </xf>
    <xf numFmtId="0" fontId="24" fillId="0" borderId="42" xfId="0" applyFont="1" applyBorder="1" applyAlignment="1">
      <alignment vertical="center" wrapText="1"/>
    </xf>
    <xf numFmtId="0" fontId="24" fillId="0" borderId="0" xfId="0" applyFont="1" applyFill="1" applyAlignment="1">
      <alignment horizontal="right"/>
    </xf>
    <xf numFmtId="164" fontId="24" fillId="0" borderId="2" xfId="0" applyNumberFormat="1" applyFont="1" applyBorder="1"/>
    <xf numFmtId="164" fontId="24" fillId="0" borderId="0" xfId="0" applyNumberFormat="1" applyFont="1" applyBorder="1"/>
    <xf numFmtId="0" fontId="24" fillId="4" borderId="6" xfId="0" applyFont="1" applyFill="1" applyBorder="1"/>
    <xf numFmtId="0" fontId="24" fillId="0" borderId="0" xfId="0" applyFont="1" applyAlignment="1">
      <alignment horizontal="left"/>
    </xf>
    <xf numFmtId="1" fontId="24" fillId="0" borderId="3" xfId="0" applyNumberFormat="1" applyFont="1" applyFill="1" applyBorder="1" applyAlignment="1">
      <alignment vertical="center" wrapText="1"/>
    </xf>
    <xf numFmtId="1" fontId="24" fillId="0" borderId="42" xfId="0" applyNumberFormat="1" applyFont="1" applyFill="1" applyBorder="1" applyAlignment="1">
      <alignment vertical="center" wrapText="1"/>
    </xf>
    <xf numFmtId="1" fontId="24" fillId="0" borderId="0" xfId="0" applyNumberFormat="1" applyFont="1" applyBorder="1" applyAlignment="1">
      <alignment vertical="center" wrapText="1"/>
    </xf>
    <xf numFmtId="1" fontId="24" fillId="0" borderId="2" xfId="0" applyNumberFormat="1" applyFont="1" applyBorder="1"/>
    <xf numFmtId="1" fontId="24" fillId="0" borderId="0" xfId="0" applyNumberFormat="1" applyFont="1" applyBorder="1"/>
    <xf numFmtId="0" fontId="24" fillId="0" borderId="0" xfId="0" applyFont="1" applyFill="1" applyBorder="1" applyAlignment="1">
      <alignment horizontal="center" vertical="center"/>
    </xf>
    <xf numFmtId="2" fontId="24" fillId="0" borderId="2" xfId="0" applyNumberFormat="1" applyFont="1" applyFill="1" applyBorder="1" applyAlignment="1">
      <alignment horizontal="right"/>
    </xf>
    <xf numFmtId="166" fontId="24" fillId="0" borderId="2" xfId="0" applyNumberFormat="1" applyFont="1" applyFill="1" applyBorder="1" applyAlignment="1">
      <alignment horizontal="right"/>
    </xf>
    <xf numFmtId="2" fontId="24" fillId="0" borderId="3" xfId="0" applyNumberFormat="1" applyFont="1" applyFill="1" applyBorder="1" applyAlignment="1">
      <alignment horizontal="right"/>
    </xf>
    <xf numFmtId="2" fontId="24" fillId="0" borderId="0" xfId="0" applyNumberFormat="1" applyFont="1" applyFill="1" applyBorder="1" applyAlignment="1">
      <alignment horizontal="right"/>
    </xf>
    <xf numFmtId="166" fontId="24" fillId="0" borderId="0" xfId="0" applyNumberFormat="1" applyFont="1" applyFill="1" applyBorder="1" applyAlignment="1">
      <alignment horizontal="right"/>
    </xf>
    <xf numFmtId="2" fontId="24" fillId="0" borderId="42" xfId="0" applyNumberFormat="1" applyFont="1" applyFill="1" applyBorder="1" applyAlignment="1">
      <alignment horizontal="right"/>
    </xf>
    <xf numFmtId="0" fontId="24" fillId="0" borderId="1" xfId="0" applyFont="1" applyBorder="1" applyAlignment="1">
      <alignment horizontal="left" vertical="top" wrapText="1"/>
    </xf>
    <xf numFmtId="2" fontId="13" fillId="11" borderId="39" xfId="0" applyNumberFormat="1" applyFont="1" applyFill="1" applyBorder="1" applyAlignment="1">
      <alignment horizontal="center" vertical="center"/>
    </xf>
    <xf numFmtId="2" fontId="13" fillId="9" borderId="9" xfId="0" applyNumberFormat="1" applyFont="1" applyFill="1" applyBorder="1" applyAlignment="1">
      <alignment horizontal="center" vertical="center"/>
    </xf>
    <xf numFmtId="2" fontId="13" fillId="11" borderId="8" xfId="0" applyNumberFormat="1" applyFont="1" applyFill="1" applyBorder="1" applyAlignment="1">
      <alignment horizontal="center"/>
    </xf>
    <xf numFmtId="0" fontId="13" fillId="11" borderId="9" xfId="0" applyFont="1" applyFill="1" applyBorder="1" applyAlignment="1">
      <alignment horizontal="center" vertical="center"/>
    </xf>
    <xf numFmtId="0" fontId="0" fillId="0" borderId="7" xfId="0" applyFont="1" applyFill="1" applyBorder="1" applyAlignment="1" applyProtection="1">
      <alignment horizontal="left" vertical="center" wrapText="1"/>
    </xf>
    <xf numFmtId="0" fontId="13" fillId="0" borderId="7" xfId="0" applyFont="1" applyBorder="1" applyAlignment="1" applyProtection="1">
      <alignment horizontal="left" vertical="center"/>
    </xf>
    <xf numFmtId="0" fontId="13" fillId="0" borderId="7" xfId="0" applyFont="1" applyBorder="1" applyAlignment="1" applyProtection="1">
      <alignment vertical="center"/>
    </xf>
    <xf numFmtId="0" fontId="13" fillId="11" borderId="9" xfId="0" applyFont="1" applyFill="1" applyBorder="1" applyAlignment="1">
      <alignment horizontal="left" vertical="center"/>
    </xf>
    <xf numFmtId="0" fontId="0" fillId="0" borderId="0" xfId="0" applyFont="1"/>
    <xf numFmtId="0" fontId="8" fillId="0" borderId="0" xfId="0" applyFont="1" applyFill="1" applyAlignment="1">
      <alignment horizontal="center"/>
    </xf>
    <xf numFmtId="16" fontId="8" fillId="0" borderId="0" xfId="0" quotePrefix="1" applyNumberFormat="1" applyFont="1" applyFill="1" applyAlignment="1">
      <alignment horizontal="center"/>
    </xf>
    <xf numFmtId="0" fontId="12" fillId="19" borderId="0" xfId="0" applyFont="1" applyFill="1" applyBorder="1"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0" xfId="0" applyAlignment="1">
      <alignment horizontal="center"/>
    </xf>
    <xf numFmtId="0" fontId="6" fillId="8" borderId="22" xfId="1" applyFont="1" applyFill="1" applyBorder="1" applyAlignment="1">
      <alignment horizontal="center" vertical="center" wrapText="1"/>
    </xf>
    <xf numFmtId="0" fontId="6" fillId="8" borderId="21" xfId="1" applyFont="1" applyFill="1" applyBorder="1" applyAlignment="1">
      <alignment horizontal="center" vertical="center" wrapText="1"/>
    </xf>
    <xf numFmtId="0" fontId="6" fillId="8" borderId="32" xfId="1" applyFont="1" applyFill="1" applyBorder="1" applyAlignment="1">
      <alignment horizontal="center" vertical="center" wrapText="1"/>
    </xf>
    <xf numFmtId="0" fontId="6" fillId="8" borderId="33" xfId="1" applyFont="1" applyFill="1" applyBorder="1" applyAlignment="1">
      <alignment horizontal="center" vertical="center" wrapText="1"/>
    </xf>
    <xf numFmtId="0" fontId="6" fillId="8" borderId="7" xfId="1" applyFont="1" applyFill="1" applyBorder="1" applyAlignment="1">
      <alignment horizontal="center" vertical="center" wrapText="1"/>
    </xf>
    <xf numFmtId="0" fontId="6" fillId="8" borderId="10" xfId="1" applyFont="1" applyFill="1" applyBorder="1" applyAlignment="1">
      <alignment horizontal="center" vertical="center" wrapText="1"/>
    </xf>
    <xf numFmtId="0" fontId="6" fillId="0" borderId="0" xfId="1" applyFont="1" applyAlignment="1">
      <alignment horizontal="left"/>
    </xf>
    <xf numFmtId="0" fontId="5" fillId="6" borderId="0" xfId="1" applyFont="1" applyFill="1" applyBorder="1" applyAlignment="1">
      <alignment horizontal="left" vertical="center" wrapText="1"/>
    </xf>
    <xf numFmtId="0" fontId="5" fillId="0" borderId="0" xfId="1" applyFont="1" applyAlignment="1">
      <alignment horizontal="left" vertical="center" wrapText="1"/>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7" borderId="16" xfId="1" applyFont="1" applyFill="1" applyBorder="1" applyAlignment="1">
      <alignment horizontal="center" vertical="center"/>
    </xf>
    <xf numFmtId="0" fontId="4" fillId="7" borderId="17" xfId="1" applyFont="1" applyFill="1" applyBorder="1" applyAlignment="1">
      <alignment horizontal="center" vertical="center"/>
    </xf>
    <xf numFmtId="0" fontId="4" fillId="7" borderId="18" xfId="1" applyFont="1" applyFill="1" applyBorder="1" applyAlignment="1">
      <alignment horizontal="center" vertical="center"/>
    </xf>
    <xf numFmtId="0" fontId="4" fillId="7" borderId="19" xfId="1" applyFont="1" applyFill="1" applyBorder="1" applyAlignment="1">
      <alignment horizontal="center" vertical="center"/>
    </xf>
    <xf numFmtId="0" fontId="5" fillId="0" borderId="0" xfId="1" applyFont="1" applyBorder="1" applyAlignment="1">
      <alignment horizontal="left" wrapText="1"/>
    </xf>
    <xf numFmtId="0" fontId="0" fillId="0" borderId="0" xfId="0" applyAlignment="1">
      <alignment wrapText="1"/>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2" fontId="13" fillId="12" borderId="8" xfId="0" applyNumberFormat="1" applyFont="1" applyFill="1" applyBorder="1" applyAlignment="1">
      <alignment horizontal="center" vertical="center"/>
    </xf>
    <xf numFmtId="2" fontId="13" fillId="12" borderId="9" xfId="0" applyNumberFormat="1" applyFont="1" applyFill="1" applyBorder="1" applyAlignment="1">
      <alignment horizontal="center" vertical="center"/>
    </xf>
    <xf numFmtId="0" fontId="13" fillId="13" borderId="22" xfId="0" applyFont="1" applyFill="1" applyBorder="1" applyAlignment="1">
      <alignment horizontal="left" vertical="center"/>
    </xf>
    <xf numFmtId="0" fontId="13" fillId="13" borderId="37" xfId="0" applyFont="1" applyFill="1" applyBorder="1" applyAlignment="1">
      <alignment horizontal="left" vertical="center"/>
    </xf>
    <xf numFmtId="0" fontId="13" fillId="0" borderId="7" xfId="0" applyFont="1" applyBorder="1" applyAlignment="1">
      <alignment horizontal="center" vertical="center"/>
    </xf>
    <xf numFmtId="2" fontId="13" fillId="0" borderId="7" xfId="0" applyNumberFormat="1" applyFont="1" applyBorder="1" applyAlignment="1">
      <alignment horizontal="center" vertical="center"/>
    </xf>
    <xf numFmtId="0" fontId="14" fillId="0" borderId="10" xfId="0" applyFont="1" applyBorder="1" applyAlignment="1">
      <alignment horizontal="center"/>
    </xf>
    <xf numFmtId="0" fontId="14" fillId="0" borderId="11"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2" fontId="13" fillId="11" borderId="8" xfId="0" applyNumberFormat="1" applyFont="1" applyFill="1" applyBorder="1" applyAlignment="1">
      <alignment horizontal="center" vertical="center"/>
    </xf>
    <xf numFmtId="2" fontId="13" fillId="11" borderId="39" xfId="0" applyNumberFormat="1" applyFont="1" applyFill="1" applyBorder="1" applyAlignment="1">
      <alignment horizontal="center" vertical="center"/>
    </xf>
    <xf numFmtId="2" fontId="13" fillId="11" borderId="9" xfId="0" applyNumberFormat="1" applyFont="1" applyFill="1" applyBorder="1" applyAlignment="1">
      <alignment horizontal="center" vertical="center"/>
    </xf>
    <xf numFmtId="0" fontId="13" fillId="12" borderId="39" xfId="0" applyFont="1" applyFill="1" applyBorder="1" applyAlignment="1">
      <alignment horizontal="left" vertical="center"/>
    </xf>
    <xf numFmtId="2" fontId="13" fillId="9" borderId="8" xfId="0" applyNumberFormat="1" applyFont="1" applyFill="1" applyBorder="1" applyAlignment="1">
      <alignment horizontal="center" vertical="center"/>
    </xf>
    <xf numFmtId="2" fontId="13" fillId="9" borderId="39" xfId="0" applyNumberFormat="1" applyFont="1" applyFill="1" applyBorder="1" applyAlignment="1">
      <alignment horizontal="center" vertical="center"/>
    </xf>
    <xf numFmtId="2" fontId="13" fillId="9" borderId="9" xfId="0" applyNumberFormat="1" applyFont="1" applyFill="1" applyBorder="1" applyAlignment="1">
      <alignment horizontal="center" vertical="center"/>
    </xf>
    <xf numFmtId="2" fontId="13" fillId="13" borderId="8" xfId="0" applyNumberFormat="1" applyFont="1" applyFill="1" applyBorder="1" applyAlignment="1">
      <alignment horizontal="center" vertical="center"/>
    </xf>
    <xf numFmtId="2" fontId="13" fillId="13" borderId="39" xfId="0" applyNumberFormat="1" applyFont="1" applyFill="1" applyBorder="1" applyAlignment="1">
      <alignment horizontal="center" vertical="center"/>
    </xf>
    <xf numFmtId="2" fontId="13" fillId="13" borderId="9" xfId="0" applyNumberFormat="1" applyFont="1" applyFill="1" applyBorder="1" applyAlignment="1">
      <alignment horizontal="center" vertical="center"/>
    </xf>
    <xf numFmtId="0" fontId="13" fillId="13" borderId="32" xfId="0" applyFont="1" applyFill="1" applyBorder="1" applyAlignment="1">
      <alignment horizontal="left" vertical="center"/>
    </xf>
    <xf numFmtId="0" fontId="13" fillId="11" borderId="8" xfId="0" applyFont="1" applyFill="1" applyBorder="1" applyAlignment="1">
      <alignment horizontal="left" vertical="center"/>
    </xf>
    <xf numFmtId="0" fontId="13" fillId="11" borderId="39" xfId="0" applyFont="1" applyFill="1" applyBorder="1" applyAlignment="1">
      <alignment horizontal="left" vertical="center"/>
    </xf>
    <xf numFmtId="0" fontId="13" fillId="11" borderId="9" xfId="0" applyFont="1" applyFill="1" applyBorder="1" applyAlignment="1">
      <alignment horizontal="left" vertical="center"/>
    </xf>
    <xf numFmtId="2" fontId="13" fillId="11" borderId="8" xfId="0" applyNumberFormat="1" applyFont="1" applyFill="1" applyBorder="1" applyAlignment="1">
      <alignment horizontal="center"/>
    </xf>
    <xf numFmtId="2" fontId="13" fillId="11" borderId="9" xfId="0" applyNumberFormat="1" applyFont="1" applyFill="1" applyBorder="1" applyAlignment="1">
      <alignment horizontal="center"/>
    </xf>
    <xf numFmtId="0" fontId="13" fillId="13" borderId="8" xfId="0" applyFont="1" applyFill="1" applyBorder="1" applyAlignment="1">
      <alignment horizontal="left" vertical="center"/>
    </xf>
    <xf numFmtId="0" fontId="13" fillId="13" borderId="39" xfId="0" applyFont="1" applyFill="1" applyBorder="1" applyAlignment="1">
      <alignment horizontal="left" vertical="center"/>
    </xf>
    <xf numFmtId="0" fontId="13" fillId="13" borderId="9" xfId="0" applyFont="1" applyFill="1" applyBorder="1" applyAlignment="1">
      <alignment horizontal="left" vertical="center"/>
    </xf>
    <xf numFmtId="2" fontId="13" fillId="13" borderId="7" xfId="0" applyNumberFormat="1" applyFont="1" applyFill="1" applyBorder="1" applyAlignment="1">
      <alignment horizontal="center" vertical="center"/>
    </xf>
    <xf numFmtId="0" fontId="13" fillId="14" borderId="22" xfId="0" applyFont="1" applyFill="1" applyBorder="1" applyAlignment="1">
      <alignment horizontal="center"/>
    </xf>
    <xf numFmtId="0" fontId="13" fillId="14" borderId="40" xfId="0" applyFont="1" applyFill="1" applyBorder="1" applyAlignment="1">
      <alignment horizontal="center"/>
    </xf>
    <xf numFmtId="0" fontId="13" fillId="14" borderId="21" xfId="0" applyFont="1" applyFill="1" applyBorder="1" applyAlignment="1">
      <alignment horizontal="center"/>
    </xf>
    <xf numFmtId="0" fontId="13" fillId="18" borderId="32" xfId="0" applyFont="1" applyFill="1" applyBorder="1" applyAlignment="1">
      <alignment horizontal="center"/>
    </xf>
    <xf numFmtId="0" fontId="13" fillId="18" borderId="0" xfId="0" applyFont="1" applyFill="1" applyBorder="1" applyAlignment="1">
      <alignment horizontal="center"/>
    </xf>
    <xf numFmtId="0" fontId="13" fillId="18" borderId="33" xfId="0" applyFont="1" applyFill="1" applyBorder="1" applyAlignment="1">
      <alignment horizontal="center"/>
    </xf>
    <xf numFmtId="0" fontId="10" fillId="0" borderId="7" xfId="0" applyFont="1" applyBorder="1" applyAlignment="1">
      <alignment horizontal="center" vertical="center"/>
    </xf>
    <xf numFmtId="0" fontId="13" fillId="9" borderId="8" xfId="0" applyFont="1" applyFill="1" applyBorder="1" applyAlignment="1">
      <alignment horizontal="left" vertical="center"/>
    </xf>
    <xf numFmtId="0" fontId="13" fillId="9" borderId="39" xfId="0" applyFont="1" applyFill="1" applyBorder="1" applyAlignment="1">
      <alignment horizontal="left" vertical="center"/>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2" fontId="13" fillId="9" borderId="7" xfId="0" applyNumberFormat="1" applyFont="1" applyFill="1" applyBorder="1" applyAlignment="1">
      <alignment horizontal="center" vertical="center"/>
    </xf>
    <xf numFmtId="2" fontId="13" fillId="9" borderId="12" xfId="0" applyNumberFormat="1" applyFont="1" applyFill="1" applyBorder="1" applyAlignment="1">
      <alignment horizontal="center" vertical="center"/>
    </xf>
    <xf numFmtId="0" fontId="13" fillId="0" borderId="37" xfId="0" applyFont="1" applyFill="1" applyBorder="1" applyAlignment="1">
      <alignment horizontal="center"/>
    </xf>
    <xf numFmtId="0" fontId="13" fillId="0" borderId="36" xfId="0" applyFont="1" applyFill="1" applyBorder="1" applyAlignment="1">
      <alignment horizontal="center"/>
    </xf>
    <xf numFmtId="0" fontId="13" fillId="0" borderId="38" xfId="0" applyFont="1" applyFill="1" applyBorder="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3" fillId="13" borderId="7" xfId="0" applyFont="1" applyFill="1" applyBorder="1" applyAlignment="1">
      <alignment horizontal="left" vertical="center"/>
    </xf>
    <xf numFmtId="0" fontId="13" fillId="5" borderId="7" xfId="0" applyFont="1" applyFill="1" applyBorder="1" applyAlignment="1">
      <alignment horizontal="left" vertical="center"/>
    </xf>
    <xf numFmtId="0" fontId="13" fillId="9" borderId="9" xfId="0" applyFont="1" applyFill="1" applyBorder="1" applyAlignment="1">
      <alignment horizontal="left" vertical="center"/>
    </xf>
    <xf numFmtId="0" fontId="15" fillId="9" borderId="10" xfId="0" applyFont="1" applyFill="1" applyBorder="1" applyAlignment="1">
      <alignment horizontal="left" wrapText="1"/>
    </xf>
    <xf numFmtId="0" fontId="15" fillId="9" borderId="12" xfId="0" applyFont="1" applyFill="1" applyBorder="1" applyAlignment="1">
      <alignment horizontal="left" wrapText="1"/>
    </xf>
    <xf numFmtId="2" fontId="13" fillId="11" borderId="33" xfId="0" applyNumberFormat="1" applyFont="1" applyFill="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0" borderId="0" xfId="0" applyFont="1" applyAlignment="1" applyProtection="1">
      <alignment horizontal="center"/>
    </xf>
    <xf numFmtId="2" fontId="17" fillId="0" borderId="22"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37" xfId="0" applyNumberFormat="1" applyFont="1" applyBorder="1" applyAlignment="1">
      <alignment horizontal="center" vertical="center"/>
    </xf>
    <xf numFmtId="2" fontId="17" fillId="0" borderId="38" xfId="0" applyNumberFormat="1" applyFont="1" applyBorder="1" applyAlignment="1">
      <alignment horizontal="center" vertical="center"/>
    </xf>
    <xf numFmtId="2" fontId="13" fillId="12" borderId="7" xfId="0" applyNumberFormat="1" applyFont="1" applyFill="1" applyBorder="1" applyAlignment="1">
      <alignment horizontal="center" vertical="center"/>
    </xf>
    <xf numFmtId="0" fontId="13" fillId="10" borderId="8" xfId="0" applyFont="1" applyFill="1" applyBorder="1" applyAlignment="1">
      <alignment horizontal="left" vertical="center"/>
    </xf>
    <xf numFmtId="0" fontId="13" fillId="10" borderId="9" xfId="0" applyFont="1" applyFill="1" applyBorder="1" applyAlignment="1">
      <alignment horizontal="left" vertical="center"/>
    </xf>
    <xf numFmtId="2" fontId="13" fillId="10" borderId="8" xfId="0" applyNumberFormat="1" applyFont="1" applyFill="1" applyBorder="1" applyAlignment="1">
      <alignment horizontal="center" vertical="center"/>
    </xf>
    <xf numFmtId="2" fontId="13" fillId="10" borderId="9" xfId="0" applyNumberFormat="1" applyFont="1" applyFill="1" applyBorder="1" applyAlignment="1">
      <alignment horizontal="center" vertical="center"/>
    </xf>
    <xf numFmtId="0" fontId="13" fillId="10" borderId="39" xfId="0" applyFont="1" applyFill="1" applyBorder="1" applyAlignment="1">
      <alignment horizontal="left" vertical="center"/>
    </xf>
    <xf numFmtId="2" fontId="13" fillId="11" borderId="21" xfId="0" applyNumberFormat="1" applyFont="1" applyFill="1" applyBorder="1" applyAlignment="1">
      <alignment horizontal="center" vertical="center"/>
    </xf>
    <xf numFmtId="2" fontId="13" fillId="11" borderId="38" xfId="0" applyNumberFormat="1" applyFont="1" applyFill="1" applyBorder="1" applyAlignment="1">
      <alignment horizontal="center" vertical="center"/>
    </xf>
    <xf numFmtId="2" fontId="13" fillId="11" borderId="7" xfId="0" applyNumberFormat="1" applyFont="1" applyFill="1" applyBorder="1" applyAlignment="1">
      <alignment horizontal="center" vertical="center"/>
    </xf>
    <xf numFmtId="2" fontId="13" fillId="10" borderId="39" xfId="0" applyNumberFormat="1" applyFont="1" applyFill="1" applyBorder="1" applyAlignment="1">
      <alignment horizontal="center" vertical="center"/>
    </xf>
    <xf numFmtId="2" fontId="13" fillId="0" borderId="8" xfId="0" applyNumberFormat="1" applyFont="1" applyBorder="1" applyAlignment="1">
      <alignment horizontal="center" vertical="center"/>
    </xf>
    <xf numFmtId="2" fontId="13" fillId="0" borderId="39" xfId="0" applyNumberFormat="1" applyFont="1" applyBorder="1" applyAlignment="1">
      <alignment horizontal="center" vertical="center"/>
    </xf>
    <xf numFmtId="2" fontId="13" fillId="12" borderId="39" xfId="0" applyNumberFormat="1" applyFont="1" applyFill="1" applyBorder="1" applyAlignment="1">
      <alignment horizontal="center" vertical="center"/>
    </xf>
    <xf numFmtId="0" fontId="13" fillId="11" borderId="22" xfId="0" applyFont="1" applyFill="1" applyBorder="1" applyAlignment="1">
      <alignment horizontal="left" vertical="center"/>
    </xf>
    <xf numFmtId="0" fontId="13" fillId="11" borderId="32" xfId="0" applyFont="1" applyFill="1" applyBorder="1" applyAlignment="1">
      <alignment horizontal="left" vertical="center"/>
    </xf>
    <xf numFmtId="0" fontId="13" fillId="11" borderId="37" xfId="0" applyFont="1" applyFill="1" applyBorder="1" applyAlignment="1">
      <alignment horizontal="left" vertical="center"/>
    </xf>
    <xf numFmtId="0" fontId="17" fillId="13" borderId="22" xfId="0" applyFont="1" applyFill="1" applyBorder="1" applyAlignment="1">
      <alignment horizontal="center" vertical="center"/>
    </xf>
    <xf numFmtId="0" fontId="17" fillId="13" borderId="21" xfId="0" applyFont="1" applyFill="1" applyBorder="1" applyAlignment="1">
      <alignment horizontal="center" vertical="center"/>
    </xf>
    <xf numFmtId="0" fontId="17" fillId="13" borderId="37" xfId="0" applyFont="1" applyFill="1" applyBorder="1" applyAlignment="1">
      <alignment horizontal="center" vertical="center"/>
    </xf>
    <xf numFmtId="0" fontId="17" fillId="13" borderId="38" xfId="0" applyFont="1" applyFill="1" applyBorder="1" applyAlignment="1">
      <alignment horizontal="center" vertical="center"/>
    </xf>
    <xf numFmtId="2" fontId="17" fillId="0" borderId="8" xfId="0" applyNumberFormat="1" applyFont="1" applyBorder="1" applyAlignment="1">
      <alignment horizontal="center" vertical="center"/>
    </xf>
    <xf numFmtId="2" fontId="17" fillId="0" borderId="9" xfId="0" applyNumberFormat="1" applyFont="1" applyBorder="1" applyAlignment="1">
      <alignment horizontal="center" vertical="center"/>
    </xf>
    <xf numFmtId="0" fontId="17" fillId="9" borderId="22" xfId="0" applyFont="1" applyFill="1" applyBorder="1" applyAlignment="1">
      <alignment horizontal="center" vertical="center"/>
    </xf>
    <xf numFmtId="0" fontId="17" fillId="9" borderId="21" xfId="0" applyFont="1" applyFill="1" applyBorder="1" applyAlignment="1">
      <alignment horizontal="center" vertical="center"/>
    </xf>
    <xf numFmtId="0" fontId="17" fillId="9" borderId="37" xfId="0" applyFont="1" applyFill="1" applyBorder="1" applyAlignment="1">
      <alignment horizontal="center" vertical="center"/>
    </xf>
    <xf numFmtId="0" fontId="17" fillId="9" borderId="38" xfId="0" applyFont="1" applyFill="1" applyBorder="1" applyAlignment="1">
      <alignment horizontal="center" vertical="center"/>
    </xf>
    <xf numFmtId="0" fontId="17" fillId="10" borderId="22" xfId="0" applyFont="1" applyFill="1" applyBorder="1" applyAlignment="1">
      <alignment horizontal="center" vertical="center"/>
    </xf>
    <xf numFmtId="0" fontId="17" fillId="10" borderId="21" xfId="0" applyFont="1" applyFill="1" applyBorder="1" applyAlignment="1">
      <alignment horizontal="center" vertical="center"/>
    </xf>
    <xf numFmtId="0" fontId="17" fillId="10" borderId="37" xfId="0" applyFont="1" applyFill="1" applyBorder="1" applyAlignment="1">
      <alignment horizontal="center" vertical="center"/>
    </xf>
    <xf numFmtId="0" fontId="17" fillId="10" borderId="38" xfId="0" applyFont="1" applyFill="1" applyBorder="1" applyAlignment="1">
      <alignment horizontal="center" vertical="center"/>
    </xf>
    <xf numFmtId="0" fontId="17" fillId="11" borderId="22" xfId="0" applyFont="1" applyFill="1" applyBorder="1" applyAlignment="1">
      <alignment horizontal="center" vertical="center"/>
    </xf>
    <xf numFmtId="0" fontId="17" fillId="11" borderId="21" xfId="0" applyFont="1" applyFill="1" applyBorder="1" applyAlignment="1">
      <alignment horizontal="center" vertical="center"/>
    </xf>
    <xf numFmtId="0" fontId="17" fillId="11" borderId="37" xfId="0" applyFont="1" applyFill="1" applyBorder="1" applyAlignment="1">
      <alignment horizontal="center" vertical="center"/>
    </xf>
    <xf numFmtId="0" fontId="17" fillId="11" borderId="38" xfId="0" applyFont="1" applyFill="1" applyBorder="1" applyAlignment="1">
      <alignment horizontal="center" vertical="center"/>
    </xf>
    <xf numFmtId="0" fontId="17" fillId="12" borderId="22" xfId="0" applyFont="1" applyFill="1" applyBorder="1" applyAlignment="1">
      <alignment horizontal="center" vertical="center"/>
    </xf>
    <xf numFmtId="0" fontId="17" fillId="12" borderId="21" xfId="0" applyFont="1" applyFill="1" applyBorder="1" applyAlignment="1">
      <alignment horizontal="center" vertical="center"/>
    </xf>
    <xf numFmtId="0" fontId="17" fillId="12" borderId="37" xfId="0" applyFont="1" applyFill="1" applyBorder="1" applyAlignment="1">
      <alignment horizontal="center" vertical="center"/>
    </xf>
    <xf numFmtId="0" fontId="17" fillId="12" borderId="38" xfId="0" applyFont="1" applyFill="1" applyBorder="1" applyAlignment="1">
      <alignment horizontal="center" vertical="center"/>
    </xf>
    <xf numFmtId="0" fontId="10" fillId="0" borderId="7" xfId="0" applyFont="1" applyBorder="1" applyAlignment="1" applyProtection="1">
      <alignment horizontal="center"/>
    </xf>
    <xf numFmtId="0" fontId="1" fillId="0" borderId="10" xfId="0" applyFont="1" applyBorder="1" applyAlignment="1" applyProtection="1">
      <alignment horizontal="left" vertical="center"/>
    </xf>
    <xf numFmtId="0" fontId="1" fillId="0" borderId="12" xfId="0" applyFont="1" applyBorder="1" applyAlignment="1" applyProtection="1">
      <alignment horizontal="left" vertical="center"/>
    </xf>
    <xf numFmtId="0" fontId="13" fillId="17" borderId="7" xfId="0" applyFont="1" applyFill="1" applyBorder="1" applyAlignment="1" applyProtection="1">
      <alignment horizontal="center" vertical="center" wrapText="1"/>
    </xf>
    <xf numFmtId="0" fontId="13" fillId="18" borderId="7"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xf>
    <xf numFmtId="0" fontId="13" fillId="0" borderId="12" xfId="0" applyFont="1" applyFill="1" applyBorder="1" applyAlignment="1" applyProtection="1">
      <alignment horizontal="center"/>
    </xf>
    <xf numFmtId="0" fontId="14" fillId="0" borderId="7" xfId="0" applyFont="1" applyBorder="1" applyAlignment="1">
      <alignment horizontal="left" vertical="center"/>
    </xf>
    <xf numFmtId="0" fontId="12" fillId="18" borderId="7" xfId="0" applyFont="1" applyFill="1" applyBorder="1" applyAlignment="1" applyProtection="1">
      <alignment horizontal="center" vertical="center"/>
      <protection locked="0"/>
    </xf>
    <xf numFmtId="0" fontId="8" fillId="8" borderId="7" xfId="0" applyFont="1" applyFill="1" applyBorder="1" applyAlignment="1" applyProtection="1">
      <alignment horizontal="left" vertical="center" wrapText="1"/>
      <protection locked="0"/>
    </xf>
    <xf numFmtId="0" fontId="10" fillId="0" borderId="22"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14" fillId="0" borderId="12" xfId="0" applyFont="1" applyBorder="1" applyAlignment="1">
      <alignment horizontal="center"/>
    </xf>
    <xf numFmtId="0" fontId="12" fillId="8" borderId="11" xfId="0" applyFont="1" applyFill="1" applyBorder="1" applyAlignment="1" applyProtection="1">
      <alignment horizontal="center"/>
      <protection locked="0"/>
    </xf>
    <xf numFmtId="0" fontId="12" fillId="8" borderId="12" xfId="0" applyFont="1" applyFill="1" applyBorder="1" applyAlignment="1" applyProtection="1">
      <alignment horizontal="center"/>
      <protection locked="0"/>
    </xf>
    <xf numFmtId="0" fontId="15" fillId="9" borderId="11" xfId="0" applyFont="1" applyFill="1" applyBorder="1" applyAlignment="1">
      <alignment horizontal="left" wrapText="1"/>
    </xf>
    <xf numFmtId="0" fontId="10" fillId="17" borderId="8" xfId="0" applyFont="1" applyFill="1" applyBorder="1" applyAlignment="1">
      <alignment horizontal="center" vertical="center"/>
    </xf>
    <xf numFmtId="0" fontId="10" fillId="17" borderId="9" xfId="0" applyFont="1" applyFill="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17" borderId="8" xfId="0" applyFont="1" applyFill="1" applyBorder="1" applyAlignment="1">
      <alignment horizontal="center" vertical="center" wrapText="1"/>
    </xf>
    <xf numFmtId="0" fontId="10" fillId="17" borderId="9"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3" fillId="11" borderId="8" xfId="0" applyFont="1" applyFill="1" applyBorder="1" applyAlignment="1">
      <alignment horizontal="center" vertical="center"/>
    </xf>
    <xf numFmtId="0" fontId="13" fillId="11" borderId="39" xfId="0" applyFont="1" applyFill="1" applyBorder="1" applyAlignment="1">
      <alignment horizontal="center" vertical="center"/>
    </xf>
    <xf numFmtId="0" fontId="13" fillId="11" borderId="9" xfId="0" applyFont="1" applyFill="1" applyBorder="1" applyAlignment="1">
      <alignment horizontal="center" vertical="center"/>
    </xf>
    <xf numFmtId="0" fontId="13" fillId="5" borderId="8" xfId="0" applyFont="1" applyFill="1" applyBorder="1" applyAlignment="1">
      <alignment horizontal="left" vertical="center"/>
    </xf>
    <xf numFmtId="0" fontId="13" fillId="5" borderId="9" xfId="0" applyFont="1" applyFill="1" applyBorder="1" applyAlignment="1">
      <alignment horizontal="left" vertical="center"/>
    </xf>
    <xf numFmtId="0" fontId="13" fillId="9" borderId="8" xfId="0" applyFont="1" applyFill="1" applyBorder="1" applyAlignment="1">
      <alignment horizontal="center" vertical="center"/>
    </xf>
    <xf numFmtId="0" fontId="13" fillId="9" borderId="39" xfId="0" applyFont="1" applyFill="1" applyBorder="1" applyAlignment="1">
      <alignment horizontal="center" vertical="center"/>
    </xf>
    <xf numFmtId="0" fontId="13" fillId="9" borderId="9"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0" fillId="0" borderId="7" xfId="0" applyFont="1" applyBorder="1" applyAlignment="1">
      <alignment horizontal="center"/>
    </xf>
    <xf numFmtId="0" fontId="17" fillId="13" borderId="7" xfId="0" applyFont="1" applyFill="1" applyBorder="1" applyAlignment="1">
      <alignment horizontal="center" vertical="center"/>
    </xf>
    <xf numFmtId="0" fontId="17" fillId="9" borderId="7" xfId="0" applyFont="1" applyFill="1" applyBorder="1" applyAlignment="1">
      <alignment horizontal="center" vertical="center"/>
    </xf>
    <xf numFmtId="0" fontId="17" fillId="10" borderId="7" xfId="0" applyFont="1" applyFill="1" applyBorder="1" applyAlignment="1">
      <alignment horizontal="center" vertical="center"/>
    </xf>
    <xf numFmtId="0" fontId="17" fillId="11" borderId="7" xfId="0" applyFont="1" applyFill="1" applyBorder="1" applyAlignment="1">
      <alignment horizontal="center" vertical="center"/>
    </xf>
    <xf numFmtId="0" fontId="17" fillId="12" borderId="7" xfId="0" applyFont="1" applyFill="1" applyBorder="1" applyAlignment="1">
      <alignment horizontal="center" vertical="center"/>
    </xf>
    <xf numFmtId="0" fontId="24" fillId="0" borderId="1" xfId="0" applyFont="1" applyBorder="1" applyAlignment="1">
      <alignment horizontal="left" vertical="center" wrapText="1"/>
    </xf>
    <xf numFmtId="0" fontId="24" fillId="0" borderId="41" xfId="0" applyFont="1" applyBorder="1" applyAlignment="1">
      <alignment horizontal="left" vertical="center" wrapText="1"/>
    </xf>
    <xf numFmtId="0" fontId="25" fillId="0" borderId="0" xfId="0" applyFont="1" applyAlignment="1">
      <alignment horizontal="center" vertical="center"/>
    </xf>
    <xf numFmtId="0" fontId="24" fillId="0" borderId="1" xfId="0" applyFont="1" applyBorder="1" applyAlignment="1">
      <alignment horizontal="center" vertical="center" wrapText="1"/>
    </xf>
    <xf numFmtId="0" fontId="24" fillId="0" borderId="41" xfId="0" applyFont="1" applyBorder="1" applyAlignment="1">
      <alignment horizontal="center" vertical="center" wrapText="1"/>
    </xf>
  </cellXfs>
  <cellStyles count="4">
    <cellStyle name="40% - Accent1" xfId="3" builtinId="31"/>
    <cellStyle name="Normal" xfId="0" builtinId="0"/>
    <cellStyle name="Normal 2" xfId="1"/>
    <cellStyle name="Percent" xfId="2" builtinId="5"/>
  </cellStyles>
  <dxfs count="94">
    <dxf>
      <font>
        <color theme="0"/>
      </font>
    </dxf>
    <dxf>
      <font>
        <color theme="0"/>
      </font>
    </dxf>
    <dxf>
      <font>
        <color theme="0"/>
      </font>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Summary'!$C$22:$C$23</c:f>
              <c:strCache>
                <c:ptCount val="1"/>
                <c:pt idx="0">
                  <c:v>ECS</c:v>
                </c:pt>
              </c:strCache>
            </c:strRef>
          </c:tx>
          <c:spPr>
            <a:ln w="19050" cap="rnd">
              <a:solidFill>
                <a:srgbClr val="FF0000">
                  <a:alpha val="50000"/>
                </a:srgbClr>
              </a:solidFill>
              <a:prstDash val="dash"/>
              <a:round/>
            </a:ln>
            <a:effectLst/>
          </c:spPr>
          <c:marker>
            <c:symbol val="none"/>
          </c:marker>
          <c:xVal>
            <c:strRef>
              <c:f>('Data Summary'!$F$23,'Data Summary'!$A$34)</c:f>
              <c:strCache>
                <c:ptCount val="2"/>
                <c:pt idx="0">
                  <c:v>1</c:v>
                </c:pt>
                <c:pt idx="1">
                  <c:v>#N/A</c:v>
                </c:pt>
              </c:strCache>
            </c:strRef>
          </c:xVal>
          <c:yVal>
            <c:numRef>
              <c:f>('Data Summary'!$C$29,'Data Summary'!$C$29)</c:f>
              <c:numCache>
                <c:formatCode>General</c:formatCode>
                <c:ptCount val="2"/>
                <c:pt idx="0">
                  <c:v>0.36</c:v>
                </c:pt>
                <c:pt idx="1">
                  <c:v>0.36</c:v>
                </c:pt>
              </c:numCache>
            </c:numRef>
          </c:yVal>
          <c:smooth val="0"/>
          <c:extLst xmlns:c16r2="http://schemas.microsoft.com/office/drawing/2015/06/chart">
            <c:ext xmlns:c16="http://schemas.microsoft.com/office/drawing/2014/chart" uri="{C3380CC4-5D6E-409C-BE32-E72D297353CC}">
              <c16:uniqueId val="{00000000-377C-4EA9-9858-DD24FD97EF7F}"/>
            </c:ext>
          </c:extLst>
        </c:ser>
        <c:ser>
          <c:idx val="2"/>
          <c:order val="1"/>
          <c:tx>
            <c:strRef>
              <c:f>'Data Summary'!$D$22:$D$23</c:f>
              <c:strCache>
                <c:ptCount val="1"/>
                <c:pt idx="0">
                  <c:v>PCS</c:v>
                </c:pt>
              </c:strCache>
            </c:strRef>
          </c:tx>
          <c:spPr>
            <a:ln w="19050" cap="rnd">
              <a:solidFill>
                <a:srgbClr val="00B0F0"/>
              </a:solidFill>
              <a:round/>
            </a:ln>
            <a:effectLst/>
          </c:spPr>
          <c:marker>
            <c:symbol val="none"/>
          </c:marker>
          <c:xVal>
            <c:strRef>
              <c:f>('Data Summary'!$F$23,'Data Summary'!$A$34)</c:f>
              <c:strCache>
                <c:ptCount val="2"/>
                <c:pt idx="0">
                  <c:v>1</c:v>
                </c:pt>
                <c:pt idx="1">
                  <c:v>#N/A</c:v>
                </c:pt>
              </c:strCache>
            </c:strRef>
          </c:xVal>
          <c:yVal>
            <c:numRef>
              <c:f>('Data Summary'!$D$29,'Data Summary'!$D$29)</c:f>
              <c:numCache>
                <c:formatCode>General</c:formatCode>
                <c:ptCount val="2"/>
                <c:pt idx="0">
                  <c:v>0.87</c:v>
                </c:pt>
                <c:pt idx="1">
                  <c:v>0.87</c:v>
                </c:pt>
              </c:numCache>
            </c:numRef>
          </c:yVal>
          <c:smooth val="0"/>
          <c:extLst xmlns:c16r2="http://schemas.microsoft.com/office/drawing/2015/06/chart">
            <c:ext xmlns:c16="http://schemas.microsoft.com/office/drawing/2014/chart" uri="{C3380CC4-5D6E-409C-BE32-E72D297353CC}">
              <c16:uniqueId val="{00000001-377C-4EA9-9858-DD24FD97EF7F}"/>
            </c:ext>
          </c:extLst>
        </c:ser>
        <c:ser>
          <c:idx val="3"/>
          <c:order val="2"/>
          <c:tx>
            <c:strRef>
              <c:f>'Data Summary'!$E$22:$E$23</c:f>
              <c:strCache>
                <c:ptCount val="1"/>
                <c:pt idx="0">
                  <c:v>As-Built</c:v>
                </c:pt>
              </c:strCache>
            </c:strRef>
          </c:tx>
          <c:spPr>
            <a:ln w="38100" cap="rnd" cmpd="dbl">
              <a:solidFill>
                <a:schemeClr val="bg2">
                  <a:lumMod val="75000"/>
                </a:schemeClr>
              </a:solidFill>
              <a:prstDash val="dash"/>
              <a:round/>
            </a:ln>
            <a:effectLst/>
          </c:spPr>
          <c:marker>
            <c:symbol val="none"/>
          </c:marker>
          <c:xVal>
            <c:strRef>
              <c:f>('Data Summary'!$F$23,'Data Summary'!$A$34)</c:f>
              <c:strCache>
                <c:ptCount val="2"/>
                <c:pt idx="0">
                  <c:v>1</c:v>
                </c:pt>
                <c:pt idx="1">
                  <c:v>#N/A</c:v>
                </c:pt>
              </c:strCache>
            </c:strRef>
          </c:xVal>
          <c:yVal>
            <c:numRef>
              <c:f>('Data Summary'!$E$29,'Data Summary'!$E$29)</c:f>
              <c:numCache>
                <c:formatCode>General</c:formatCode>
                <c:ptCount val="2"/>
                <c:pt idx="0">
                  <c:v>0.65</c:v>
                </c:pt>
                <c:pt idx="1">
                  <c:v>0.65</c:v>
                </c:pt>
              </c:numCache>
            </c:numRef>
          </c:yVal>
          <c:smooth val="0"/>
          <c:extLst xmlns:c16r2="http://schemas.microsoft.com/office/drawing/2015/06/char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Summary'!$F$29:$O$29</c:f>
              <c:numCache>
                <c:formatCode>0.00</c:formatCode>
                <c:ptCount val="10"/>
                <c:pt idx="0">
                  <c:v>0.68</c:v>
                </c:pt>
                <c:pt idx="1">
                  <c:v>0.69</c:v>
                </c:pt>
                <c:pt idx="2">
                  <c:v>0.78</c:v>
                </c:pt>
                <c:pt idx="3">
                  <c:v>0.78</c:v>
                </c:pt>
                <c:pt idx="4">
                  <c:v>0.87</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436633120"/>
        <c:axId val="436639392"/>
      </c:scatterChart>
      <c:valAx>
        <c:axId val="43663312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9392"/>
        <c:crosses val="autoZero"/>
        <c:crossBetween val="midCat"/>
      </c:valAx>
      <c:valAx>
        <c:axId val="4366393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3120"/>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Pool Spacing Ratio for B and Ba Stream Types</a:t>
            </a:r>
            <a:endParaRPr lang="en-US" sz="1400">
              <a:effectLst/>
            </a:endParaRPr>
          </a:p>
        </c:rich>
      </c:tx>
      <c:layout>
        <c:manualLayout>
          <c:xMode val="edge"/>
          <c:yMode val="edge"/>
          <c:x val="0.27864068445071971"/>
          <c:y val="2.73050631643490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NF &amp;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2280498193889869"/>
                  <c:y val="-0.2329031740125809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Standards'!$S$562:$W$562</c:f>
              <c:numCache>
                <c:formatCode>General</c:formatCode>
                <c:ptCount val="5"/>
                <c:pt idx="0" formatCode="0.0">
                  <c:v>7.5</c:v>
                </c:pt>
                <c:pt idx="2">
                  <c:v>6</c:v>
                </c:pt>
                <c:pt idx="4">
                  <c:v>4</c:v>
                </c:pt>
              </c:numCache>
            </c:numRef>
          </c:xVal>
          <c:yVal>
            <c:numRef>
              <c:f>'Performance Standards'!$S$563:$W$563</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3F89-4AE3-A340-207A3C2A9FF9}"/>
            </c:ext>
          </c:extLst>
        </c:ser>
        <c:ser>
          <c:idx val="0"/>
          <c:order val="1"/>
          <c:tx>
            <c:v>Functioning</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5243347108525701E-2"/>
                  <c:y val="-7.502798801375602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Standards'!$W$562:$X$562</c:f>
              <c:numCache>
                <c:formatCode>General</c:formatCode>
                <c:ptCount val="2"/>
                <c:pt idx="0">
                  <c:v>4</c:v>
                </c:pt>
                <c:pt idx="1">
                  <c:v>3</c:v>
                </c:pt>
              </c:numCache>
            </c:numRef>
          </c:xVal>
          <c:yVal>
            <c:numRef>
              <c:f>'Performance Standards'!$W$563:$X$563</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7639-487B-B9D7-98465F56B623}"/>
            </c:ext>
          </c:extLst>
        </c:ser>
        <c:dLbls>
          <c:showLegendKey val="0"/>
          <c:showVal val="0"/>
          <c:showCatName val="0"/>
          <c:showSerName val="0"/>
          <c:showPercent val="0"/>
          <c:showBubbleSize val="0"/>
        </c:dLbls>
        <c:axId val="453853832"/>
        <c:axId val="453854224"/>
      </c:scatterChart>
      <c:valAx>
        <c:axId val="4538538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4224"/>
        <c:crosses val="autoZero"/>
        <c:crossBetween val="midCat"/>
      </c:valAx>
      <c:valAx>
        <c:axId val="4538542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3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Pool Spacing Ratio for Cb Stream Types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7991656067806035E-2"/>
                  <c:y val="0.24929935095802938"/>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Standards'!$S$528:$X$528</c:f>
              <c:numCache>
                <c:formatCode>General</c:formatCode>
                <c:ptCount val="6"/>
                <c:pt idx="0" formatCode="0.0">
                  <c:v>2.3736720089268464</c:v>
                </c:pt>
                <c:pt idx="2">
                  <c:v>2.6</c:v>
                </c:pt>
                <c:pt idx="4">
                  <c:v>3</c:v>
                </c:pt>
                <c:pt idx="5">
                  <c:v>3.7</c:v>
                </c:pt>
              </c:numCache>
            </c:numRef>
          </c:xVal>
          <c:yVal>
            <c:numRef>
              <c:f>'Performance Standards'!$S$530:$X$530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14F-47BE-9206-E7937E692AD6}"/>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4.5695865052711518E-3"/>
                  <c:y val="-0.60171602591981843"/>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Standards'!$S$529:$X$529</c:f>
              <c:numCache>
                <c:formatCode>General</c:formatCode>
                <c:ptCount val="6"/>
                <c:pt idx="0" formatCode="0.0">
                  <c:v>7.6237626511543954</c:v>
                </c:pt>
                <c:pt idx="2">
                  <c:v>7</c:v>
                </c:pt>
                <c:pt idx="4">
                  <c:v>6</c:v>
                </c:pt>
                <c:pt idx="5">
                  <c:v>5</c:v>
                </c:pt>
              </c:numCache>
            </c:numRef>
          </c:xVal>
          <c:yVal>
            <c:numRef>
              <c:f>'Performance Standards'!$S$530:$X$530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C14F-47BE-9206-E7937E692AD6}"/>
            </c:ext>
          </c:extLst>
        </c:ser>
        <c:ser>
          <c:idx val="2"/>
          <c:order val="2"/>
          <c:tx>
            <c:v>Crest</c:v>
          </c:tx>
          <c:spPr>
            <a:ln w="25400" cap="rnd">
              <a:solidFill>
                <a:schemeClr val="tx1"/>
              </a:solidFill>
              <a:prstDash val="sysDash"/>
              <a:round/>
            </a:ln>
            <a:effectLst/>
          </c:spPr>
          <c:marker>
            <c:symbol val="none"/>
          </c:marker>
          <c:xVal>
            <c:numRef>
              <c:f>('Performance Standards'!$X$528,'Performance Standards'!$X$529)</c:f>
              <c:numCache>
                <c:formatCode>General</c:formatCode>
                <c:ptCount val="2"/>
                <c:pt idx="0">
                  <c:v>3.7</c:v>
                </c:pt>
                <c:pt idx="1">
                  <c:v>5</c:v>
                </c:pt>
              </c:numCache>
            </c:numRef>
          </c:xVal>
          <c:yVal>
            <c:numRef>
              <c:f>('Performance Standards'!$X$530,'Performance Standards'!$X$530)</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5122-429D-BBAA-0171AD4E5BB3}"/>
            </c:ext>
          </c:extLst>
        </c:ser>
        <c:dLbls>
          <c:showLegendKey val="0"/>
          <c:showVal val="0"/>
          <c:showCatName val="0"/>
          <c:showSerName val="0"/>
          <c:showPercent val="0"/>
          <c:showBubbleSize val="0"/>
        </c:dLbls>
        <c:axId val="453857752"/>
        <c:axId val="453850696"/>
        <c:extLst xmlns:c16r2="http://schemas.microsoft.com/office/drawing/2015/06/chart">
          <c:ext xmlns:c15="http://schemas.microsoft.com/office/drawing/2012/chart" uri="{02D57815-91ED-43cb-92C2-25804820EDAC}">
            <c15:filteredScatterSeries>
              <c15:ser>
                <c:idx val="3"/>
                <c:order val="3"/>
                <c:tx>
                  <c:v>Low Cliff</c:v>
                </c:tx>
                <c:spPr>
                  <a:ln w="31750" cap="rnd">
                    <a:solidFill>
                      <a:srgbClr val="FF0000"/>
                    </a:solidFill>
                    <a:round/>
                  </a:ln>
                  <a:effectLst/>
                </c:spPr>
                <c:marker>
                  <c:symbol val="none"/>
                </c:marker>
                <c:xVal>
                  <c:numLit>
                    <c:formatCode>General</c:formatCode>
                    <c:ptCount val="2"/>
                    <c:pt idx="0">
                      <c:v>0</c:v>
                    </c:pt>
                    <c:pt idx="1">
                      <c:v>3</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E3E6-4F08-9E58-9A6B24D32C81}"/>
                  </c:ext>
                </c:extLst>
              </c15:ser>
            </c15:filteredScatterSeries>
            <c15:filteredScatterSeries>
              <c15:ser>
                <c:idx val="4"/>
                <c:order val="4"/>
                <c:tx>
                  <c:v>High Cliff</c:v>
                </c:tx>
                <c:spPr>
                  <a:ln w="31750" cap="rnd">
                    <a:solidFill>
                      <a:srgbClr val="FF0000"/>
                    </a:solidFill>
                    <a:round/>
                  </a:ln>
                  <a:effectLst/>
                </c:spPr>
                <c:marker>
                  <c:symbol val="none"/>
                </c:marker>
                <c:xVal>
                  <c:numLit>
                    <c:formatCode>General</c:formatCode>
                    <c:ptCount val="2"/>
                    <c:pt idx="0">
                      <c:v>7</c:v>
                    </c:pt>
                    <c:pt idx="1">
                      <c:v>8</c:v>
                    </c:pt>
                  </c:numLit>
                </c:xVal>
                <c:yVal>
                  <c:numLit>
                    <c:formatCode>General</c:formatCode>
                    <c:ptCount val="2"/>
                    <c:pt idx="0">
                      <c:v>0</c:v>
                    </c:pt>
                    <c:pt idx="1">
                      <c:v>0</c:v>
                    </c:pt>
                  </c:numLit>
                </c:yVal>
                <c:smooth val="0"/>
                <c:extLst xmlns:c16r2="http://schemas.microsoft.com/office/drawing/2015/06/chart" xmlns:c15="http://schemas.microsoft.com/office/drawing/2012/chart">
                  <c:ext xmlns:c16="http://schemas.microsoft.com/office/drawing/2014/chart" uri="{C3380CC4-5D6E-409C-BE32-E72D297353CC}">
                    <c16:uniqueId val="{00000004-E3E6-4F08-9E58-9A6B24D32C81}"/>
                  </c:ext>
                </c:extLst>
              </c15:ser>
            </c15:filteredScatterSeries>
          </c:ext>
        </c:extLst>
      </c:scatterChart>
      <c:valAx>
        <c:axId val="453857752"/>
        <c:scaling>
          <c:orientation val="minMax"/>
          <c:max val="8"/>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0696"/>
        <c:crosses val="autoZero"/>
        <c:crossBetween val="midCat"/>
      </c:valAx>
      <c:valAx>
        <c:axId val="4538506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7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C </a:t>
            </a:r>
            <a:r>
              <a:rPr lang="en-US" baseline="0"/>
              <a:t>Stream Types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61872385009435E-2"/>
                  <c:y val="0.33467815436034054"/>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'Performance Standards'!$S$494:$X$494</c:f>
              <c:numCache>
                <c:formatCode>General</c:formatCode>
                <c:ptCount val="6"/>
                <c:pt idx="0" formatCode="0.0">
                  <c:v>3</c:v>
                </c:pt>
                <c:pt idx="2">
                  <c:v>3.3</c:v>
                </c:pt>
                <c:pt idx="4">
                  <c:v>3.7</c:v>
                </c:pt>
                <c:pt idx="5" formatCode="0.0">
                  <c:v>4</c:v>
                </c:pt>
              </c:numCache>
            </c:numRef>
          </c:xVal>
          <c:yVal>
            <c:numRef>
              <c:f>'Performance Standards'!$S$496:$X$496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D1E-4832-8408-8CBD3FC589E3}"/>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7344004726481132E-2"/>
                  <c:y val="-0.4319918965314026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Standards'!$S$495:$X$495</c:f>
              <c:numCache>
                <c:formatCode>General</c:formatCode>
                <c:ptCount val="6"/>
                <c:pt idx="0" formatCode="0.0">
                  <c:v>9.3333333333333339</c:v>
                </c:pt>
                <c:pt idx="4">
                  <c:v>7</c:v>
                </c:pt>
                <c:pt idx="5">
                  <c:v>6</c:v>
                </c:pt>
              </c:numCache>
            </c:numRef>
          </c:xVal>
          <c:yVal>
            <c:numRef>
              <c:f>'Performance Standards'!$S$496:$X$496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8AA4-4E0C-8114-2D9E850C5DD4}"/>
            </c:ext>
          </c:extLst>
        </c:ser>
        <c:ser>
          <c:idx val="2"/>
          <c:order val="2"/>
          <c:tx>
            <c:v>Crest</c:v>
          </c:tx>
          <c:spPr>
            <a:ln w="25400" cap="rnd">
              <a:solidFill>
                <a:schemeClr val="tx1"/>
              </a:solidFill>
              <a:prstDash val="sysDash"/>
              <a:round/>
            </a:ln>
            <a:effectLst/>
          </c:spPr>
          <c:marker>
            <c:symbol val="none"/>
          </c:marker>
          <c:xVal>
            <c:numRef>
              <c:f>('Performance Standards'!$X$494,'Performance Standards'!$X$495)</c:f>
              <c:numCache>
                <c:formatCode>General</c:formatCode>
                <c:ptCount val="2"/>
                <c:pt idx="0" formatCode="0.0">
                  <c:v>4</c:v>
                </c:pt>
                <c:pt idx="1">
                  <c:v>6</c:v>
                </c:pt>
              </c:numCache>
            </c:numRef>
          </c:xVal>
          <c:yVal>
            <c:numRef>
              <c:f>('Performance Standards'!$X$496,'Performance Standards'!$X$496)</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3-8AA4-4E0C-8114-2D9E850C5DD4}"/>
            </c:ext>
          </c:extLst>
        </c:ser>
        <c:dLbls>
          <c:showLegendKey val="0"/>
          <c:showVal val="0"/>
          <c:showCatName val="0"/>
          <c:showSerName val="0"/>
          <c:showPercent val="0"/>
          <c:showBubbleSize val="0"/>
        </c:dLbls>
        <c:axId val="436634296"/>
        <c:axId val="436635080"/>
      </c:scatterChart>
      <c:valAx>
        <c:axId val="436634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35080"/>
        <c:crosses val="autoZero"/>
        <c:crossBetween val="midCat"/>
      </c:valAx>
      <c:valAx>
        <c:axId val="4366350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34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Depth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0952837540676564E-2"/>
                  <c:y val="0.107033390006611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Standards'!$S$626:$U$626</c:f>
              <c:numCache>
                <c:formatCode>General</c:formatCode>
                <c:ptCount val="3"/>
                <c:pt idx="0" formatCode="0.00">
                  <c:v>1.1000000000000001</c:v>
                </c:pt>
                <c:pt idx="2">
                  <c:v>1.2</c:v>
                </c:pt>
              </c:numCache>
            </c:numRef>
          </c:xVal>
          <c:yVal>
            <c:numRef>
              <c:f>'Performance Standards'!$S$627:$U$627</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8EC5-4A07-8D5B-D3562716BC89}"/>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0748500358015664"/>
                  <c:y val="0.164672947955039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Standards'!$U$626:$X$626</c:f>
              <c:numCache>
                <c:formatCode>General</c:formatCode>
                <c:ptCount val="4"/>
                <c:pt idx="0">
                  <c:v>1.2</c:v>
                </c:pt>
                <c:pt idx="2">
                  <c:v>2.1</c:v>
                </c:pt>
                <c:pt idx="3" formatCode="0.00">
                  <c:v>2.5</c:v>
                </c:pt>
              </c:numCache>
            </c:numRef>
          </c:xVal>
          <c:yVal>
            <c:numRef>
              <c:f>'Performance Standards'!$U$627:$X$627</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0-6121-4ADE-A1F7-55E2A9FD0207}"/>
            </c:ext>
          </c:extLst>
        </c:ser>
        <c:dLbls>
          <c:showLegendKey val="0"/>
          <c:showVal val="0"/>
          <c:showCatName val="0"/>
          <c:showSerName val="0"/>
          <c:showPercent val="0"/>
          <c:showBubbleSize val="0"/>
        </c:dLbls>
        <c:axId val="436636648"/>
        <c:axId val="454244640"/>
      </c:scatterChart>
      <c:valAx>
        <c:axId val="43663664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4640"/>
        <c:crosses val="autoZero"/>
        <c:crossBetween val="midCat"/>
      </c:valAx>
      <c:valAx>
        <c:axId val="4542446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36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Aggradation Ratio </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5179997298377723"/>
                  <c:y val="-0.4206980696012049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Standards'!$S$762:$X$762</c:f>
              <c:numCache>
                <c:formatCode>General</c:formatCode>
                <c:ptCount val="6"/>
                <c:pt idx="0">
                  <c:v>1.6</c:v>
                </c:pt>
                <c:pt idx="2">
                  <c:v>1.4</c:v>
                </c:pt>
                <c:pt idx="3">
                  <c:v>1.2</c:v>
                </c:pt>
                <c:pt idx="5">
                  <c:v>1</c:v>
                </c:pt>
              </c:numCache>
            </c:numRef>
          </c:xVal>
          <c:yVal>
            <c:numRef>
              <c:f>'Performance Standards'!$S$763:$X$763</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685-4A88-A253-CC374FDFCA12}"/>
            </c:ext>
          </c:extLst>
        </c:ser>
        <c:dLbls>
          <c:showLegendKey val="0"/>
          <c:showVal val="0"/>
          <c:showCatName val="0"/>
          <c:showSerName val="0"/>
          <c:showPercent val="0"/>
          <c:showBubbleSize val="0"/>
        </c:dLbls>
        <c:axId val="454241896"/>
        <c:axId val="454242680"/>
      </c:scatterChart>
      <c:valAx>
        <c:axId val="454241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2680"/>
        <c:crosses val="autoZero"/>
        <c:crossBetween val="midCat"/>
      </c:valAx>
      <c:valAx>
        <c:axId val="4542426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1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 Volcanic Mountains and Valleys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8.2981034787460023E-2"/>
                  <c:y val="0.7432679567714956"/>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Standards'!$S$659:$X$659</c:f>
              <c:numCache>
                <c:formatCode>General</c:formatCode>
                <c:ptCount val="6"/>
                <c:pt idx="0" formatCode="0">
                  <c:v>57.15</c:v>
                </c:pt>
                <c:pt idx="2">
                  <c:v>60</c:v>
                </c:pt>
                <c:pt idx="4">
                  <c:v>65</c:v>
                </c:pt>
                <c:pt idx="5" formatCode="0">
                  <c:v>73</c:v>
                </c:pt>
              </c:numCache>
            </c:numRef>
          </c:xVal>
          <c:yVal>
            <c:numRef>
              <c:f>'Performance Standards'!$S$661:$X$661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12A8-4C81-9017-6694A81055E9}"/>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3.5435458328857408E-3"/>
                  <c:y val="-1.475236118918714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Standards'!$S$660:$X$660</c:f>
              <c:numCache>
                <c:formatCode>General</c:formatCode>
                <c:ptCount val="6"/>
                <c:pt idx="2">
                  <c:v>95</c:v>
                </c:pt>
                <c:pt idx="4">
                  <c:v>85</c:v>
                </c:pt>
                <c:pt idx="5" formatCode="0">
                  <c:v>80</c:v>
                </c:pt>
              </c:numCache>
            </c:numRef>
          </c:xVal>
          <c:yVal>
            <c:numRef>
              <c:f>'Performance Standards'!$S$661:$X$661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E53-4C23-8B88-B8B9985A029B}"/>
            </c:ext>
          </c:extLst>
        </c:ser>
        <c:ser>
          <c:idx val="2"/>
          <c:order val="2"/>
          <c:tx>
            <c:v>Crest</c:v>
          </c:tx>
          <c:spPr>
            <a:ln w="25400" cap="rnd">
              <a:solidFill>
                <a:schemeClr val="tx1"/>
              </a:solidFill>
              <a:prstDash val="sysDash"/>
              <a:round/>
            </a:ln>
            <a:effectLst/>
          </c:spPr>
          <c:marker>
            <c:symbol val="none"/>
          </c:marker>
          <c:xVal>
            <c:numRef>
              <c:f>'Performance Standards'!$X$659:$X$660</c:f>
              <c:numCache>
                <c:formatCode>0</c:formatCode>
                <c:ptCount val="2"/>
                <c:pt idx="0">
                  <c:v>73</c:v>
                </c:pt>
                <c:pt idx="1">
                  <c:v>80</c:v>
                </c:pt>
              </c:numCache>
            </c:numRef>
          </c:xVal>
          <c:yVal>
            <c:numRef>
              <c:f>('Performance Standards'!$X$661,'Performance Standards'!$X$661)</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2-720D-4D55-8B7E-BCFADBCE7ED1}"/>
            </c:ext>
          </c:extLst>
        </c:ser>
        <c:ser>
          <c:idx val="3"/>
          <c:order val="3"/>
          <c:tx>
            <c:v>High Floor</c:v>
          </c:tx>
          <c:spPr>
            <a:ln w="31750" cap="rnd">
              <a:solidFill>
                <a:srgbClr val="FF0000"/>
              </a:solidFill>
              <a:round/>
            </a:ln>
            <a:effectLst/>
          </c:spPr>
          <c:marker>
            <c:symbol val="none"/>
          </c:marker>
          <c:xVal>
            <c:numLit>
              <c:formatCode>General</c:formatCode>
              <c:ptCount val="2"/>
              <c:pt idx="0">
                <c:v>95</c:v>
              </c:pt>
              <c:pt idx="1">
                <c:v>100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720D-4D55-8B7E-BCFADBCE7ED1}"/>
            </c:ext>
          </c:extLst>
        </c:ser>
        <c:dLbls>
          <c:showLegendKey val="0"/>
          <c:showVal val="0"/>
          <c:showCatName val="0"/>
          <c:showSerName val="0"/>
          <c:showPercent val="0"/>
          <c:showBubbleSize val="0"/>
        </c:dLbls>
        <c:axId val="454240328"/>
        <c:axId val="454237192"/>
      </c:scatterChart>
      <c:valAx>
        <c:axId val="454240328"/>
        <c:scaling>
          <c:orientation val="minMax"/>
          <c:max val="100"/>
          <c:min val="5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37192"/>
        <c:crosses val="autoZero"/>
        <c:crossBetween val="midCat"/>
      </c:valAx>
      <c:valAx>
        <c:axId val="4542371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0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E S</a:t>
            </a:r>
            <a:r>
              <a:rPr lang="en-US"/>
              <a:t>tream Types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FAR 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073515053395618"/>
                  <c:y val="0.1807505957628502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Standards'!$S$796:$W$796</c:f>
              <c:numCache>
                <c:formatCode>General</c:formatCode>
                <c:ptCount val="5"/>
                <c:pt idx="2">
                  <c:v>1.2</c:v>
                </c:pt>
                <c:pt idx="4">
                  <c:v>1.3</c:v>
                </c:pt>
              </c:numCache>
            </c:numRef>
          </c:xVal>
          <c:yVal>
            <c:numRef>
              <c:f>'Performance Standards'!$S$798:$W$798</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0224-4D2B-89F3-7EEE960BF694}"/>
            </c:ext>
          </c:extLst>
        </c:ser>
        <c:ser>
          <c:idx val="2"/>
          <c:order val="1"/>
          <c:tx>
            <c:v>F Rising Limb</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0494513636621736"/>
                  <c:y val="6.1274275791309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Standards'!$W$796:$X$796</c:f>
              <c:numCache>
                <c:formatCode>General</c:formatCode>
                <c:ptCount val="2"/>
                <c:pt idx="0">
                  <c:v>1.3</c:v>
                </c:pt>
                <c:pt idx="1">
                  <c:v>1.6</c:v>
                </c:pt>
              </c:numCache>
            </c:numRef>
          </c:xVal>
          <c:yVal>
            <c:numRef>
              <c:f>'Performance Standards'!$W$798:$X$798</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5-11B4-4F86-85DB-2193C099AC43}"/>
            </c:ext>
          </c:extLst>
        </c:ser>
        <c:ser>
          <c:idx val="1"/>
          <c:order val="2"/>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9.5317167615568174E-4"/>
                  <c:y val="-1.03049888989643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Standards'!$S$797:$X$797</c:f>
              <c:numCache>
                <c:formatCode>General</c:formatCode>
                <c:ptCount val="6"/>
                <c:pt idx="2">
                  <c:v>2</c:v>
                </c:pt>
                <c:pt idx="4">
                  <c:v>1.8</c:v>
                </c:pt>
                <c:pt idx="5">
                  <c:v>1.7</c:v>
                </c:pt>
              </c:numCache>
            </c:numRef>
          </c:xVal>
          <c:yVal>
            <c:numRef>
              <c:f>'Performance Standards'!$S$798:$X$798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0224-4D2B-89F3-7EEE960BF694}"/>
            </c:ext>
          </c:extLst>
        </c:ser>
        <c:ser>
          <c:idx val="3"/>
          <c:order val="3"/>
          <c:tx>
            <c:v>Low Floor</c:v>
          </c:tx>
          <c:spPr>
            <a:ln w="25400" cap="rnd">
              <a:solidFill>
                <a:srgbClr val="FF0000"/>
              </a:solidFill>
              <a:round/>
            </a:ln>
            <a:effectLst/>
          </c:spPr>
          <c:marker>
            <c:symbol val="none"/>
          </c:marker>
          <c:xVal>
            <c:numLit>
              <c:formatCode>General</c:formatCode>
              <c:ptCount val="2"/>
              <c:pt idx="0">
                <c:v>1</c:v>
              </c:pt>
              <c:pt idx="1">
                <c:v>1.2</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A748-4E35-B9A2-7F4451F49275}"/>
            </c:ext>
          </c:extLst>
        </c:ser>
        <c:ser>
          <c:idx val="4"/>
          <c:order val="4"/>
          <c:tx>
            <c:v>High Floor</c:v>
          </c:tx>
          <c:spPr>
            <a:ln w="31750" cap="rnd">
              <a:solidFill>
                <a:srgbClr val="FF0000"/>
              </a:solidFill>
              <a:round/>
            </a:ln>
            <a:effectLst/>
          </c:spPr>
          <c:marker>
            <c:symbol val="none"/>
          </c:marker>
          <c:xVal>
            <c:numLit>
              <c:formatCode>General</c:formatCode>
              <c:ptCount val="2"/>
              <c:pt idx="0">
                <c:v>2</c:v>
              </c:pt>
              <c:pt idx="1">
                <c:v>2.2000000000000002</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4-A748-4E35-B9A2-7F4451F49275}"/>
            </c:ext>
          </c:extLst>
        </c:ser>
        <c:ser>
          <c:idx val="5"/>
          <c:order val="5"/>
          <c:tx>
            <c:v>Crest</c:v>
          </c:tx>
          <c:spPr>
            <a:ln w="25400" cap="rnd">
              <a:solidFill>
                <a:schemeClr val="tx1"/>
              </a:solidFill>
              <a:prstDash val="sysDash"/>
              <a:round/>
            </a:ln>
            <a:effectLst/>
          </c:spPr>
          <c:marker>
            <c:symbol val="none"/>
          </c:marker>
          <c:xVal>
            <c:numRef>
              <c:f>('Performance Standards'!$X$796,'Performance Standards'!$X$797)</c:f>
              <c:numCache>
                <c:formatCode>General</c:formatCode>
                <c:ptCount val="2"/>
                <c:pt idx="0">
                  <c:v>1.6</c:v>
                </c:pt>
                <c:pt idx="1">
                  <c:v>1.7</c:v>
                </c:pt>
              </c:numCache>
            </c:numRef>
          </c:xVal>
          <c:yVal>
            <c:numRef>
              <c:f>('Performance Standards'!$X$798,'Performance Standards'!$X$798)</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6-11B4-4F86-85DB-2193C099AC43}"/>
            </c:ext>
          </c:extLst>
        </c:ser>
        <c:dLbls>
          <c:showLegendKey val="0"/>
          <c:showVal val="0"/>
          <c:showCatName val="0"/>
          <c:showSerName val="0"/>
          <c:showPercent val="0"/>
          <c:showBubbleSize val="0"/>
        </c:dLbls>
        <c:axId val="454241112"/>
        <c:axId val="454243464"/>
      </c:scatterChart>
      <c:valAx>
        <c:axId val="454241112"/>
        <c:scaling>
          <c:orientation val="minMax"/>
          <c:max val="2.2000000000000002"/>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3464"/>
        <c:crosses val="autoZero"/>
        <c:crossBetween val="midCat"/>
      </c:valAx>
      <c:valAx>
        <c:axId val="4542434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11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Streams &lt; 3% slope </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2.2554953653462391E-2"/>
                  <c:y val="7.9356826962238766E-2"/>
                </c:manualLayout>
              </c:layout>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Standards'!$S$693:$X$693</c:f>
              <c:numCache>
                <c:formatCode>General</c:formatCode>
                <c:ptCount val="6"/>
                <c:pt idx="0" formatCode="0">
                  <c:v>36.882489392466439</c:v>
                </c:pt>
                <c:pt idx="2">
                  <c:v>40</c:v>
                </c:pt>
                <c:pt idx="4">
                  <c:v>45</c:v>
                </c:pt>
                <c:pt idx="5">
                  <c:v>50</c:v>
                </c:pt>
              </c:numCache>
            </c:numRef>
          </c:xVal>
          <c:yVal>
            <c:numRef>
              <c:f>'Performance Standards'!$S$695:$X$695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3CC-400E-91D8-8DB0C3E7DC9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7.6028590989891016E-3"/>
                  <c:y val="-1.3948403677530182E-3"/>
                </c:manualLayout>
              </c:layout>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Standards'!$S$694:$X$694</c:f>
              <c:numCache>
                <c:formatCode>General</c:formatCode>
                <c:ptCount val="6"/>
                <c:pt idx="0" formatCode="0">
                  <c:v>73.122375394391796</c:v>
                </c:pt>
                <c:pt idx="2">
                  <c:v>70</c:v>
                </c:pt>
                <c:pt idx="4">
                  <c:v>65</c:v>
                </c:pt>
                <c:pt idx="5">
                  <c:v>60</c:v>
                </c:pt>
              </c:numCache>
            </c:numRef>
          </c:xVal>
          <c:yVal>
            <c:numRef>
              <c:f>'Performance Standards'!$S$695:$X$695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33CC-400E-91D8-8DB0C3E7DC9D}"/>
            </c:ext>
          </c:extLst>
        </c:ser>
        <c:ser>
          <c:idx val="2"/>
          <c:order val="2"/>
          <c:tx>
            <c:v>Crest</c:v>
          </c:tx>
          <c:spPr>
            <a:ln w="25400" cap="rnd">
              <a:solidFill>
                <a:schemeClr val="tx1"/>
              </a:solidFill>
              <a:prstDash val="sysDash"/>
              <a:round/>
            </a:ln>
            <a:effectLst/>
          </c:spPr>
          <c:marker>
            <c:symbol val="none"/>
          </c:marker>
          <c:trendline>
            <c:spPr>
              <a:ln w="22225" cap="rnd">
                <a:solidFill>
                  <a:schemeClr val="tx1"/>
                </a:solidFill>
                <a:prstDash val="sysDot"/>
              </a:ln>
              <a:effectLst/>
            </c:spPr>
            <c:trendlineType val="linear"/>
            <c:dispRSqr val="0"/>
            <c:dispEq val="0"/>
          </c:trendline>
          <c:xVal>
            <c:numRef>
              <c:f>'Performance Standards'!$X$693:$X$694</c:f>
              <c:numCache>
                <c:formatCode>General</c:formatCode>
                <c:ptCount val="2"/>
                <c:pt idx="0">
                  <c:v>50</c:v>
                </c:pt>
                <c:pt idx="1">
                  <c:v>60</c:v>
                </c:pt>
              </c:numCache>
            </c:numRef>
          </c:xVal>
          <c:yVal>
            <c:numRef>
              <c:f>('Performance Standards'!$X$695,'Performance Standards'!$X$695)</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454244248"/>
        <c:axId val="454237976"/>
      </c:scatterChart>
      <c:valAx>
        <c:axId val="454244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37976"/>
        <c:crosses val="autoZero"/>
        <c:crossBetween val="midCat"/>
      </c:valAx>
      <c:valAx>
        <c:axId val="45423797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4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54238368"/>
        <c:axId val="454238760"/>
      </c:scatterChart>
      <c:valAx>
        <c:axId val="454238368"/>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38760"/>
        <c:crosses val="autoZero"/>
        <c:crossBetween val="midCat"/>
      </c:valAx>
      <c:valAx>
        <c:axId val="454238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38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54241504"/>
        <c:axId val="454239152"/>
      </c:scatterChart>
      <c:valAx>
        <c:axId val="454241504"/>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39152"/>
        <c:crosses val="autoZero"/>
        <c:crossBetween val="midCat"/>
      </c:valAx>
      <c:valAx>
        <c:axId val="454239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41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Summary'!$C$22:$C$23</c:f>
              <c:strCache>
                <c:ptCount val="1"/>
                <c:pt idx="0">
                  <c:v>ECS</c:v>
                </c:pt>
              </c:strCache>
            </c:strRef>
          </c:tx>
          <c:spPr>
            <a:ln w="19050" cap="rnd">
              <a:solidFill>
                <a:srgbClr val="FF0000">
                  <a:alpha val="50000"/>
                </a:srgbClr>
              </a:solidFill>
              <a:prstDash val="dash"/>
              <a:round/>
            </a:ln>
            <a:effectLst/>
          </c:spPr>
          <c:marker>
            <c:symbol val="none"/>
          </c:marker>
          <c:xVal>
            <c:strRef>
              <c:f>('Data Summary'!$F$23,'Data Summary'!$A$34)</c:f>
              <c:strCache>
                <c:ptCount val="2"/>
                <c:pt idx="0">
                  <c:v>1</c:v>
                </c:pt>
                <c:pt idx="1">
                  <c:v>#N/A</c:v>
                </c:pt>
              </c:strCache>
            </c:strRef>
          </c:xVal>
          <c:yVal>
            <c:numRef>
              <c:f>('Data Summary'!$C$30,'Data Summary'!$C$30)</c:f>
              <c:numCache>
                <c:formatCode>General</c:formatCode>
                <c:ptCount val="2"/>
                <c:pt idx="0">
                  <c:v>360</c:v>
                </c:pt>
                <c:pt idx="1">
                  <c:v>360</c:v>
                </c:pt>
              </c:numCache>
            </c:numRef>
          </c:yVal>
          <c:smooth val="0"/>
          <c:extLst xmlns:c16r2="http://schemas.microsoft.com/office/drawing/2015/06/chart">
            <c:ext xmlns:c16="http://schemas.microsoft.com/office/drawing/2014/chart" uri="{C3380CC4-5D6E-409C-BE32-E72D297353CC}">
              <c16:uniqueId val="{00000001-BF5F-49D1-B7E8-F18A8E0EDA1E}"/>
            </c:ext>
          </c:extLst>
        </c:ser>
        <c:ser>
          <c:idx val="2"/>
          <c:order val="1"/>
          <c:tx>
            <c:strRef>
              <c:f>'Data Summary'!$D$22:$D$23</c:f>
              <c:strCache>
                <c:ptCount val="1"/>
                <c:pt idx="0">
                  <c:v>PCS</c:v>
                </c:pt>
              </c:strCache>
            </c:strRef>
          </c:tx>
          <c:spPr>
            <a:ln w="19050" cap="rnd">
              <a:solidFill>
                <a:srgbClr val="00B0F0"/>
              </a:solidFill>
              <a:round/>
            </a:ln>
            <a:effectLst/>
          </c:spPr>
          <c:marker>
            <c:symbol val="none"/>
          </c:marker>
          <c:xVal>
            <c:strRef>
              <c:f>('Data Summary'!$F$23,'Data Summary'!$A$34)</c:f>
              <c:strCache>
                <c:ptCount val="2"/>
                <c:pt idx="0">
                  <c:v>1</c:v>
                </c:pt>
                <c:pt idx="1">
                  <c:v>#N/A</c:v>
                </c:pt>
              </c:strCache>
            </c:strRef>
          </c:xVal>
          <c:yVal>
            <c:numRef>
              <c:f>('Data Summary'!$D$30,'Data Summary'!$D$30)</c:f>
              <c:numCache>
                <c:formatCode>General</c:formatCode>
                <c:ptCount val="2"/>
                <c:pt idx="0">
                  <c:v>1044</c:v>
                </c:pt>
                <c:pt idx="1">
                  <c:v>1044</c:v>
                </c:pt>
              </c:numCache>
            </c:numRef>
          </c:yVal>
          <c:smooth val="0"/>
          <c:extLst xmlns:c16r2="http://schemas.microsoft.com/office/drawing/2015/06/chart">
            <c:ext xmlns:c16="http://schemas.microsoft.com/office/drawing/2014/chart" uri="{C3380CC4-5D6E-409C-BE32-E72D297353CC}">
              <c16:uniqueId val="{00000002-BF5F-49D1-B7E8-F18A8E0EDA1E}"/>
            </c:ext>
          </c:extLst>
        </c:ser>
        <c:ser>
          <c:idx val="3"/>
          <c:order val="2"/>
          <c:tx>
            <c:strRef>
              <c:f>'Data Summary'!$E$22:$E$23</c:f>
              <c:strCache>
                <c:ptCount val="1"/>
                <c:pt idx="0">
                  <c:v>As-Built</c:v>
                </c:pt>
              </c:strCache>
            </c:strRef>
          </c:tx>
          <c:spPr>
            <a:ln w="38100" cap="rnd" cmpd="dbl">
              <a:solidFill>
                <a:schemeClr val="bg2">
                  <a:lumMod val="75000"/>
                </a:schemeClr>
              </a:solidFill>
              <a:prstDash val="dash"/>
              <a:round/>
            </a:ln>
            <a:effectLst/>
          </c:spPr>
          <c:marker>
            <c:symbol val="none"/>
          </c:marker>
          <c:xVal>
            <c:strRef>
              <c:f>('Data Summary'!$F$23,'Data Summary'!$A$34)</c:f>
              <c:strCache>
                <c:ptCount val="2"/>
                <c:pt idx="0">
                  <c:v>1</c:v>
                </c:pt>
                <c:pt idx="1">
                  <c:v>#N/A</c:v>
                </c:pt>
              </c:strCache>
            </c:strRef>
          </c:xVal>
          <c:yVal>
            <c:numRef>
              <c:f>('Data Summary'!$E$30,'Data Summary'!$E$30)</c:f>
              <c:numCache>
                <c:formatCode>General</c:formatCode>
                <c:ptCount val="2"/>
                <c:pt idx="0">
                  <c:v>780</c:v>
                </c:pt>
                <c:pt idx="1">
                  <c:v>780</c:v>
                </c:pt>
              </c:numCache>
            </c:numRef>
          </c:yVal>
          <c:smooth val="0"/>
          <c:extLst xmlns:c16r2="http://schemas.microsoft.com/office/drawing/2015/06/char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Summary'!$F$30:$O$30</c:f>
              <c:numCache>
                <c:formatCode>General</c:formatCode>
                <c:ptCount val="10"/>
                <c:pt idx="0">
                  <c:v>816</c:v>
                </c:pt>
                <c:pt idx="1">
                  <c:v>828</c:v>
                </c:pt>
                <c:pt idx="2">
                  <c:v>936</c:v>
                </c:pt>
                <c:pt idx="3">
                  <c:v>936</c:v>
                </c:pt>
                <c:pt idx="4">
                  <c:v>1044</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436632336"/>
        <c:axId val="436634688"/>
      </c:scatterChart>
      <c:valAx>
        <c:axId val="43663233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4688"/>
        <c:crosses val="autoZero"/>
        <c:crossBetween val="midCat"/>
      </c:valAx>
      <c:valAx>
        <c:axId val="43663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233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C S</a:t>
            </a:r>
            <a:r>
              <a:rPr lang="en-US"/>
              <a:t>tream Types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6.0387529669100069E-2"/>
                  <c:y val="8.967543938918745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Standards'!$S$830:$X$830</c:f>
              <c:numCache>
                <c:formatCode>General</c:formatCode>
                <c:ptCount val="6"/>
                <c:pt idx="2">
                  <c:v>1.1499999999999999</c:v>
                </c:pt>
                <c:pt idx="4">
                  <c:v>1.2</c:v>
                </c:pt>
                <c:pt idx="5">
                  <c:v>1.25</c:v>
                </c:pt>
              </c:numCache>
            </c:numRef>
          </c:xVal>
          <c:yVal>
            <c:numRef>
              <c:f>'Performance Standards'!$S$832:$X$832</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D02-4A2D-AE52-B72266B9C1B6}"/>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5239228608075983"/>
                  <c:y val="-0.4549893714978952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Standards'!$S$831:$X$831</c:f>
              <c:numCache>
                <c:formatCode>General</c:formatCode>
                <c:ptCount val="6"/>
                <c:pt idx="2">
                  <c:v>1.5</c:v>
                </c:pt>
                <c:pt idx="4">
                  <c:v>1.4</c:v>
                </c:pt>
                <c:pt idx="5">
                  <c:v>1.35</c:v>
                </c:pt>
              </c:numCache>
            </c:numRef>
          </c:xVal>
          <c:yVal>
            <c:numRef>
              <c:f>'Performance Standards'!$S$832:$X$832</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4D02-4A2D-AE52-B72266B9C1B6}"/>
            </c:ext>
          </c:extLst>
        </c:ser>
        <c:ser>
          <c:idx val="2"/>
          <c:order val="2"/>
          <c:tx>
            <c:v>Low Floor</c:v>
          </c:tx>
          <c:spPr>
            <a:ln w="25400" cap="rnd">
              <a:solidFill>
                <a:srgbClr val="FF0000"/>
              </a:solidFill>
              <a:round/>
            </a:ln>
            <a:effectLst/>
          </c:spPr>
          <c:marker>
            <c:symbol val="none"/>
          </c:marker>
          <c:xVal>
            <c:numLit>
              <c:formatCode>General</c:formatCode>
              <c:ptCount val="2"/>
              <c:pt idx="0">
                <c:v>1</c:v>
              </c:pt>
              <c:pt idx="1">
                <c:v>1.1499999999999999</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51A5-4CE1-A018-2A70F752C814}"/>
            </c:ext>
          </c:extLst>
        </c:ser>
        <c:ser>
          <c:idx val="3"/>
          <c:order val="3"/>
          <c:tx>
            <c:v>High Floor</c:v>
          </c:tx>
          <c:spPr>
            <a:ln w="25400" cap="rnd">
              <a:solidFill>
                <a:srgbClr val="FF0000"/>
              </a:solidFill>
              <a:round/>
            </a:ln>
            <a:effectLst/>
          </c:spPr>
          <c:marker>
            <c:symbol val="none"/>
          </c:marker>
          <c:xVal>
            <c:numLit>
              <c:formatCode>General</c:formatCode>
              <c:ptCount val="2"/>
              <c:pt idx="0">
                <c:v>1.5</c:v>
              </c:pt>
              <c:pt idx="1">
                <c:v>1.6</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51A5-4CE1-A018-2A70F752C814}"/>
            </c:ext>
          </c:extLst>
        </c:ser>
        <c:ser>
          <c:idx val="4"/>
          <c:order val="4"/>
          <c:tx>
            <c:v>Crest</c:v>
          </c:tx>
          <c:spPr>
            <a:ln w="25400" cap="rnd">
              <a:solidFill>
                <a:schemeClr val="tx1"/>
              </a:solidFill>
              <a:prstDash val="sysDash"/>
              <a:round/>
            </a:ln>
            <a:effectLst/>
          </c:spPr>
          <c:marker>
            <c:symbol val="none"/>
          </c:marker>
          <c:xVal>
            <c:numRef>
              <c:f>'Performance Standards'!$X$830:$X$831</c:f>
              <c:numCache>
                <c:formatCode>General</c:formatCode>
                <c:ptCount val="2"/>
                <c:pt idx="0">
                  <c:v>1.25</c:v>
                </c:pt>
                <c:pt idx="1">
                  <c:v>1.35</c:v>
                </c:pt>
              </c:numCache>
            </c:numRef>
          </c:xVal>
          <c:yVal>
            <c:numRef>
              <c:f>('Performance Standards'!$X$832,'Performance Standards'!$X$832)</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2-4A7E-468D-BF6E-87F2F2476865}"/>
            </c:ext>
          </c:extLst>
        </c:ser>
        <c:dLbls>
          <c:showLegendKey val="0"/>
          <c:showVal val="0"/>
          <c:showCatName val="0"/>
          <c:showSerName val="0"/>
          <c:showPercent val="0"/>
          <c:showBubbleSize val="0"/>
        </c:dLbls>
        <c:axId val="454781280"/>
        <c:axId val="454781672"/>
      </c:scatterChart>
      <c:valAx>
        <c:axId val="454781280"/>
        <c:scaling>
          <c:orientation val="minMax"/>
          <c:max val="1.6"/>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1672"/>
        <c:crosses val="autoZero"/>
        <c:crossBetween val="midCat"/>
      </c:valAx>
      <c:valAx>
        <c:axId val="454781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1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Stem Density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5.2679717686489311E-2"/>
                  <c:y val="-4.640349282775863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Standards'!$S$388:$X$388</c:f>
              <c:numCache>
                <c:formatCode>General</c:formatCode>
                <c:ptCount val="6"/>
                <c:pt idx="0">
                  <c:v>0</c:v>
                </c:pt>
                <c:pt idx="1">
                  <c:v>10</c:v>
                </c:pt>
                <c:pt idx="4">
                  <c:v>20</c:v>
                </c:pt>
                <c:pt idx="5">
                  <c:v>25</c:v>
                </c:pt>
              </c:numCache>
            </c:numRef>
          </c:xVal>
          <c:yVal>
            <c:numRef>
              <c:f>'Performance Standards'!$S$390:$X$390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9ED5-4403-852D-3FEA957D17E2}"/>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3"/>
            <c:dispRSqr val="0"/>
            <c:dispEq val="1"/>
            <c:trendlineLbl>
              <c:layout>
                <c:manualLayout>
                  <c:x val="0.26367460388239838"/>
                  <c:y val="-0.73256275479355004"/>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Standards'!$S$389:$X$389</c:f>
              <c:numCache>
                <c:formatCode>General</c:formatCode>
                <c:ptCount val="6"/>
                <c:pt idx="0">
                  <c:v>50</c:v>
                </c:pt>
                <c:pt idx="1">
                  <c:v>45</c:v>
                </c:pt>
                <c:pt idx="4">
                  <c:v>40</c:v>
                </c:pt>
                <c:pt idx="5">
                  <c:v>36</c:v>
                </c:pt>
              </c:numCache>
            </c:numRef>
          </c:xVal>
          <c:yVal>
            <c:numRef>
              <c:f>'Performance Standards'!$S$390:$X$390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9ED5-4403-852D-3FEA957D17E2}"/>
            </c:ext>
          </c:extLst>
        </c:ser>
        <c:ser>
          <c:idx val="2"/>
          <c:order val="2"/>
          <c:spPr>
            <a:ln w="25400" cap="rnd">
              <a:noFill/>
              <a:round/>
            </a:ln>
            <a:effectLst/>
          </c:spPr>
          <c:marker>
            <c:symbol val="none"/>
          </c:marker>
          <c:trendline>
            <c:spPr>
              <a:ln w="19050" cap="rnd">
                <a:solidFill>
                  <a:schemeClr val="tx1"/>
                </a:solidFill>
                <a:prstDash val="dash"/>
              </a:ln>
              <a:effectLst/>
            </c:spPr>
            <c:trendlineType val="linear"/>
            <c:dispRSqr val="0"/>
            <c:dispEq val="0"/>
          </c:trendline>
          <c:xVal>
            <c:numLit>
              <c:formatCode>General</c:formatCode>
              <c:ptCount val="2"/>
              <c:pt idx="0">
                <c:v>25</c:v>
              </c:pt>
              <c:pt idx="1">
                <c:v>36</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6-9ED5-4403-852D-3FEA957D17E2}"/>
            </c:ext>
          </c:extLst>
        </c:ser>
        <c:ser>
          <c:idx val="3"/>
          <c:order val="3"/>
          <c:tx>
            <c:strRef>
              <c:f>'Performance Standards'!$O$245:$O$252</c:f>
              <c:strCache>
                <c:ptCount val="1"/>
              </c:strCache>
            </c:strRef>
          </c:tx>
          <c:spPr>
            <a:ln w="25400" cap="rnd">
              <a:noFill/>
              <a:round/>
            </a:ln>
            <a:effectLst/>
          </c:spPr>
          <c:marker>
            <c:symbol val="none"/>
          </c:marker>
          <c:xVal>
            <c:numLit>
              <c:formatCode>General</c:formatCode>
              <c:ptCount val="2"/>
              <c:pt idx="0">
                <c:v>50</c:v>
              </c:pt>
              <c:pt idx="1">
                <c:v>70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8-9ED5-4403-852D-3FEA957D17E2}"/>
            </c:ext>
          </c:extLst>
        </c:ser>
        <c:dLbls>
          <c:showLegendKey val="0"/>
          <c:showVal val="0"/>
          <c:showCatName val="0"/>
          <c:showSerName val="0"/>
          <c:showPercent val="0"/>
          <c:showBubbleSize val="0"/>
        </c:dLbls>
        <c:axId val="454778536"/>
        <c:axId val="454784024"/>
      </c:scatterChart>
      <c:valAx>
        <c:axId val="454778536"/>
        <c:scaling>
          <c:orientation val="minMax"/>
          <c:max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4024"/>
        <c:crosses val="autoZero"/>
        <c:crossBetween val="midCat"/>
      </c:valAx>
      <c:valAx>
        <c:axId val="454784024"/>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78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1: Wyoming Basin, Black Hills, High Valleys, Sedimentary Mountains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079368810923006E-2"/>
          <c:y val="0.11855966429787121"/>
          <c:w val="0.56387404361224236"/>
          <c:h val="0.80728614770631901"/>
        </c:manualLayout>
      </c:layout>
      <c:scatterChart>
        <c:scatterStyle val="lineMarker"/>
        <c:varyColors val="0"/>
        <c:ser>
          <c:idx val="0"/>
          <c:order val="0"/>
          <c:tx>
            <c:strRef>
              <c:f>'Performance Standards'!$AJ$10</c:f>
              <c:strCache>
                <c:ptCount val="1"/>
                <c:pt idx="0">
                  <c:v>Wyoming Basin</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6633895713502102E-2"/>
                  <c:y val="0.44773923879216043"/>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Standards'!$AK$10:$AP$10</c:f>
              <c:numCache>
                <c:formatCode>0.00</c:formatCode>
                <c:ptCount val="6"/>
                <c:pt idx="0">
                  <c:v>0.25</c:v>
                </c:pt>
                <c:pt idx="2">
                  <c:v>0.41</c:v>
                </c:pt>
                <c:pt idx="3">
                  <c:v>0.62</c:v>
                </c:pt>
                <c:pt idx="5">
                  <c:v>1</c:v>
                </c:pt>
              </c:numCache>
            </c:numRef>
          </c:xVal>
          <c:yVal>
            <c:numRef>
              <c:f>'Performance Standards'!$AK$14:$AP$14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C2B-4369-B12E-CEBB85132D7A}"/>
            </c:ext>
          </c:extLst>
        </c:ser>
        <c:ser>
          <c:idx val="1"/>
          <c:order val="1"/>
          <c:tx>
            <c:strRef>
              <c:f>'Performance Standards'!$AJ$11</c:f>
              <c:strCache>
                <c:ptCount val="1"/>
                <c:pt idx="0">
                  <c:v>Black Hills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9.6633895713502102E-2"/>
                  <c:y val="0.51237119048322988"/>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Standards'!$AK$11:$AP$11</c:f>
              <c:numCache>
                <c:formatCode>0.00</c:formatCode>
                <c:ptCount val="6"/>
                <c:pt idx="0">
                  <c:v>0.19</c:v>
                </c:pt>
                <c:pt idx="2">
                  <c:v>0.47</c:v>
                </c:pt>
                <c:pt idx="3">
                  <c:v>0.7</c:v>
                </c:pt>
                <c:pt idx="5">
                  <c:v>1</c:v>
                </c:pt>
              </c:numCache>
            </c:numRef>
          </c:xVal>
          <c:yVal>
            <c:numRef>
              <c:f>'Performance Standards'!$AK$14:$AP$14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25F3-4C44-8C4A-1CBF24513F48}"/>
            </c:ext>
          </c:extLst>
        </c:ser>
        <c:ser>
          <c:idx val="2"/>
          <c:order val="2"/>
          <c:tx>
            <c:strRef>
              <c:f>'Performance Standards'!$AJ$12</c:f>
              <c:strCache>
                <c:ptCount val="1"/>
                <c:pt idx="0">
                  <c:v>High Valleys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9.8415103633341577E-2"/>
                  <c:y val="0.57084771820372127"/>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Standards'!$AK$12:$AP$12</c:f>
              <c:numCache>
                <c:formatCode>0.00</c:formatCode>
                <c:ptCount val="6"/>
                <c:pt idx="0">
                  <c:v>0.22</c:v>
                </c:pt>
                <c:pt idx="2">
                  <c:v>0.42</c:v>
                </c:pt>
                <c:pt idx="3">
                  <c:v>0.62</c:v>
                </c:pt>
                <c:pt idx="5">
                  <c:v>1</c:v>
                </c:pt>
              </c:numCache>
            </c:numRef>
          </c:xVal>
          <c:yVal>
            <c:numRef>
              <c:f>'Performance Standards'!$AK$14:$AP$14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9E73-4840-9E9F-722FF4C872B9}"/>
            </c:ext>
          </c:extLst>
        </c:ser>
        <c:ser>
          <c:idx val="3"/>
          <c:order val="3"/>
          <c:tx>
            <c:strRef>
              <c:f>'Performance Standards'!$AN$17</c:f>
              <c:strCache>
                <c:ptCount val="1"/>
                <c:pt idx="0">
                  <c:v>Sedimentary Mountains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9.4852687793662627E-2"/>
                  <c:y val="0.63547966989479077"/>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4"/>
                      </a:solidFill>
                      <a:latin typeface="+mn-lt"/>
                      <a:ea typeface="+mn-ea"/>
                      <a:cs typeface="+mn-cs"/>
                    </a:defRPr>
                  </a:pPr>
                  <a:endParaRPr lang="en-US"/>
                </a:p>
              </c:txPr>
            </c:trendlineLbl>
          </c:trendline>
          <c:xVal>
            <c:numRef>
              <c:f>'Performance Standards'!$AK$13:$AP$13</c:f>
              <c:numCache>
                <c:formatCode>0.00</c:formatCode>
                <c:ptCount val="6"/>
                <c:pt idx="0">
                  <c:v>0.23</c:v>
                </c:pt>
                <c:pt idx="2">
                  <c:v>0.49</c:v>
                </c:pt>
                <c:pt idx="3">
                  <c:v>0.74</c:v>
                </c:pt>
                <c:pt idx="5">
                  <c:v>1</c:v>
                </c:pt>
              </c:numCache>
            </c:numRef>
          </c:xVal>
          <c:yVal>
            <c:numRef>
              <c:f>'Performance Standards'!$AK$14:$AP$14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9E73-4840-9E9F-722FF4C872B9}"/>
            </c:ext>
          </c:extLst>
        </c:ser>
        <c:dLbls>
          <c:showLegendKey val="0"/>
          <c:showVal val="0"/>
          <c:showCatName val="0"/>
          <c:showSerName val="0"/>
          <c:showPercent val="0"/>
          <c:showBubbleSize val="0"/>
        </c:dLbls>
        <c:axId val="454782064"/>
        <c:axId val="454782456"/>
      </c:scatterChart>
      <c:valAx>
        <c:axId val="4547820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2456"/>
        <c:crosses val="autoZero"/>
        <c:crossBetween val="midCat"/>
      </c:valAx>
      <c:valAx>
        <c:axId val="4547824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2064"/>
        <c:crosses val="autoZero"/>
        <c:crossBetween val="midCat"/>
      </c:valAx>
      <c:spPr>
        <a:noFill/>
        <a:ln>
          <a:noFill/>
        </a:ln>
        <a:effectLst/>
      </c:spPr>
    </c:plotArea>
    <c:legend>
      <c:legendPos val="r"/>
      <c:layout>
        <c:manualLayout>
          <c:xMode val="edge"/>
          <c:yMode val="edge"/>
          <c:x val="0.65546011054989828"/>
          <c:y val="0.1354280515756674"/>
          <c:w val="0.27685398849620191"/>
          <c:h val="0.415494026088334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2: Southern Rockies, SE Plains, NE Plains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Standards'!$AJ$47</c:f>
              <c:strCache>
                <c:ptCount val="1"/>
                <c:pt idx="0">
                  <c:v>Southern Rockies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660941609536978"/>
                  <c:y val="0.42152143289915739"/>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Standards'!$AK$47:$AP$47</c:f>
              <c:numCache>
                <c:formatCode>0.00</c:formatCode>
                <c:ptCount val="6"/>
                <c:pt idx="0">
                  <c:v>0.06</c:v>
                </c:pt>
                <c:pt idx="2">
                  <c:v>0.4</c:v>
                </c:pt>
                <c:pt idx="3">
                  <c:v>0.59</c:v>
                </c:pt>
                <c:pt idx="5">
                  <c:v>1</c:v>
                </c:pt>
              </c:numCache>
            </c:numRef>
          </c:xVal>
          <c:yVal>
            <c:numRef>
              <c:f>'Performance Standards'!$AK$50:$AP$50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E5C-438D-8CCF-3A53D164C7AA}"/>
            </c:ext>
          </c:extLst>
        </c:ser>
        <c:ser>
          <c:idx val="1"/>
          <c:order val="1"/>
          <c:tx>
            <c:strRef>
              <c:f>'Performance Standards'!$AL$53</c:f>
              <c:strCache>
                <c:ptCount val="1"/>
                <c:pt idx="0">
                  <c:v>SE Plains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480329970354086"/>
                  <c:y val="0.48780312487100691"/>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Standards'!$AK$48:$AP$48</c:f>
              <c:numCache>
                <c:formatCode>0.00</c:formatCode>
                <c:ptCount val="6"/>
                <c:pt idx="0">
                  <c:v>0.19</c:v>
                </c:pt>
                <c:pt idx="2">
                  <c:v>0.42</c:v>
                </c:pt>
                <c:pt idx="3">
                  <c:v>0.63</c:v>
                </c:pt>
                <c:pt idx="5">
                  <c:v>1</c:v>
                </c:pt>
              </c:numCache>
            </c:numRef>
          </c:xVal>
          <c:yVal>
            <c:numRef>
              <c:f>'Performance Standards'!$AK$50:$AP$50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CFD-4536-B385-192B6754E2E9}"/>
            </c:ext>
          </c:extLst>
        </c:ser>
        <c:ser>
          <c:idx val="3"/>
          <c:order val="2"/>
          <c:tx>
            <c:strRef>
              <c:f>'Performance Standards'!$AM$53</c:f>
              <c:strCache>
                <c:ptCount val="1"/>
                <c:pt idx="0">
                  <c:v>NE Plains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1231899391848538"/>
                  <c:y val="0.56776524619306123"/>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4"/>
                      </a:solidFill>
                      <a:latin typeface="+mn-lt"/>
                      <a:ea typeface="+mn-ea"/>
                      <a:cs typeface="+mn-cs"/>
                    </a:defRPr>
                  </a:pPr>
                  <a:endParaRPr lang="en-US"/>
                </a:p>
              </c:txPr>
            </c:trendlineLbl>
          </c:trendline>
          <c:xVal>
            <c:numRef>
              <c:f>'Performance Standards'!$AK$49:$AP$49</c:f>
              <c:numCache>
                <c:formatCode>0.00</c:formatCode>
                <c:ptCount val="6"/>
                <c:pt idx="0">
                  <c:v>0.27</c:v>
                </c:pt>
                <c:pt idx="2">
                  <c:v>0.41</c:v>
                </c:pt>
                <c:pt idx="3">
                  <c:v>0.61</c:v>
                </c:pt>
                <c:pt idx="5">
                  <c:v>1</c:v>
                </c:pt>
              </c:numCache>
            </c:numRef>
          </c:xVal>
          <c:yVal>
            <c:numRef>
              <c:f>'Performance Standards'!$AK$50:$AP$50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DDD7-4ECF-8495-C414D70A5AE0}"/>
            </c:ext>
          </c:extLst>
        </c:ser>
        <c:dLbls>
          <c:showLegendKey val="0"/>
          <c:showVal val="0"/>
          <c:showCatName val="0"/>
          <c:showSerName val="0"/>
          <c:showPercent val="0"/>
          <c:showBubbleSize val="0"/>
        </c:dLbls>
        <c:axId val="454780888"/>
        <c:axId val="454779712"/>
      </c:scatterChart>
      <c:valAx>
        <c:axId val="45478088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79712"/>
        <c:crosses val="autoZero"/>
        <c:crossBetween val="midCat"/>
      </c:valAx>
      <c:valAx>
        <c:axId val="4547797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0888"/>
        <c:crosses val="autoZero"/>
        <c:crossBetween val="midCat"/>
      </c:valAx>
      <c:spPr>
        <a:noFill/>
        <a:ln>
          <a:noFill/>
        </a:ln>
        <a:effectLst/>
      </c:spPr>
    </c:plotArea>
    <c:legend>
      <c:legendPos val="r"/>
      <c:layout>
        <c:manualLayout>
          <c:xMode val="edge"/>
          <c:yMode val="edge"/>
          <c:x val="0.7384103502130791"/>
          <c:y val="0.12165086486458274"/>
          <c:w val="0.23630402030131709"/>
          <c:h val="0.305048558337615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3: Granitic Mountains, Bighorn Basin Foothills, Southern Foothills &amp; Laramie Range, Volcanic Mountains&amp; Valleys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890084650282007E-2"/>
          <c:y val="0.10679706962896054"/>
          <c:w val="0.59868317202076504"/>
          <c:h val="0.83947194439683226"/>
        </c:manualLayout>
      </c:layout>
      <c:scatterChart>
        <c:scatterStyle val="lineMarker"/>
        <c:varyColors val="0"/>
        <c:ser>
          <c:idx val="0"/>
          <c:order val="0"/>
          <c:tx>
            <c:strRef>
              <c:f>'Performance Standards'!$AK$201</c:f>
              <c:strCache>
                <c:ptCount val="1"/>
                <c:pt idx="0">
                  <c:v>Granitic Mountains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61300664793404"/>
                  <c:y val="0.3928291674467855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Standards'!$AK$194:$AP$194</c:f>
              <c:numCache>
                <c:formatCode>0.00</c:formatCode>
                <c:ptCount val="6"/>
                <c:pt idx="0">
                  <c:v>0.54128440366972475</c:v>
                </c:pt>
                <c:pt idx="2" formatCode="0.000">
                  <c:v>0.59339449541284406</c:v>
                </c:pt>
                <c:pt idx="3" formatCode="0.000">
                  <c:v>0.81027522935779805</c:v>
                </c:pt>
                <c:pt idx="5">
                  <c:v>1</c:v>
                </c:pt>
              </c:numCache>
            </c:numRef>
          </c:xVal>
          <c:yVal>
            <c:numRef>
              <c:f>'Performance Standards'!$AK$198:$AP$198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6EC-42A6-BA8B-0158167C91F3}"/>
            </c:ext>
          </c:extLst>
        </c:ser>
        <c:ser>
          <c:idx val="2"/>
          <c:order val="1"/>
          <c:tx>
            <c:strRef>
              <c:f>'Performance Standards'!$AL$201</c:f>
              <c:strCache>
                <c:ptCount val="1"/>
                <c:pt idx="0">
                  <c:v>Bighorn Basin Foothills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0889392406115753"/>
                  <c:y val="0.4128236927112072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Standards'!$AK$195:$AP$195</c:f>
              <c:numCache>
                <c:formatCode>0.00</c:formatCode>
                <c:ptCount val="6"/>
                <c:pt idx="0">
                  <c:v>0.44565217391304346</c:v>
                </c:pt>
                <c:pt idx="2" formatCode="0.000">
                  <c:v>0.68586956521739129</c:v>
                </c:pt>
                <c:pt idx="3" formatCode="0.000">
                  <c:v>0.91793478260869565</c:v>
                </c:pt>
                <c:pt idx="5">
                  <c:v>1</c:v>
                </c:pt>
              </c:numCache>
            </c:numRef>
          </c:xVal>
          <c:yVal>
            <c:numRef>
              <c:f>'Performance Standards'!$AK$198:$AP$198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6A90-45EC-951B-AEC7B780E076}"/>
            </c:ext>
          </c:extLst>
        </c:ser>
        <c:ser>
          <c:idx val="4"/>
          <c:order val="2"/>
          <c:tx>
            <c:strRef>
              <c:f>'Performance Standards'!$AJ$196</c:f>
              <c:strCache>
                <c:ptCount val="1"/>
                <c:pt idx="0">
                  <c:v>Southern Foothills &amp; Laramie Range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0419012081344352"/>
                  <c:y val="0.5210055387928681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Standards'!$AK$196:$AP$196</c:f>
              <c:numCache>
                <c:formatCode>0.00</c:formatCode>
                <c:ptCount val="6"/>
                <c:pt idx="0">
                  <c:v>0.24166666666666667</c:v>
                </c:pt>
                <c:pt idx="2" formatCode="0.000">
                  <c:v>0.5698333333333333</c:v>
                </c:pt>
                <c:pt idx="3" formatCode="0.000">
                  <c:v>0.73483333333333334</c:v>
                </c:pt>
                <c:pt idx="5">
                  <c:v>1</c:v>
                </c:pt>
              </c:numCache>
            </c:numRef>
          </c:xVal>
          <c:yVal>
            <c:numRef>
              <c:f>'Performance Standards'!$AK$198:$AP$198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6A90-45EC-951B-AEC7B780E076}"/>
            </c:ext>
          </c:extLst>
        </c:ser>
        <c:ser>
          <c:idx val="5"/>
          <c:order val="3"/>
          <c:tx>
            <c:strRef>
              <c:f>'Performance Standards'!$AJ$197</c:f>
              <c:strCache>
                <c:ptCount val="1"/>
                <c:pt idx="0">
                  <c:v>Volcanic Mountains &amp; Valleys</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0.10139961792584569"/>
                  <c:y val="0.5890174909356875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en-US"/>
                </a:p>
              </c:txPr>
            </c:trendlineLbl>
          </c:trendline>
          <c:xVal>
            <c:numRef>
              <c:f>'Performance Standards'!$AK$197:$AP$197</c:f>
              <c:numCache>
                <c:formatCode>0.00</c:formatCode>
                <c:ptCount val="6"/>
                <c:pt idx="0">
                  <c:v>0.17355371900826447</c:v>
                </c:pt>
                <c:pt idx="2" formatCode="0.000">
                  <c:v>0.53355371900826443</c:v>
                </c:pt>
                <c:pt idx="3" formatCode="0.000">
                  <c:v>0.71454545454545459</c:v>
                </c:pt>
                <c:pt idx="5">
                  <c:v>1</c:v>
                </c:pt>
              </c:numCache>
            </c:numRef>
          </c:xVal>
          <c:yVal>
            <c:numRef>
              <c:f>'Performance Standards'!$AK$198:$AP$198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5-6A90-45EC-951B-AEC7B780E076}"/>
            </c:ext>
          </c:extLst>
        </c:ser>
        <c:dLbls>
          <c:showLegendKey val="0"/>
          <c:showVal val="0"/>
          <c:showCatName val="0"/>
          <c:showSerName val="0"/>
          <c:showPercent val="0"/>
          <c:showBubbleSize val="0"/>
        </c:dLbls>
        <c:axId val="454784416"/>
        <c:axId val="454780496"/>
      </c:scatterChart>
      <c:valAx>
        <c:axId val="45478441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0496"/>
        <c:crosses val="autoZero"/>
        <c:crossBetween val="midCat"/>
      </c:valAx>
      <c:valAx>
        <c:axId val="4547804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4416"/>
        <c:crosses val="autoZero"/>
        <c:crossBetween val="midCat"/>
      </c:valAx>
      <c:spPr>
        <a:noFill/>
        <a:ln>
          <a:noFill/>
        </a:ln>
        <a:effectLst/>
      </c:spPr>
    </c:plotArea>
    <c:legend>
      <c:legendPos val="r"/>
      <c:layout>
        <c:manualLayout>
          <c:xMode val="edge"/>
          <c:yMode val="edge"/>
          <c:x val="0.67083239855580012"/>
          <c:y val="0.26634761815498242"/>
          <c:w val="0.31100624113973829"/>
          <c:h val="0.583338316170648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Erosion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5786833703666472"/>
                  <c:y val="-0.65970646173143477"/>
                </c:manualLayout>
              </c:layout>
              <c:numFmt formatCode="#,##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Standards'!$S$79:$X$79</c:f>
              <c:numCache>
                <c:formatCode>0.00</c:formatCode>
                <c:ptCount val="6"/>
                <c:pt idx="0" formatCode="General">
                  <c:v>0.71</c:v>
                </c:pt>
                <c:pt idx="1">
                  <c:v>0.41170000000000001</c:v>
                </c:pt>
                <c:pt idx="2" formatCode="General">
                  <c:v>0.4</c:v>
                </c:pt>
                <c:pt idx="4" formatCode="General">
                  <c:v>0.19</c:v>
                </c:pt>
                <c:pt idx="5" formatCode="General">
                  <c:v>0.1</c:v>
                </c:pt>
              </c:numCache>
            </c:numRef>
          </c:xVal>
          <c:yVal>
            <c:numRef>
              <c:f>'Performance Standards'!$S$80:$X$80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D73-44F2-AF23-B2C97665876A}"/>
            </c:ext>
          </c:extLst>
        </c:ser>
        <c:dLbls>
          <c:showLegendKey val="0"/>
          <c:showVal val="0"/>
          <c:showCatName val="0"/>
          <c:showSerName val="0"/>
          <c:showPercent val="0"/>
          <c:showBubbleSize val="0"/>
        </c:dLbls>
        <c:axId val="454776968"/>
        <c:axId val="454783240"/>
      </c:scatterChart>
      <c:valAx>
        <c:axId val="4547769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3240"/>
        <c:crosses val="autoZero"/>
        <c:crossBetween val="midCat"/>
      </c:valAx>
      <c:valAx>
        <c:axId val="454783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76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Hydrophytic Vegetation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8.9916149702765125E-2"/>
                  <c:y val="6.0688283664940945E-2"/>
                </c:manualLayout>
              </c:layout>
              <c:numFmt formatCode="0.00000E+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Standards'!$S$353:$X$353</c:f>
              <c:numCache>
                <c:formatCode>General</c:formatCode>
                <c:ptCount val="6"/>
                <c:pt idx="0">
                  <c:v>0</c:v>
                </c:pt>
                <c:pt idx="1">
                  <c:v>24</c:v>
                </c:pt>
                <c:pt idx="2">
                  <c:v>25</c:v>
                </c:pt>
                <c:pt idx="3">
                  <c:v>69</c:v>
                </c:pt>
                <c:pt idx="4">
                  <c:v>70</c:v>
                </c:pt>
                <c:pt idx="5" formatCode="0">
                  <c:v>100</c:v>
                </c:pt>
              </c:numCache>
            </c:numRef>
          </c:xVal>
          <c:yVal>
            <c:numRef>
              <c:f>'Performance Standards'!$S$354:$X$354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911-4DA5-AA4A-FD42E07D2D46}"/>
            </c:ext>
          </c:extLst>
        </c:ser>
        <c:dLbls>
          <c:showLegendKey val="0"/>
          <c:showVal val="0"/>
          <c:showCatName val="0"/>
          <c:showSerName val="0"/>
          <c:showPercent val="0"/>
          <c:showBubbleSize val="0"/>
        </c:dLbls>
        <c:axId val="454783632"/>
        <c:axId val="455598112"/>
      </c:scatterChart>
      <c:valAx>
        <c:axId val="45478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8112"/>
        <c:crosses val="autoZero"/>
        <c:crossBetween val="midCat"/>
      </c:valAx>
      <c:valAx>
        <c:axId val="455598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83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DM:</a:t>
            </a:r>
            <a:r>
              <a:rPr lang="en-US" baseline="0"/>
              <a:t> Daily Mean acute criteria</a:t>
            </a:r>
            <a:endParaRPr lang="en-US"/>
          </a:p>
        </c:rich>
      </c:tx>
      <c:layout>
        <c:manualLayout>
          <c:xMode val="edge"/>
          <c:yMode val="edge"/>
          <c:x val="0.27765484142236047"/>
          <c:y val="1.8495208296341797E-2"/>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0317407640408E-2"/>
          <c:y val="9.0176808467000574E-2"/>
          <c:w val="0.61319120946939054"/>
          <c:h val="0.83221338860848137"/>
        </c:manualLayout>
      </c:layout>
      <c:scatterChart>
        <c:scatterStyle val="lineMarker"/>
        <c:varyColors val="0"/>
        <c:ser>
          <c:idx val="0"/>
          <c:order val="0"/>
          <c:tx>
            <c:strRef>
              <c:f>'Performance Standards'!$AA$10</c:f>
              <c:strCache>
                <c:ptCount val="1"/>
                <c:pt idx="0">
                  <c:v>Tier I (Cold)</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55186415389584098"/>
                  <c:y val="-0.23994102603896061"/>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1">
                          <a:lumMod val="75000"/>
                        </a:schemeClr>
                      </a:solidFill>
                      <a:latin typeface="+mn-lt"/>
                      <a:ea typeface="+mn-ea"/>
                      <a:cs typeface="+mn-cs"/>
                    </a:defRPr>
                  </a:pPr>
                  <a:endParaRPr lang="en-US"/>
                </a:p>
              </c:txPr>
            </c:trendlineLbl>
          </c:trendline>
          <c:xVal>
            <c:numRef>
              <c:f>'Performance Standards'!$AB$10:$AG$10</c:f>
              <c:numCache>
                <c:formatCode>General</c:formatCode>
                <c:ptCount val="6"/>
                <c:pt idx="0">
                  <c:v>24.6</c:v>
                </c:pt>
                <c:pt idx="2">
                  <c:v>21.7</c:v>
                </c:pt>
                <c:pt idx="4">
                  <c:v>18.600000000000001</c:v>
                </c:pt>
                <c:pt idx="5">
                  <c:v>15.4</c:v>
                </c:pt>
              </c:numCache>
            </c:numRef>
          </c:xVal>
          <c:yVal>
            <c:numRef>
              <c:f>'Performance Standards'!$AB$15:$AG$15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BF2-4A9E-821D-65699199DC52}"/>
            </c:ext>
          </c:extLst>
        </c:ser>
        <c:ser>
          <c:idx val="1"/>
          <c:order val="1"/>
          <c:tx>
            <c:strRef>
              <c:f>'Performance Standards'!$AA$11</c:f>
              <c:strCache>
                <c:ptCount val="1"/>
                <c:pt idx="0">
                  <c:v>Tier II (Cold-Cool)</c:v>
                </c:pt>
              </c:strCache>
            </c:strRef>
          </c:tx>
          <c:spPr>
            <a:ln w="25400" cap="rnd">
              <a:noFill/>
              <a:round/>
            </a:ln>
            <a:effectLst/>
          </c:spPr>
          <c:marker>
            <c:symbol val="circle"/>
            <c:size val="5"/>
            <c:spPr>
              <a:solidFill>
                <a:schemeClr val="accent2"/>
              </a:solidFill>
              <a:ln w="9525">
                <a:solidFill>
                  <a:schemeClr val="accent2"/>
                </a:solidFill>
              </a:ln>
              <a:effectLst/>
            </c:spPr>
          </c:marker>
          <c:dPt>
            <c:idx val="5"/>
            <c:marker>
              <c:symbol val="circle"/>
              <c:size val="5"/>
              <c:spPr>
                <a:solidFill>
                  <a:schemeClr val="accent2"/>
                </a:solidFill>
                <a:ln w="9525">
                  <a:solidFill>
                    <a:schemeClr val="accent2"/>
                  </a:solidFill>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2-F930-47BC-A39B-ADE916129097}"/>
              </c:ext>
            </c:extLst>
          </c:dPt>
          <c:trendline>
            <c:spPr>
              <a:ln w="19050" cap="rnd">
                <a:solidFill>
                  <a:schemeClr val="accent2"/>
                </a:solidFill>
                <a:prstDash val="sysDot"/>
              </a:ln>
              <a:effectLst/>
            </c:spPr>
            <c:trendlineType val="linear"/>
            <c:dispRSqr val="0"/>
            <c:dispEq val="1"/>
            <c:trendlineLbl>
              <c:layout>
                <c:manualLayout>
                  <c:x val="0.47894623347399556"/>
                  <c:y val="-0.19567605816069819"/>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en-US"/>
                </a:p>
              </c:txPr>
            </c:trendlineLbl>
          </c:trendline>
          <c:xVal>
            <c:numRef>
              <c:f>'Performance Standards'!$AB$11:$AG$11</c:f>
              <c:numCache>
                <c:formatCode>General</c:formatCode>
                <c:ptCount val="6"/>
                <c:pt idx="0">
                  <c:v>27.8</c:v>
                </c:pt>
                <c:pt idx="2">
                  <c:v>23.8</c:v>
                </c:pt>
                <c:pt idx="4">
                  <c:v>19.7</c:v>
                </c:pt>
                <c:pt idx="5">
                  <c:v>15.5</c:v>
                </c:pt>
              </c:numCache>
            </c:numRef>
          </c:xVal>
          <c:yVal>
            <c:numRef>
              <c:f>'Performance Standards'!$AB$15:$AG$15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CCC-404D-9487-309E859A52C5}"/>
            </c:ext>
          </c:extLst>
        </c:ser>
        <c:ser>
          <c:idx val="2"/>
          <c:order val="2"/>
          <c:tx>
            <c:strRef>
              <c:f>'Performance Standards'!$AA$12</c:f>
              <c:strCache>
                <c:ptCount val="1"/>
                <c:pt idx="0">
                  <c:v>Tier III (Cool)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39179882507811314"/>
                  <c:y val="-0.1413952726327249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Standards'!$AB$12:$AG$12</c:f>
              <c:numCache>
                <c:formatCode>General</c:formatCode>
                <c:ptCount val="6"/>
                <c:pt idx="0">
                  <c:v>32.4</c:v>
                </c:pt>
                <c:pt idx="2">
                  <c:v>27.8</c:v>
                </c:pt>
                <c:pt idx="4">
                  <c:v>22.8</c:v>
                </c:pt>
                <c:pt idx="5">
                  <c:v>17.7</c:v>
                </c:pt>
              </c:numCache>
            </c:numRef>
          </c:xVal>
          <c:yVal>
            <c:numRef>
              <c:f>'Performance Standards'!$AB$15:$AG$15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6368-4642-A33E-8CA59B3393B6}"/>
            </c:ext>
          </c:extLst>
        </c:ser>
        <c:ser>
          <c:idx val="3"/>
          <c:order val="3"/>
          <c:tx>
            <c:strRef>
              <c:f>'Performance Standards'!$AA$13</c:f>
              <c:strCache>
                <c:ptCount val="1"/>
                <c:pt idx="0">
                  <c:v>Tier IV (Cool-Warm)</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33995627652078036"/>
                  <c:y val="-8.711448710475171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4">
                          <a:lumMod val="75000"/>
                        </a:schemeClr>
                      </a:solidFill>
                      <a:latin typeface="+mn-lt"/>
                      <a:ea typeface="+mn-ea"/>
                      <a:cs typeface="+mn-cs"/>
                    </a:defRPr>
                  </a:pPr>
                  <a:endParaRPr lang="en-US"/>
                </a:p>
              </c:txPr>
            </c:trendlineLbl>
          </c:trendline>
          <c:xVal>
            <c:numRef>
              <c:f>'Performance Standards'!$AB$13:$AG$13</c:f>
              <c:numCache>
                <c:formatCode>General</c:formatCode>
                <c:ptCount val="6"/>
                <c:pt idx="0">
                  <c:v>34.6</c:v>
                </c:pt>
                <c:pt idx="2">
                  <c:v>30</c:v>
                </c:pt>
                <c:pt idx="4">
                  <c:v>25</c:v>
                </c:pt>
                <c:pt idx="5">
                  <c:v>19.899999999999999</c:v>
                </c:pt>
              </c:numCache>
            </c:numRef>
          </c:xVal>
          <c:yVal>
            <c:numRef>
              <c:f>'Performance Standards'!$AB$15:$AG$15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6-6368-4642-A33E-8CA59B3393B6}"/>
            </c:ext>
          </c:extLst>
        </c:ser>
        <c:ser>
          <c:idx val="4"/>
          <c:order val="4"/>
          <c:tx>
            <c:strRef>
              <c:f>'Performance Standards'!$AA$14</c:f>
              <c:strCache>
                <c:ptCount val="1"/>
                <c:pt idx="0">
                  <c:v>Tier V (Warm)</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3213127149068552"/>
                  <c:y val="-3.2833701576778458E-2"/>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trendlineLbl>
          </c:trendline>
          <c:xVal>
            <c:numRef>
              <c:f>'Performance Standards'!$AB$14:$AG$14</c:f>
              <c:numCache>
                <c:formatCode>General</c:formatCode>
                <c:ptCount val="6"/>
                <c:pt idx="0">
                  <c:v>35.4</c:v>
                </c:pt>
                <c:pt idx="2">
                  <c:v>32</c:v>
                </c:pt>
                <c:pt idx="4">
                  <c:v>28.2</c:v>
                </c:pt>
                <c:pt idx="5">
                  <c:v>24.5</c:v>
                </c:pt>
              </c:numCache>
            </c:numRef>
          </c:xVal>
          <c:yVal>
            <c:numRef>
              <c:f>'Performance Standards'!$AB$15:$AG$15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8-6368-4642-A33E-8CA59B3393B6}"/>
            </c:ext>
          </c:extLst>
        </c:ser>
        <c:dLbls>
          <c:showLegendKey val="0"/>
          <c:showVal val="0"/>
          <c:showCatName val="0"/>
          <c:showSerName val="0"/>
          <c:showPercent val="0"/>
          <c:showBubbleSize val="0"/>
        </c:dLbls>
        <c:axId val="455595760"/>
        <c:axId val="455594976"/>
      </c:scatterChart>
      <c:valAx>
        <c:axId val="455595760"/>
        <c:scaling>
          <c:orientation val="minMax"/>
          <c:max val="4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4976"/>
        <c:crosses val="autoZero"/>
        <c:crossBetween val="midCat"/>
      </c:valAx>
      <c:valAx>
        <c:axId val="45559497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5760"/>
        <c:crosses val="autoZero"/>
        <c:crossBetween val="midCat"/>
      </c:valAx>
      <c:spPr>
        <a:noFill/>
        <a:ln>
          <a:noFill/>
        </a:ln>
        <a:effectLst/>
      </c:spPr>
    </c:plotArea>
    <c:legend>
      <c:legendPos val="r"/>
      <c:layout>
        <c:manualLayout>
          <c:xMode val="edge"/>
          <c:yMode val="edge"/>
          <c:x val="0.67174169402767592"/>
          <c:y val="7.3803584763863145E-2"/>
          <c:w val="0.32214245895240406"/>
          <c:h val="0.502906246846774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55596936"/>
        <c:axId val="455592624"/>
      </c:scatterChart>
      <c:valAx>
        <c:axId val="455596936"/>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2624"/>
        <c:crosses val="autoZero"/>
        <c:crossBetween val="midCat"/>
      </c:valAx>
      <c:valAx>
        <c:axId val="455592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Streams &gt;= 3% slope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4.6752194900145448E-2"/>
                  <c:y val="0.1600705975565279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Standards'!$S$728:$X$728</c:f>
              <c:numCache>
                <c:formatCode>General</c:formatCode>
                <c:ptCount val="6"/>
                <c:pt idx="0" formatCode="0">
                  <c:v>56.878703926764629</c:v>
                </c:pt>
                <c:pt idx="2">
                  <c:v>60</c:v>
                </c:pt>
                <c:pt idx="4">
                  <c:v>65</c:v>
                </c:pt>
                <c:pt idx="5">
                  <c:v>70</c:v>
                </c:pt>
              </c:numCache>
            </c:numRef>
          </c:xVal>
          <c:yVal>
            <c:numRef>
              <c:f>'Performance Standards'!$S$730:$X$730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54C0-4B16-B14E-5188ECFE15D4}"/>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9.9189367480833086E-3"/>
                  <c:y val="-4.1094562277759795E-3"/>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Standards'!$S$729:$X$729</c:f>
              <c:numCache>
                <c:formatCode>General</c:formatCode>
                <c:ptCount val="6"/>
                <c:pt idx="0" formatCode="0">
                  <c:v>88.118019958893584</c:v>
                </c:pt>
                <c:pt idx="2">
                  <c:v>85</c:v>
                </c:pt>
                <c:pt idx="4">
                  <c:v>80</c:v>
                </c:pt>
                <c:pt idx="5">
                  <c:v>76</c:v>
                </c:pt>
              </c:numCache>
            </c:numRef>
          </c:xVal>
          <c:yVal>
            <c:numRef>
              <c:f>'Performance Standards'!$S$730:$X$730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C99E-4AF7-9F51-2A00F4A664D9}"/>
            </c:ext>
          </c:extLst>
        </c:ser>
        <c:ser>
          <c:idx val="2"/>
          <c:order val="2"/>
          <c:tx>
            <c:v>Crest</c:v>
          </c:tx>
          <c:spPr>
            <a:ln w="25400" cap="rnd">
              <a:solidFill>
                <a:schemeClr val="tx1"/>
              </a:solidFill>
              <a:prstDash val="sysDash"/>
              <a:round/>
            </a:ln>
            <a:effectLst/>
          </c:spPr>
          <c:marker>
            <c:symbol val="none"/>
          </c:marker>
          <c:xVal>
            <c:numRef>
              <c:f>'Performance Standards'!$X$728:$X$729</c:f>
              <c:numCache>
                <c:formatCode>General</c:formatCode>
                <c:ptCount val="2"/>
                <c:pt idx="0">
                  <c:v>70</c:v>
                </c:pt>
                <c:pt idx="1">
                  <c:v>76</c:v>
                </c:pt>
              </c:numCache>
            </c:numRef>
          </c:xVal>
          <c:yVal>
            <c:numRef>
              <c:f>('Performance Standards'!$X$730,'Performance Standards'!$X$730)</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3-C99E-4AF7-9F51-2A00F4A664D9}"/>
            </c:ext>
          </c:extLst>
        </c:ser>
        <c:dLbls>
          <c:showLegendKey val="0"/>
          <c:showVal val="0"/>
          <c:showCatName val="0"/>
          <c:showSerName val="0"/>
          <c:showPercent val="0"/>
          <c:showBubbleSize val="0"/>
        </c:dLbls>
        <c:axId val="455598504"/>
        <c:axId val="455596544"/>
      </c:scatterChart>
      <c:valAx>
        <c:axId val="455598504"/>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544"/>
        <c:crosses val="autoZero"/>
        <c:crossBetween val="midCat"/>
      </c:valAx>
      <c:valAx>
        <c:axId val="4555965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8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Summary'!$B$8</c:f>
              <c:strCache>
                <c:ptCount val="1"/>
                <c:pt idx="0">
                  <c:v>Floodplain Connectivity</c:v>
                </c:pt>
              </c:strCache>
            </c:strRef>
          </c:tx>
          <c:spPr>
            <a:ln w="19050" cap="rnd">
              <a:solidFill>
                <a:schemeClr val="accent5"/>
              </a:solidFill>
              <a:prstDash val="dash"/>
              <a:round/>
            </a:ln>
            <a:effectLst/>
          </c:spPr>
          <c:marker>
            <c:symbol val="none"/>
          </c:marker>
          <c:xVal>
            <c:strRef>
              <c:f>'Data Summary'!$F$4:$O$4</c:f>
              <c:strCache>
                <c:ptCount val="10"/>
                <c:pt idx="0">
                  <c:v>1</c:v>
                </c:pt>
                <c:pt idx="1">
                  <c:v>2</c:v>
                </c:pt>
                <c:pt idx="2">
                  <c:v>3</c:v>
                </c:pt>
                <c:pt idx="3">
                  <c:v>4</c:v>
                </c:pt>
                <c:pt idx="4">
                  <c:v>5</c:v>
                </c:pt>
                <c:pt idx="5">
                  <c:v>#N/A</c:v>
                </c:pt>
                <c:pt idx="6">
                  <c:v>#N/A</c:v>
                </c:pt>
                <c:pt idx="7">
                  <c:v>#N/A</c:v>
                </c:pt>
                <c:pt idx="8">
                  <c:v>#N/A</c:v>
                </c:pt>
                <c:pt idx="9">
                  <c:v>#N/A</c:v>
                </c:pt>
              </c:strCache>
            </c:strRef>
          </c:xVal>
          <c:yVal>
            <c:numRef>
              <c:f>'Data Summary'!$F$8:$O$8</c:f>
              <c:numCache>
                <c:formatCode>0.00</c:formatCode>
                <c:ptCount val="10"/>
                <c:pt idx="0">
                  <c:v>0.88500000000000001</c:v>
                </c:pt>
                <c:pt idx="1">
                  <c:v>0.88500000000000001</c:v>
                </c:pt>
                <c:pt idx="2">
                  <c:v>0.88500000000000001</c:v>
                </c:pt>
                <c:pt idx="3">
                  <c:v>0.88500000000000001</c:v>
                </c:pt>
                <c:pt idx="4">
                  <c:v>0.88500000000000001</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4-92C8-4EBD-977B-3E233368AC59}"/>
            </c:ext>
          </c:extLst>
        </c:ser>
        <c:ser>
          <c:idx val="5"/>
          <c:order val="1"/>
          <c:tx>
            <c:strRef>
              <c:f>'Data Summary'!$B$10</c:f>
              <c:strCache>
                <c:ptCount val="1"/>
                <c:pt idx="0">
                  <c:v>Lateral Stability</c:v>
                </c:pt>
              </c:strCache>
            </c:strRef>
          </c:tx>
          <c:spPr>
            <a:ln w="19050" cap="rnd">
              <a:solidFill>
                <a:srgbClr val="FF0000"/>
              </a:solidFill>
              <a:prstDash val="dash"/>
              <a:round/>
            </a:ln>
            <a:effectLst/>
          </c:spPr>
          <c:marker>
            <c:symbol val="none"/>
          </c:marker>
          <c:xVal>
            <c:strRef>
              <c:f>'Data Summary'!$F$4:$O$4</c:f>
              <c:strCache>
                <c:ptCount val="10"/>
                <c:pt idx="0">
                  <c:v>1</c:v>
                </c:pt>
                <c:pt idx="1">
                  <c:v>2</c:v>
                </c:pt>
                <c:pt idx="2">
                  <c:v>3</c:v>
                </c:pt>
                <c:pt idx="3">
                  <c:v>4</c:v>
                </c:pt>
                <c:pt idx="4">
                  <c:v>5</c:v>
                </c:pt>
                <c:pt idx="5">
                  <c:v>#N/A</c:v>
                </c:pt>
                <c:pt idx="6">
                  <c:v>#N/A</c:v>
                </c:pt>
                <c:pt idx="7">
                  <c:v>#N/A</c:v>
                </c:pt>
                <c:pt idx="8">
                  <c:v>#N/A</c:v>
                </c:pt>
                <c:pt idx="9">
                  <c:v>#N/A</c:v>
                </c:pt>
              </c:strCache>
            </c:strRef>
          </c:xVal>
          <c:yVal>
            <c:numRef>
              <c:f>'Data Summary'!$F$10:$O$10</c:f>
              <c:numCache>
                <c:formatCode>0.00</c:formatCode>
                <c:ptCount val="10"/>
                <c:pt idx="0">
                  <c:v>0.65</c:v>
                </c:pt>
                <c:pt idx="1">
                  <c:v>0.65</c:v>
                </c:pt>
                <c:pt idx="2">
                  <c:v>0.85</c:v>
                </c:pt>
                <c:pt idx="3">
                  <c:v>0.85</c:v>
                </c:pt>
                <c:pt idx="4">
                  <c:v>0.85</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92C8-4EBD-977B-3E233368AC59}"/>
            </c:ext>
          </c:extLst>
        </c:ser>
        <c:ser>
          <c:idx val="6"/>
          <c:order val="2"/>
          <c:tx>
            <c:strRef>
              <c:f>'Data Summary'!$B$11</c:f>
              <c:strCache>
                <c:ptCount val="1"/>
                <c:pt idx="0">
                  <c:v>Riparian Vegetation</c:v>
                </c:pt>
              </c:strCache>
            </c:strRef>
          </c:tx>
          <c:spPr>
            <a:ln w="19050" cap="rnd">
              <a:solidFill>
                <a:srgbClr val="92D050"/>
              </a:solidFill>
              <a:prstDash val="dash"/>
              <a:round/>
            </a:ln>
            <a:effectLst/>
          </c:spPr>
          <c:marker>
            <c:symbol val="none"/>
          </c:marker>
          <c:xVal>
            <c:strRef>
              <c:f>'Data Summary'!$F$4:$O$4</c:f>
              <c:strCache>
                <c:ptCount val="10"/>
                <c:pt idx="0">
                  <c:v>1</c:v>
                </c:pt>
                <c:pt idx="1">
                  <c:v>2</c:v>
                </c:pt>
                <c:pt idx="2">
                  <c:v>3</c:v>
                </c:pt>
                <c:pt idx="3">
                  <c:v>4</c:v>
                </c:pt>
                <c:pt idx="4">
                  <c:v>5</c:v>
                </c:pt>
                <c:pt idx="5">
                  <c:v>#N/A</c:v>
                </c:pt>
                <c:pt idx="6">
                  <c:v>#N/A</c:v>
                </c:pt>
                <c:pt idx="7">
                  <c:v>#N/A</c:v>
                </c:pt>
                <c:pt idx="8">
                  <c:v>#N/A</c:v>
                </c:pt>
                <c:pt idx="9">
                  <c:v>#N/A</c:v>
                </c:pt>
              </c:strCache>
            </c:strRef>
          </c:xVal>
          <c:yVal>
            <c:numRef>
              <c:f>'Data Summary'!$F$11:$O$11</c:f>
              <c:numCache>
                <c:formatCode>0.00</c:formatCode>
                <c:ptCount val="10"/>
                <c:pt idx="0">
                  <c:v>0.62769230769230766</c:v>
                </c:pt>
                <c:pt idx="1">
                  <c:v>0.67384615384615398</c:v>
                </c:pt>
                <c:pt idx="2">
                  <c:v>0.76769230769230767</c:v>
                </c:pt>
                <c:pt idx="3">
                  <c:v>0.79692307692307685</c:v>
                </c:pt>
                <c:pt idx="4">
                  <c:v>0.79692307692307685</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6-92C8-4EBD-977B-3E233368AC59}"/>
            </c:ext>
          </c:extLst>
        </c:ser>
        <c:ser>
          <c:idx val="7"/>
          <c:order val="3"/>
          <c:tx>
            <c:strRef>
              <c:f>'Data Summary'!$B$13</c:f>
              <c:strCache>
                <c:ptCount val="1"/>
                <c:pt idx="0">
                  <c:v>Bed Form Diversity</c:v>
                </c:pt>
              </c:strCache>
            </c:strRef>
          </c:tx>
          <c:spPr>
            <a:ln w="19050" cap="rnd">
              <a:solidFill>
                <a:srgbClr val="FFC000"/>
              </a:solidFill>
              <a:prstDash val="dash"/>
              <a:round/>
            </a:ln>
            <a:effectLst/>
          </c:spPr>
          <c:marker>
            <c:symbol val="none"/>
          </c:marker>
          <c:xVal>
            <c:strRef>
              <c:f>'Data Summary'!$F$4:$O$4</c:f>
              <c:strCache>
                <c:ptCount val="10"/>
                <c:pt idx="0">
                  <c:v>1</c:v>
                </c:pt>
                <c:pt idx="1">
                  <c:v>2</c:v>
                </c:pt>
                <c:pt idx="2">
                  <c:v>3</c:v>
                </c:pt>
                <c:pt idx="3">
                  <c:v>4</c:v>
                </c:pt>
                <c:pt idx="4">
                  <c:v>5</c:v>
                </c:pt>
                <c:pt idx="5">
                  <c:v>#N/A</c:v>
                </c:pt>
                <c:pt idx="6">
                  <c:v>#N/A</c:v>
                </c:pt>
                <c:pt idx="7">
                  <c:v>#N/A</c:v>
                </c:pt>
                <c:pt idx="8">
                  <c:v>#N/A</c:v>
                </c:pt>
                <c:pt idx="9">
                  <c:v>#N/A</c:v>
                </c:pt>
              </c:strCache>
            </c:strRef>
          </c:xVal>
          <c:yVal>
            <c:numRef>
              <c:f>'Data Summary'!$F$13:$O$13</c:f>
              <c:numCache>
                <c:formatCode>0.00</c:formatCode>
                <c:ptCount val="10"/>
                <c:pt idx="0">
                  <c:v>0.9</c:v>
                </c:pt>
                <c:pt idx="1">
                  <c:v>0.9</c:v>
                </c:pt>
                <c:pt idx="2">
                  <c:v>0.9</c:v>
                </c:pt>
                <c:pt idx="3">
                  <c:v>0.9</c:v>
                </c:pt>
                <c:pt idx="4">
                  <c:v>0.9</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Summary'!$F$29:$O$29</c:f>
              <c:numCache>
                <c:formatCode>0.00</c:formatCode>
                <c:ptCount val="10"/>
                <c:pt idx="0">
                  <c:v>0.68</c:v>
                </c:pt>
                <c:pt idx="1">
                  <c:v>0.69</c:v>
                </c:pt>
                <c:pt idx="2">
                  <c:v>0.78</c:v>
                </c:pt>
                <c:pt idx="3">
                  <c:v>0.78</c:v>
                </c:pt>
                <c:pt idx="4">
                  <c:v>0.87</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436637432"/>
        <c:axId val="436633512"/>
      </c:scatterChart>
      <c:valAx>
        <c:axId val="43663743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3512"/>
        <c:crosses val="autoZero"/>
        <c:crossBetween val="midCat"/>
      </c:valAx>
      <c:valAx>
        <c:axId val="4366335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74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Chlorophyll - Basins and Plains</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28093620391176644"/>
                  <c:y val="-0.3952997262213265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Standards'!$AB$83:$AG$83</c:f>
              <c:numCache>
                <c:formatCode>General</c:formatCode>
                <c:ptCount val="6"/>
                <c:pt idx="0">
                  <c:v>150</c:v>
                </c:pt>
                <c:pt idx="2">
                  <c:v>116</c:v>
                </c:pt>
                <c:pt idx="4">
                  <c:v>35</c:v>
                </c:pt>
                <c:pt idx="5">
                  <c:v>22</c:v>
                </c:pt>
              </c:numCache>
            </c:numRef>
          </c:xVal>
          <c:yVal>
            <c:numRef>
              <c:f>'Performance Standards'!$AB$84:$AG$84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306E-43E0-A7CF-22D8DE561819}"/>
            </c:ext>
          </c:extLst>
        </c:ser>
        <c:dLbls>
          <c:showLegendKey val="0"/>
          <c:showVal val="0"/>
          <c:showCatName val="0"/>
          <c:showSerName val="0"/>
          <c:showPercent val="0"/>
          <c:showBubbleSize val="0"/>
        </c:dLbls>
        <c:axId val="455597328"/>
        <c:axId val="455597720"/>
      </c:scatterChart>
      <c:valAx>
        <c:axId val="45559732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7720"/>
        <c:crosses val="autoZero"/>
        <c:crossBetween val="midCat"/>
      </c:valAx>
      <c:valAx>
        <c:axId val="4555977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7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Chlorophyll - Mountains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97085245862476"/>
                  <c:y val="-0.4255621294457296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Standards'!$AB$116:$AG$116</c:f>
              <c:numCache>
                <c:formatCode>General</c:formatCode>
                <c:ptCount val="6"/>
                <c:pt idx="0">
                  <c:v>97</c:v>
                </c:pt>
                <c:pt idx="2" formatCode="0">
                  <c:v>50.32</c:v>
                </c:pt>
                <c:pt idx="4" formatCode="0">
                  <c:v>26.75</c:v>
                </c:pt>
                <c:pt idx="5" formatCode="0">
                  <c:v>12.52</c:v>
                </c:pt>
              </c:numCache>
            </c:numRef>
          </c:xVal>
          <c:yVal>
            <c:numRef>
              <c:f>'Performance Standards'!$AB$117:$AG$117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5444-4189-9526-06CAD9585BFE}"/>
            </c:ext>
          </c:extLst>
        </c:ser>
        <c:dLbls>
          <c:showLegendKey val="0"/>
          <c:showVal val="0"/>
          <c:showCatName val="0"/>
          <c:showSerName val="0"/>
          <c:showPercent val="0"/>
          <c:showBubbleSize val="0"/>
        </c:dLbls>
        <c:axId val="455599288"/>
        <c:axId val="455591840"/>
      </c:scatterChart>
      <c:valAx>
        <c:axId val="455599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1840"/>
        <c:crosses val="autoZero"/>
        <c:crossBetween val="midCat"/>
      </c:valAx>
      <c:valAx>
        <c:axId val="4555918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9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Standards'!$S$118</c:f>
              <c:strCache>
                <c:ptCount val="1"/>
                <c:pt idx="0">
                  <c:v>NF &amp; 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2.098415878331816E-2"/>
                  <c:y val="-0.42914539228902288"/>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Standards'!$S$114:$W$114</c:f>
              <c:numCache>
                <c:formatCode>General</c:formatCode>
                <c:ptCount val="5"/>
                <c:pt idx="0">
                  <c:v>50</c:v>
                </c:pt>
                <c:pt idx="2">
                  <c:v>25</c:v>
                </c:pt>
                <c:pt idx="4">
                  <c:v>9</c:v>
                </c:pt>
              </c:numCache>
            </c:numRef>
          </c:xVal>
          <c:yVal>
            <c:numRef>
              <c:f>'Performance Standards'!$S$115:$W$115</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5148-4788-A083-43E68337C776}"/>
            </c:ext>
          </c:extLst>
        </c:ser>
        <c:ser>
          <c:idx val="1"/>
          <c:order val="1"/>
          <c:tx>
            <c:strRef>
              <c:f>'Performance Standards'!$T$118</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361526365310589"/>
                  <c:y val="-0.1844193577212185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Standards'!$W$114:$X$114</c:f>
              <c:numCache>
                <c:formatCode>General</c:formatCode>
                <c:ptCount val="2"/>
                <c:pt idx="0">
                  <c:v>9</c:v>
                </c:pt>
                <c:pt idx="1">
                  <c:v>5</c:v>
                </c:pt>
              </c:numCache>
            </c:numRef>
          </c:xVal>
          <c:yVal>
            <c:numRef>
              <c:f>'Performance Standards'!$W$115:$X$115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FA3B-4C74-84DA-06940A6493E0}"/>
            </c:ext>
          </c:extLst>
        </c:ser>
        <c:dLbls>
          <c:showLegendKey val="0"/>
          <c:showVal val="0"/>
          <c:showCatName val="0"/>
          <c:showSerName val="0"/>
          <c:showPercent val="0"/>
          <c:showBubbleSize val="0"/>
        </c:dLbls>
        <c:axId val="455593800"/>
        <c:axId val="455594192"/>
      </c:scatterChart>
      <c:valAx>
        <c:axId val="45559380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4192"/>
        <c:crosses val="autoZero"/>
        <c:crossBetween val="midCat"/>
      </c:valAx>
      <c:valAx>
        <c:axId val="4555941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3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B Stream Types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7.315013300873939E-2"/>
                  <c:y val="0.4215779645146132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Standards'!$S$861:$X$861</c:f>
              <c:numCache>
                <c:formatCode>General</c:formatCode>
                <c:ptCount val="6"/>
                <c:pt idx="2">
                  <c:v>1</c:v>
                </c:pt>
                <c:pt idx="4">
                  <c:v>1.1000000000000001</c:v>
                </c:pt>
                <c:pt idx="5">
                  <c:v>1.1499999999999999</c:v>
                </c:pt>
              </c:numCache>
            </c:numRef>
          </c:xVal>
          <c:yVal>
            <c:numRef>
              <c:f>'Performance Standards'!$S$863:$X$863</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11FE-4D9B-BDFA-8076D116E387}"/>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7.2514342925749133E-3"/>
                  <c:y val="-0.50876636176589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Standards'!$S$862:$X$862</c:f>
              <c:numCache>
                <c:formatCode>General</c:formatCode>
                <c:ptCount val="6"/>
                <c:pt idx="2">
                  <c:v>1.4</c:v>
                </c:pt>
                <c:pt idx="4">
                  <c:v>1.3</c:v>
                </c:pt>
                <c:pt idx="5">
                  <c:v>1.25</c:v>
                </c:pt>
              </c:numCache>
            </c:numRef>
          </c:xVal>
          <c:yVal>
            <c:numRef>
              <c:f>'Performance Standards'!$S$863:$X$863</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11FE-4D9B-BDFA-8076D116E387}"/>
            </c:ext>
          </c:extLst>
        </c:ser>
        <c:ser>
          <c:idx val="3"/>
          <c:order val="2"/>
          <c:tx>
            <c:v>High Floor</c:v>
          </c:tx>
          <c:spPr>
            <a:ln w="31750" cap="rnd">
              <a:solidFill>
                <a:srgbClr val="FF0000"/>
              </a:solidFill>
              <a:round/>
            </a:ln>
            <a:effectLst/>
          </c:spPr>
          <c:marker>
            <c:symbol val="none"/>
          </c:marker>
          <c:xVal>
            <c:numLit>
              <c:formatCode>General</c:formatCode>
              <c:ptCount val="2"/>
              <c:pt idx="0">
                <c:v>1.4</c:v>
              </c:pt>
              <c:pt idx="1">
                <c:v>1.5</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ED24-4461-A147-0AA304F4781E}"/>
            </c:ext>
          </c:extLst>
        </c:ser>
        <c:ser>
          <c:idx val="2"/>
          <c:order val="3"/>
          <c:tx>
            <c:v>Crest</c:v>
          </c:tx>
          <c:spPr>
            <a:ln w="25400" cap="rnd">
              <a:solidFill>
                <a:schemeClr val="tx1"/>
              </a:solidFill>
              <a:prstDash val="sysDash"/>
              <a:round/>
            </a:ln>
            <a:effectLst/>
          </c:spPr>
          <c:marker>
            <c:symbol val="none"/>
          </c:marker>
          <c:xVal>
            <c:numRef>
              <c:f>'Performance Standards'!$X$861:$X$862</c:f>
              <c:numCache>
                <c:formatCode>General</c:formatCode>
                <c:ptCount val="2"/>
                <c:pt idx="0">
                  <c:v>1.1499999999999999</c:v>
                </c:pt>
                <c:pt idx="1">
                  <c:v>1.25</c:v>
                </c:pt>
              </c:numCache>
            </c:numRef>
          </c:xVal>
          <c:yVal>
            <c:numRef>
              <c:f>('Performance Standards'!$X$863,'Performance Standards'!$X$863)</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2-0AB0-488A-B4B8-48F9BCE38FF4}"/>
            </c:ext>
          </c:extLst>
        </c:ser>
        <c:dLbls>
          <c:showLegendKey val="0"/>
          <c:showVal val="0"/>
          <c:showCatName val="0"/>
          <c:showSerName val="0"/>
          <c:showPercent val="0"/>
          <c:showBubbleSize val="0"/>
        </c:dLbls>
        <c:axId val="454777360"/>
        <c:axId val="456124768"/>
      </c:scatterChart>
      <c:valAx>
        <c:axId val="454777360"/>
        <c:scaling>
          <c:orientation val="minMax"/>
          <c:max val="1.5"/>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4768"/>
        <c:crosses val="autoZero"/>
        <c:crossBetween val="midCat"/>
      </c:valAx>
      <c:valAx>
        <c:axId val="4561247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77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a:t>
            </a:r>
            <a:r>
              <a:rPr lang="en-US"/>
              <a:t>Width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Standards'!$R$148</c:f>
              <c:strCache>
                <c:ptCount val="1"/>
                <c:pt idx="0">
                  <c:v>Unconfined Alluvial</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2243126964561813"/>
                  <c:y val="9.9211896397881583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Standards'!$U$148:$X$148</c:f>
              <c:numCache>
                <c:formatCode>General</c:formatCode>
                <c:ptCount val="4"/>
                <c:pt idx="0">
                  <c:v>30</c:v>
                </c:pt>
                <c:pt idx="1">
                  <c:v>59</c:v>
                </c:pt>
                <c:pt idx="2">
                  <c:v>60</c:v>
                </c:pt>
                <c:pt idx="3">
                  <c:v>100</c:v>
                </c:pt>
              </c:numCache>
            </c:numRef>
          </c:xVal>
          <c:yVal>
            <c:numRef>
              <c:f>'Performance Standards'!$U$151:$X$151</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5-7F5E-43A3-B121-15C2F36C966D}"/>
            </c:ext>
          </c:extLst>
        </c:ser>
        <c:ser>
          <c:idx val="1"/>
          <c:order val="1"/>
          <c:tx>
            <c:strRef>
              <c:f>'Performance Standards'!$R$149</c:f>
              <c:strCache>
                <c:ptCount val="1"/>
                <c:pt idx="0">
                  <c:v>Confined Alluvial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9827046145291261"/>
                  <c:y val="0.50687280821113101"/>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Standards'!$U$149:$X$149</c:f>
              <c:numCache>
                <c:formatCode>General</c:formatCode>
                <c:ptCount val="4"/>
                <c:pt idx="0">
                  <c:v>60</c:v>
                </c:pt>
                <c:pt idx="1">
                  <c:v>74</c:v>
                </c:pt>
                <c:pt idx="2">
                  <c:v>75</c:v>
                </c:pt>
                <c:pt idx="3">
                  <c:v>100</c:v>
                </c:pt>
              </c:numCache>
            </c:numRef>
          </c:xVal>
          <c:yVal>
            <c:numRef>
              <c:f>'Performance Standards'!$U$151:$X$151</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6-7F5E-43A3-B121-15C2F36C966D}"/>
            </c:ext>
          </c:extLst>
        </c:ser>
        <c:ser>
          <c:idx val="2"/>
          <c:order val="2"/>
          <c:tx>
            <c:strRef>
              <c:f>'Performance Standards'!$R$150</c:f>
              <c:strCache>
                <c:ptCount val="1"/>
                <c:pt idx="0">
                  <c:v>Colluvial/V-Shaped</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1"/>
            <c:trendlineLbl>
              <c:layout>
                <c:manualLayout>
                  <c:x val="0.16111107228219207"/>
                  <c:y val="0.50980423385575035"/>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trendlineLbl>
          </c:trendline>
          <c:xVal>
            <c:numRef>
              <c:f>'Performance Standards'!$U$150:$X$150</c:f>
              <c:numCache>
                <c:formatCode>General</c:formatCode>
                <c:ptCount val="4"/>
                <c:pt idx="0">
                  <c:v>80</c:v>
                </c:pt>
                <c:pt idx="1">
                  <c:v>89</c:v>
                </c:pt>
                <c:pt idx="2">
                  <c:v>90</c:v>
                </c:pt>
                <c:pt idx="3">
                  <c:v>100</c:v>
                </c:pt>
              </c:numCache>
            </c:numRef>
          </c:xVal>
          <c:yVal>
            <c:numRef>
              <c:f>'Performance Standards'!$U$151:$X$151</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7-7F5E-43A3-B121-15C2F36C966D}"/>
            </c:ext>
          </c:extLst>
        </c:ser>
        <c:dLbls>
          <c:showLegendKey val="0"/>
          <c:showVal val="0"/>
          <c:showCatName val="0"/>
          <c:showSerName val="0"/>
          <c:showPercent val="0"/>
          <c:showBubbleSize val="0"/>
        </c:dLbls>
        <c:axId val="456124376"/>
        <c:axId val="456126336"/>
      </c:scatterChart>
      <c:valAx>
        <c:axId val="456124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6336"/>
        <c:crosses val="autoZero"/>
        <c:crossBetween val="midCat"/>
      </c:valAx>
      <c:valAx>
        <c:axId val="4561263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43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Non-native Plant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2581030763014314"/>
                  <c:y val="-0.50698314060940874"/>
                </c:manualLayout>
              </c:layout>
              <c:numFmt formatCode="0.00000E+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Standards'!$S$320:$X$320</c:f>
              <c:numCache>
                <c:formatCode>General</c:formatCode>
                <c:ptCount val="6"/>
                <c:pt idx="0">
                  <c:v>100</c:v>
                </c:pt>
                <c:pt idx="1">
                  <c:v>50</c:v>
                </c:pt>
                <c:pt idx="2">
                  <c:v>49</c:v>
                </c:pt>
                <c:pt idx="3">
                  <c:v>19</c:v>
                </c:pt>
                <c:pt idx="4">
                  <c:v>18</c:v>
                </c:pt>
                <c:pt idx="5">
                  <c:v>0</c:v>
                </c:pt>
              </c:numCache>
            </c:numRef>
          </c:xVal>
          <c:yVal>
            <c:numRef>
              <c:f>'Performance Standards'!$S$321:$X$321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DFD-4BB9-9B0D-3CE048A84054}"/>
            </c:ext>
          </c:extLst>
        </c:ser>
        <c:dLbls>
          <c:showLegendKey val="0"/>
          <c:showVal val="0"/>
          <c:showCatName val="0"/>
          <c:showSerName val="0"/>
          <c:showPercent val="0"/>
          <c:showBubbleSize val="0"/>
        </c:dLbls>
        <c:axId val="456127120"/>
        <c:axId val="456128688"/>
      </c:scatterChart>
      <c:valAx>
        <c:axId val="45612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8688"/>
        <c:crosses val="autoZero"/>
        <c:crossBetween val="midCat"/>
      </c:valAx>
      <c:valAx>
        <c:axId val="4561286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71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3: Granitic Mountains, Bighorn Basin Foothills, Southern Foothills &amp; Laramie Range, Volcanic Mountains&amp; Valleys</a:t>
            </a:r>
          </a:p>
        </c:rich>
      </c:tx>
      <c:layout>
        <c:manualLayout>
          <c:xMode val="edge"/>
          <c:yMode val="edge"/>
          <c:x val="6.4119291549320737E-2"/>
          <c:y val="1.126728811419877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875290124703685E-2"/>
          <c:y val="0.11567234367118853"/>
          <c:w val="0.60497633717084209"/>
          <c:h val="0.81197936849156893"/>
        </c:manualLayout>
      </c:layout>
      <c:scatterChart>
        <c:scatterStyle val="lineMarker"/>
        <c:varyColors val="0"/>
        <c:ser>
          <c:idx val="0"/>
          <c:order val="0"/>
          <c:tx>
            <c:strRef>
              <c:f>'Performance Standards'!$AK$91</c:f>
              <c:strCache>
                <c:ptCount val="1"/>
                <c:pt idx="0">
                  <c:v>Granitic Mountains </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5416313994689708E-2"/>
                  <c:y val="0.549815014325152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Standards'!$AK$84:$AP$84</c:f>
              <c:numCache>
                <c:formatCode>0.00</c:formatCode>
                <c:ptCount val="6"/>
                <c:pt idx="0">
                  <c:v>0.44</c:v>
                </c:pt>
                <c:pt idx="2">
                  <c:v>0.54</c:v>
                </c:pt>
                <c:pt idx="3">
                  <c:v>0.81</c:v>
                </c:pt>
                <c:pt idx="5">
                  <c:v>1</c:v>
                </c:pt>
              </c:numCache>
            </c:numRef>
          </c:xVal>
          <c:yVal>
            <c:numRef>
              <c:f>'Performance Standards'!$AK$88:$AP$88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220-4B15-9F7A-7763D44DA4C2}"/>
            </c:ext>
          </c:extLst>
        </c:ser>
        <c:ser>
          <c:idx val="2"/>
          <c:order val="1"/>
          <c:tx>
            <c:strRef>
              <c:f>'Performance Standards'!$AL$91</c:f>
              <c:strCache>
                <c:ptCount val="1"/>
                <c:pt idx="0">
                  <c:v>Bighorn Basin Foothills </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9.5416313994689708E-2"/>
                  <c:y val="0.5853116297137810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aseline="0">
                        <a:solidFill>
                          <a:schemeClr val="bg1">
                            <a:lumMod val="65000"/>
                          </a:schemeClr>
                        </a:solidFill>
                      </a:rPr>
                      <a:t>y = 1.0624x - 0.1134</a:t>
                    </a:r>
                    <a:endParaRPr lang="en-US" sz="900">
                      <a:solidFill>
                        <a:schemeClr val="bg1">
                          <a:lumMod val="65000"/>
                        </a:schemeClr>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Standards'!$AK$85:$AP$85</c:f>
              <c:numCache>
                <c:formatCode>0.00</c:formatCode>
                <c:ptCount val="6"/>
                <c:pt idx="0">
                  <c:v>0.05</c:v>
                </c:pt>
                <c:pt idx="2">
                  <c:v>0.5</c:v>
                </c:pt>
                <c:pt idx="3">
                  <c:v>0.75</c:v>
                </c:pt>
                <c:pt idx="5">
                  <c:v>1</c:v>
                </c:pt>
              </c:numCache>
            </c:numRef>
          </c:xVal>
          <c:yVal>
            <c:numRef>
              <c:f>'Performance Standards'!$AK$88:$AP$88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C5C5-4AF3-901E-08457B6CB38C}"/>
            </c:ext>
          </c:extLst>
        </c:ser>
        <c:ser>
          <c:idx val="4"/>
          <c:order val="2"/>
          <c:tx>
            <c:strRef>
              <c:f>'Performance Standards'!$AM$91</c:f>
              <c:strCache>
                <c:ptCount val="1"/>
                <c:pt idx="0">
                  <c:v>Southern Foothills &amp; Laramie Range </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9.5416313994689708E-2"/>
                  <c:y val="0.6326312122046295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Standards'!$AK$86:$AP$86</c:f>
              <c:numCache>
                <c:formatCode>0.00</c:formatCode>
                <c:ptCount val="6"/>
                <c:pt idx="0">
                  <c:v>0.28000000000000003</c:v>
                </c:pt>
                <c:pt idx="2">
                  <c:v>0.52</c:v>
                </c:pt>
                <c:pt idx="3">
                  <c:v>0.79</c:v>
                </c:pt>
                <c:pt idx="5">
                  <c:v>1</c:v>
                </c:pt>
              </c:numCache>
            </c:numRef>
          </c:xVal>
          <c:yVal>
            <c:numRef>
              <c:f>'Performance Standards'!$AK$88:$AP$88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C5C5-4AF3-901E-08457B6CB38C}"/>
            </c:ext>
          </c:extLst>
        </c:ser>
        <c:ser>
          <c:idx val="6"/>
          <c:order val="3"/>
          <c:tx>
            <c:strRef>
              <c:f>'Performance Standards'!$AN$91</c:f>
              <c:strCache>
                <c:ptCount val="1"/>
                <c:pt idx="0">
                  <c:v>Volcanic Mountains &amp; Valleys </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9.7189856620948839E-2"/>
                  <c:y val="0.67108158979152954"/>
                </c:manualLayout>
              </c:layout>
              <c:numFmt formatCode="#,##0.0000;[Red]#,##0.0000" sourceLinked="0"/>
              <c:spPr>
                <a:noFill/>
                <a:ln>
                  <a:noFill/>
                </a:ln>
                <a:effectLst/>
              </c:spPr>
              <c:txPr>
                <a:bodyPr rot="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trendlineLbl>
          </c:trendline>
          <c:xVal>
            <c:numRef>
              <c:f>'Performance Standards'!$AK$87:$AP$87</c:f>
              <c:numCache>
                <c:formatCode>0.00</c:formatCode>
                <c:ptCount val="6"/>
                <c:pt idx="0">
                  <c:v>0.36</c:v>
                </c:pt>
                <c:pt idx="2">
                  <c:v>0.52</c:v>
                </c:pt>
                <c:pt idx="3">
                  <c:v>0.78</c:v>
                </c:pt>
                <c:pt idx="5">
                  <c:v>1</c:v>
                </c:pt>
              </c:numCache>
            </c:numRef>
          </c:xVal>
          <c:yVal>
            <c:numRef>
              <c:f>'Performance Standards'!$AK$88:$AP$88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6-C5C5-4AF3-901E-08457B6CB38C}"/>
            </c:ext>
          </c:extLst>
        </c:ser>
        <c:dLbls>
          <c:showLegendKey val="0"/>
          <c:showVal val="0"/>
          <c:showCatName val="0"/>
          <c:showSerName val="0"/>
          <c:showPercent val="0"/>
          <c:showBubbleSize val="0"/>
        </c:dLbls>
        <c:axId val="456129080"/>
        <c:axId val="456122416"/>
      </c:scatterChart>
      <c:valAx>
        <c:axId val="45612908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2416"/>
        <c:crosses val="autoZero"/>
        <c:crossBetween val="midCat"/>
      </c:valAx>
      <c:valAx>
        <c:axId val="45612241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90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1: Wyoming Basin, Black Hills, High Valleys, Sedimentary Mountains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Standards'!$AJ$120</c:f>
              <c:strCache>
                <c:ptCount val="1"/>
                <c:pt idx="0">
                  <c:v>Wyoming Basin</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1063422810339991E-2"/>
                  <c:y val="0.48267446214467502"/>
                </c:manualLayout>
              </c:layout>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Standards'!$AK$120:$AP$120</c:f>
              <c:numCache>
                <c:formatCode>0.00</c:formatCode>
                <c:ptCount val="6"/>
                <c:pt idx="0">
                  <c:v>0.3559322033898305</c:v>
                </c:pt>
                <c:pt idx="2" formatCode="0.000">
                  <c:v>0.53822033898305088</c:v>
                </c:pt>
                <c:pt idx="3" formatCode="0.000">
                  <c:v>0.69135593220338987</c:v>
                </c:pt>
                <c:pt idx="5">
                  <c:v>1</c:v>
                </c:pt>
              </c:numCache>
            </c:numRef>
          </c:xVal>
          <c:yVal>
            <c:numRef>
              <c:f>'Performance Standards'!$AK$124:$AP$124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784E-4900-84E9-4CE0490071DA}"/>
            </c:ext>
          </c:extLst>
        </c:ser>
        <c:ser>
          <c:idx val="1"/>
          <c:order val="1"/>
          <c:tx>
            <c:strRef>
              <c:f>'Performance Standards'!$AL$127</c:f>
              <c:strCache>
                <c:ptCount val="1"/>
                <c:pt idx="0">
                  <c:v>Black Hills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7.1063422810339991E-2"/>
                  <c:y val="0.53380824072512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Standards'!$AK$121:$AP$121</c:f>
              <c:numCache>
                <c:formatCode>0.00</c:formatCode>
                <c:ptCount val="6"/>
                <c:pt idx="0">
                  <c:v>0.34259259259259256</c:v>
                </c:pt>
                <c:pt idx="2" formatCode="0.000">
                  <c:v>0.54999999999999993</c:v>
                </c:pt>
                <c:pt idx="3" formatCode="0.000">
                  <c:v>0.81601851851851848</c:v>
                </c:pt>
                <c:pt idx="5">
                  <c:v>1</c:v>
                </c:pt>
              </c:numCache>
            </c:numRef>
          </c:xVal>
          <c:yVal>
            <c:numRef>
              <c:f>'Performance Standards'!$AK$124:$AP$124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D82B-4DD7-9DEA-3F53FAB37650}"/>
            </c:ext>
          </c:extLst>
        </c:ser>
        <c:ser>
          <c:idx val="2"/>
          <c:order val="2"/>
          <c:tx>
            <c:strRef>
              <c:f>'Performance Standards'!$AJ$122</c:f>
              <c:strCache>
                <c:ptCount val="1"/>
                <c:pt idx="0">
                  <c:v>High Valleys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7.4637418809434392E-2"/>
                  <c:y val="0.6076681431191067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Standards'!$AK$122:$AP$122</c:f>
              <c:numCache>
                <c:formatCode>0.00</c:formatCode>
                <c:ptCount val="6"/>
                <c:pt idx="0">
                  <c:v>0.36842105263157898</c:v>
                </c:pt>
                <c:pt idx="2" formatCode="0.000">
                  <c:v>0.60061403508771938</c:v>
                </c:pt>
                <c:pt idx="3" formatCode="0.000">
                  <c:v>0.75429824561403513</c:v>
                </c:pt>
                <c:pt idx="5">
                  <c:v>1</c:v>
                </c:pt>
              </c:numCache>
            </c:numRef>
          </c:xVal>
          <c:yVal>
            <c:numRef>
              <c:f>'Performance Standards'!$AK$124:$AP$124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D82B-4DD7-9DEA-3F53FAB37650}"/>
            </c:ext>
          </c:extLst>
        </c:ser>
        <c:ser>
          <c:idx val="3"/>
          <c:order val="3"/>
          <c:tx>
            <c:strRef>
              <c:f>'Performance Standards'!$AJ$123</c:f>
              <c:strCache>
                <c:ptCount val="1"/>
                <c:pt idx="0">
                  <c:v>Sedimentary Mountains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7.6424416808981599E-2"/>
                  <c:y val="0.6786872800363975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4"/>
                      </a:solidFill>
                      <a:latin typeface="+mn-lt"/>
                      <a:ea typeface="+mn-ea"/>
                      <a:cs typeface="+mn-cs"/>
                    </a:defRPr>
                  </a:pPr>
                  <a:endParaRPr lang="en-US"/>
                </a:p>
              </c:txPr>
            </c:trendlineLbl>
          </c:trendline>
          <c:xVal>
            <c:numRef>
              <c:f>'Performance Standards'!$AK$123:$AP$123</c:f>
              <c:numCache>
                <c:formatCode>0.00</c:formatCode>
                <c:ptCount val="6"/>
                <c:pt idx="0">
                  <c:v>0.35897435897435898</c:v>
                </c:pt>
                <c:pt idx="2" formatCode="0.000">
                  <c:v>0.58333333333333337</c:v>
                </c:pt>
                <c:pt idx="3" formatCode="0.000">
                  <c:v>0.70376068376068379</c:v>
                </c:pt>
                <c:pt idx="5">
                  <c:v>1</c:v>
                </c:pt>
              </c:numCache>
            </c:numRef>
          </c:xVal>
          <c:yVal>
            <c:numRef>
              <c:f>'Performance Standards'!$AK$124:$AP$124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D82B-4DD7-9DEA-3F53FAB37650}"/>
            </c:ext>
          </c:extLst>
        </c:ser>
        <c:dLbls>
          <c:showLegendKey val="0"/>
          <c:showVal val="0"/>
          <c:showCatName val="0"/>
          <c:showSerName val="0"/>
          <c:showPercent val="0"/>
          <c:showBubbleSize val="0"/>
        </c:dLbls>
        <c:axId val="456125160"/>
        <c:axId val="456123984"/>
      </c:scatterChart>
      <c:valAx>
        <c:axId val="456125160"/>
        <c:scaling>
          <c:orientation val="minMax"/>
          <c:min val="0.30000000000000004"/>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3984"/>
        <c:crosses val="autoZero"/>
        <c:crossBetween val="midCat"/>
      </c:valAx>
      <c:valAx>
        <c:axId val="4561239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51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2: Southern Rockies, SE Plains, NE Plains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Standards'!$AJ$158</c:f>
              <c:strCache>
                <c:ptCount val="1"/>
                <c:pt idx="0">
                  <c:v>Southern Rockies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6.7026530833408293E-3"/>
                  <c:y val="0.4281131175221969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Standards'!$AK$158:$AP$158</c:f>
              <c:numCache>
                <c:formatCode>0.00</c:formatCode>
                <c:ptCount val="6"/>
                <c:pt idx="0">
                  <c:v>0.22881355932203393</c:v>
                </c:pt>
                <c:pt idx="2" formatCode="0.000">
                  <c:v>0.52610169491525427</c:v>
                </c:pt>
                <c:pt idx="3" formatCode="0.000">
                  <c:v>0.75567796610169502</c:v>
                </c:pt>
                <c:pt idx="5">
                  <c:v>1</c:v>
                </c:pt>
              </c:numCache>
            </c:numRef>
          </c:xVal>
          <c:yVal>
            <c:numRef>
              <c:f>'Performance Standards'!$AK$161:$AP$161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86C-43FC-98E8-B7BE00F686B9}"/>
            </c:ext>
          </c:extLst>
        </c:ser>
        <c:ser>
          <c:idx val="1"/>
          <c:order val="1"/>
          <c:tx>
            <c:strRef>
              <c:f>'Performance Standards'!$AJ$159</c:f>
              <c:strCache>
                <c:ptCount val="1"/>
                <c:pt idx="0">
                  <c:v>SE Plains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560893731414886E-3"/>
                  <c:y val="0.48859038625891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Standards'!$AK$159:$AP$159</c:f>
              <c:numCache>
                <c:formatCode>0.00</c:formatCode>
                <c:ptCount val="6"/>
                <c:pt idx="0">
                  <c:v>0.40178571428571425</c:v>
                </c:pt>
                <c:pt idx="2" formatCode="0.000">
                  <c:v>0.45928571428571419</c:v>
                </c:pt>
                <c:pt idx="3" formatCode="0.000">
                  <c:v>0.69758928571428569</c:v>
                </c:pt>
                <c:pt idx="5">
                  <c:v>1</c:v>
                </c:pt>
              </c:numCache>
            </c:numRef>
          </c:xVal>
          <c:yVal>
            <c:numRef>
              <c:f>'Performance Standards'!$AK$161:$AP$161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444E-44C4-BF88-73232FBA3354}"/>
            </c:ext>
          </c:extLst>
        </c:ser>
        <c:ser>
          <c:idx val="2"/>
          <c:order val="2"/>
          <c:tx>
            <c:strRef>
              <c:f>'Performance Standards'!$AM$164</c:f>
              <c:strCache>
                <c:ptCount val="1"/>
                <c:pt idx="0">
                  <c:v>NE Plains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9.2548146804111667E-3"/>
                  <c:y val="0.5545715322763282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Standards'!$AK$160:$AP$160</c:f>
              <c:numCache>
                <c:formatCode>0.00</c:formatCode>
                <c:ptCount val="6"/>
                <c:pt idx="0">
                  <c:v>0.34693877551020413</c:v>
                </c:pt>
                <c:pt idx="2" formatCode="0.000">
                  <c:v>0.53051020408163274</c:v>
                </c:pt>
                <c:pt idx="3" formatCode="0.000">
                  <c:v>0.76530612244897955</c:v>
                </c:pt>
                <c:pt idx="5">
                  <c:v>1</c:v>
                </c:pt>
              </c:numCache>
            </c:numRef>
          </c:xVal>
          <c:yVal>
            <c:numRef>
              <c:f>'Performance Standards'!$AK$161:$AP$161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444E-44C4-BF88-73232FBA3354}"/>
            </c:ext>
          </c:extLst>
        </c:ser>
        <c:dLbls>
          <c:showLegendKey val="0"/>
          <c:showVal val="0"/>
          <c:showCatName val="0"/>
          <c:showSerName val="0"/>
          <c:showPercent val="0"/>
          <c:showBubbleSize val="0"/>
        </c:dLbls>
        <c:axId val="456125944"/>
        <c:axId val="456126728"/>
      </c:scatterChart>
      <c:valAx>
        <c:axId val="456125944"/>
        <c:scaling>
          <c:orientation val="minMax"/>
          <c:max val="1.1000000000000001"/>
          <c:min val="0.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6728"/>
        <c:crosses val="autoZero"/>
        <c:crossBetween val="midCat"/>
      </c:valAx>
      <c:valAx>
        <c:axId val="456126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59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Curve Number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Standards'!$B$9</c:f>
              <c:strCache>
                <c:ptCount val="1"/>
                <c:pt idx="0">
                  <c:v>Forested</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9093565861655935"/>
                  <c:y val="5.9671878754780208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Standards'!$C$9:$H$9</c:f>
              <c:numCache>
                <c:formatCode>General</c:formatCode>
                <c:ptCount val="6"/>
                <c:pt idx="2">
                  <c:v>71</c:v>
                </c:pt>
                <c:pt idx="4">
                  <c:v>61</c:v>
                </c:pt>
                <c:pt idx="5">
                  <c:v>41</c:v>
                </c:pt>
              </c:numCache>
            </c:numRef>
          </c:xVal>
          <c:yVal>
            <c:numRef>
              <c:f>'Performance Standards'!$C$12:$H$12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7AC5-45EF-9405-04BE8E1983D1}"/>
            </c:ext>
          </c:extLst>
        </c:ser>
        <c:ser>
          <c:idx val="1"/>
          <c:order val="1"/>
          <c:tx>
            <c:strRef>
              <c:f>'Performance Standards'!$B$10</c:f>
              <c:strCache>
                <c:ptCount val="1"/>
                <c:pt idx="0">
                  <c:v>Scrub-Shrub</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3.3577045596135086E-2"/>
                  <c:y val="-0.16848377866848574"/>
                </c:manualLayout>
              </c:layout>
              <c:numFmt formatCode="#,##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Standards'!$C$10:$H$10</c:f>
              <c:numCache>
                <c:formatCode>General</c:formatCode>
                <c:ptCount val="6"/>
                <c:pt idx="0">
                  <c:v>59.6</c:v>
                </c:pt>
                <c:pt idx="2">
                  <c:v>55</c:v>
                </c:pt>
                <c:pt idx="4">
                  <c:v>47</c:v>
                </c:pt>
                <c:pt idx="5">
                  <c:v>35</c:v>
                </c:pt>
              </c:numCache>
            </c:numRef>
          </c:xVal>
          <c:yVal>
            <c:numRef>
              <c:f>'Performance Standards'!$C$12:$H$12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9633-48C6-A52C-787B4C1E7D15}"/>
            </c:ext>
          </c:extLst>
        </c:ser>
        <c:ser>
          <c:idx val="2"/>
          <c:order val="2"/>
          <c:tx>
            <c:strRef>
              <c:f>'Performance Standards'!$B$11</c:f>
              <c:strCache>
                <c:ptCount val="1"/>
                <c:pt idx="0">
                  <c:v>Herbaceous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1"/>
            <c:trendlineLbl>
              <c:layout>
                <c:manualLayout>
                  <c:x val="0.3424689310944718"/>
                  <c:y val="-0.13718359326024221"/>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trendlineLbl>
          </c:trendline>
          <c:xVal>
            <c:numRef>
              <c:f>'Performance Standards'!$C$11:$H$11</c:f>
              <c:numCache>
                <c:formatCode>General</c:formatCode>
                <c:ptCount val="6"/>
                <c:pt idx="2">
                  <c:v>85</c:v>
                </c:pt>
                <c:pt idx="4">
                  <c:v>74</c:v>
                </c:pt>
                <c:pt idx="5">
                  <c:v>62</c:v>
                </c:pt>
              </c:numCache>
            </c:numRef>
          </c:xVal>
          <c:yVal>
            <c:numRef>
              <c:f>'Performance Standards'!$C$12:$H$12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6-9633-48C6-A52C-787B4C1E7D15}"/>
            </c:ext>
          </c:extLst>
        </c:ser>
        <c:dLbls>
          <c:showLegendKey val="0"/>
          <c:showVal val="0"/>
          <c:showCatName val="0"/>
          <c:showSerName val="0"/>
          <c:showPercent val="0"/>
          <c:showBubbleSize val="0"/>
        </c:dLbls>
        <c:axId val="456127904"/>
        <c:axId val="456123200"/>
      </c:scatterChart>
      <c:valAx>
        <c:axId val="456127904"/>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3200"/>
        <c:crosses val="autoZero"/>
        <c:crossBetween val="midCat"/>
      </c:valAx>
      <c:valAx>
        <c:axId val="45612320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27904"/>
        <c:crosses val="autoZero"/>
        <c:crossBetween val="midCat"/>
      </c:valAx>
      <c:spPr>
        <a:noFill/>
        <a:ln>
          <a:noFill/>
        </a:ln>
        <a:effectLst/>
      </c:spPr>
    </c:plotArea>
    <c:legend>
      <c:legendPos val="r"/>
      <c:layout>
        <c:manualLayout>
          <c:xMode val="edge"/>
          <c:yMode val="edge"/>
          <c:x val="0.76050599961560461"/>
          <c:y val="0.13272648262456666"/>
          <c:w val="0.23949394931411846"/>
          <c:h val="0.344766991829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Summary'!$A$24</c:f>
              <c:strCache>
                <c:ptCount val="1"/>
                <c:pt idx="0">
                  <c:v>Hydrology</c:v>
                </c:pt>
              </c:strCache>
            </c:strRef>
          </c:tx>
          <c:spPr>
            <a:ln w="19050" cap="rnd">
              <a:solidFill>
                <a:srgbClr val="00B0F0"/>
              </a:solidFill>
              <a:prstDash val="dash"/>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Summary'!$F$24:$O$24</c:f>
              <c:numCache>
                <c:formatCode>0.00</c:formatCode>
                <c:ptCount val="10"/>
                <c:pt idx="0">
                  <c:v>0.88</c:v>
                </c:pt>
                <c:pt idx="1">
                  <c:v>0.88</c:v>
                </c:pt>
                <c:pt idx="2">
                  <c:v>0.88</c:v>
                </c:pt>
                <c:pt idx="3">
                  <c:v>0.88</c:v>
                </c:pt>
                <c:pt idx="4">
                  <c:v>0.88</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1-53E5-43F6-935D-28E090B64FB7}"/>
            </c:ext>
          </c:extLst>
        </c:ser>
        <c:ser>
          <c:idx val="6"/>
          <c:order val="1"/>
          <c:tx>
            <c:strRef>
              <c:f>'Data Summary'!$A$25</c:f>
              <c:strCache>
                <c:ptCount val="1"/>
                <c:pt idx="0">
                  <c:v>Hydraulics</c:v>
                </c:pt>
              </c:strCache>
            </c:strRef>
          </c:tx>
          <c:spPr>
            <a:ln w="19050" cap="rnd">
              <a:solidFill>
                <a:srgbClr val="0070C0"/>
              </a:solidFill>
              <a:prstDash val="dash"/>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Summary'!$F$25:$O$25</c:f>
              <c:numCache>
                <c:formatCode>0.00</c:formatCode>
                <c:ptCount val="10"/>
                <c:pt idx="0">
                  <c:v>0.89</c:v>
                </c:pt>
                <c:pt idx="1">
                  <c:v>0.89</c:v>
                </c:pt>
                <c:pt idx="2">
                  <c:v>0.89</c:v>
                </c:pt>
                <c:pt idx="3">
                  <c:v>0.89</c:v>
                </c:pt>
                <c:pt idx="4">
                  <c:v>0.89</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2-53E5-43F6-935D-28E090B64FB7}"/>
            </c:ext>
          </c:extLst>
        </c:ser>
        <c:ser>
          <c:idx val="4"/>
          <c:order val="2"/>
          <c:tx>
            <c:strRef>
              <c:f>'Data Summary'!$A$26:$B$26</c:f>
              <c:strCache>
                <c:ptCount val="2"/>
                <c:pt idx="0">
                  <c:v>Geomorphology</c:v>
                </c:pt>
              </c:strCache>
            </c:strRef>
          </c:tx>
          <c:spPr>
            <a:ln w="19050" cap="rnd">
              <a:solidFill>
                <a:schemeClr val="accent2"/>
              </a:solidFill>
              <a:prstDash val="dash"/>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Summary'!$F$26:$O$26</c:f>
              <c:numCache>
                <c:formatCode>0.00</c:formatCode>
                <c:ptCount val="10"/>
                <c:pt idx="0">
                  <c:v>0.72</c:v>
                </c:pt>
                <c:pt idx="1">
                  <c:v>0.72</c:v>
                </c:pt>
                <c:pt idx="2">
                  <c:v>0.79</c:v>
                </c:pt>
                <c:pt idx="3">
                  <c:v>0.81</c:v>
                </c:pt>
                <c:pt idx="4">
                  <c:v>0.81</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53E5-43F6-935D-28E090B64FB7}"/>
            </c:ext>
          </c:extLst>
        </c:ser>
        <c:ser>
          <c:idx val="7"/>
          <c:order val="3"/>
          <c:tx>
            <c:strRef>
              <c:f>'Data Summary'!$A$27</c:f>
              <c:strCache>
                <c:ptCount val="1"/>
                <c:pt idx="0">
                  <c:v>Physicochemical</c:v>
                </c:pt>
              </c:strCache>
            </c:strRef>
          </c:tx>
          <c:spPr>
            <a:ln w="19050" cap="rnd">
              <a:solidFill>
                <a:schemeClr val="accent4"/>
              </a:solidFill>
              <a:prstDash val="dash"/>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Summary'!$F$27:$O$27</c:f>
              <c:numCache>
                <c:formatCode>0.00</c:formatCode>
                <c:ptCount val="10"/>
                <c:pt idx="0">
                  <c:v>0.47</c:v>
                </c:pt>
                <c:pt idx="1">
                  <c:v>0.47</c:v>
                </c:pt>
                <c:pt idx="2">
                  <c:v>0.53</c:v>
                </c:pt>
                <c:pt idx="3">
                  <c:v>0.53</c:v>
                </c:pt>
                <c:pt idx="4">
                  <c:v>0.83</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3-53E5-43F6-935D-28E090B64FB7}"/>
            </c:ext>
          </c:extLst>
        </c:ser>
        <c:ser>
          <c:idx val="1"/>
          <c:order val="4"/>
          <c:tx>
            <c:strRef>
              <c:f>'Data Summary'!$A$28:$B$28</c:f>
              <c:strCache>
                <c:ptCount val="2"/>
                <c:pt idx="0">
                  <c:v>Biology</c:v>
                </c:pt>
              </c:strCache>
            </c:strRef>
          </c:tx>
          <c:spPr>
            <a:ln w="19050" cap="rnd">
              <a:solidFill>
                <a:srgbClr val="92D050"/>
              </a:solidFill>
              <a:prstDash val="dash"/>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Summary'!$F$28:$O$28</c:f>
              <c:numCache>
                <c:formatCode>0.00</c:formatCode>
                <c:ptCount val="10"/>
                <c:pt idx="0">
                  <c:v>0.43</c:v>
                </c:pt>
                <c:pt idx="1">
                  <c:v>0.47</c:v>
                </c:pt>
                <c:pt idx="2">
                  <c:v>0.8</c:v>
                </c:pt>
                <c:pt idx="3">
                  <c:v>0.8</c:v>
                </c:pt>
                <c:pt idx="4">
                  <c:v>0.95</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53E5-43F6-935D-28E090B64FB7}"/>
            </c:ext>
          </c:extLst>
        </c:ser>
        <c:ser>
          <c:idx val="0"/>
          <c:order val="5"/>
          <c:tx>
            <c:v>Monitoring Data</c:v>
          </c:tx>
          <c:spPr>
            <a:ln w="28575" cap="rnd">
              <a:solidFill>
                <a:schemeClr val="tx1"/>
              </a:solidFill>
              <a:round/>
            </a:ln>
            <a:effectLst/>
          </c:spPr>
          <c:marker>
            <c:symbol val="none"/>
          </c:marker>
          <c:xVal>
            <c:strRef>
              <c:f>'Data Summary'!$F$23:$O$23</c:f>
              <c:strCache>
                <c:ptCount val="10"/>
                <c:pt idx="0">
                  <c:v>1</c:v>
                </c:pt>
                <c:pt idx="1">
                  <c:v>2</c:v>
                </c:pt>
                <c:pt idx="2">
                  <c:v>3</c:v>
                </c:pt>
                <c:pt idx="3">
                  <c:v>4</c:v>
                </c:pt>
                <c:pt idx="4">
                  <c:v>5</c:v>
                </c:pt>
                <c:pt idx="5">
                  <c:v>#N/A</c:v>
                </c:pt>
                <c:pt idx="6">
                  <c:v>#N/A</c:v>
                </c:pt>
                <c:pt idx="7">
                  <c:v>#N/A</c:v>
                </c:pt>
                <c:pt idx="8">
                  <c:v>#N/A</c:v>
                </c:pt>
                <c:pt idx="9">
                  <c:v>#N/A</c:v>
                </c:pt>
              </c:strCache>
            </c:strRef>
          </c:xVal>
          <c:yVal>
            <c:numRef>
              <c:f>'Data Summary'!$F$29:$O$29</c:f>
              <c:numCache>
                <c:formatCode>0.00</c:formatCode>
                <c:ptCount val="10"/>
                <c:pt idx="0">
                  <c:v>0.68</c:v>
                </c:pt>
                <c:pt idx="1">
                  <c:v>0.69</c:v>
                </c:pt>
                <c:pt idx="2">
                  <c:v>0.78</c:v>
                </c:pt>
                <c:pt idx="3">
                  <c:v>0.78</c:v>
                </c:pt>
                <c:pt idx="4">
                  <c:v>0.87</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436638216"/>
        <c:axId val="436638608"/>
      </c:scatterChart>
      <c:valAx>
        <c:axId val="43663821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8608"/>
        <c:crosses val="autoZero"/>
        <c:crossBetween val="midCat"/>
      </c:valAx>
      <c:valAx>
        <c:axId val="4366386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3663821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6697145457702409"/>
                  <c:y val="-0.33051690554327684"/>
                </c:manualLayout>
              </c:layout>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Standards'!$E$45:$F$45</c:f>
              <c:numCache>
                <c:formatCode>General</c:formatCode>
                <c:ptCount val="2"/>
                <c:pt idx="0">
                  <c:v>3</c:v>
                </c:pt>
                <c:pt idx="1">
                  <c:v>1</c:v>
                </c:pt>
              </c:numCache>
            </c:numRef>
          </c:xVal>
          <c:yVal>
            <c:numRef>
              <c:f>'Performance Standards'!$E$46:$F$46</c:f>
              <c:numCache>
                <c:formatCode>General</c:formatCode>
                <c:ptCount val="2"/>
                <c:pt idx="0">
                  <c:v>0.3</c:v>
                </c:pt>
                <c:pt idx="1">
                  <c:v>0.69</c:v>
                </c:pt>
              </c:numCache>
            </c:numRef>
          </c:yVal>
          <c:smooth val="0"/>
          <c:extLst xmlns:c16r2="http://schemas.microsoft.com/office/drawing/2015/06/chart">
            <c:ext xmlns:c16="http://schemas.microsoft.com/office/drawing/2014/chart" uri="{C3380CC4-5D6E-409C-BE32-E72D297353CC}">
              <c16:uniqueId val="{00000001-497F-464D-9884-5EC6C306E1D4}"/>
            </c:ext>
          </c:extLst>
        </c:ser>
        <c:ser>
          <c:idx val="1"/>
          <c:order val="1"/>
          <c:spPr>
            <a:ln w="25400" cap="rnd">
              <a:noFill/>
              <a:round/>
            </a:ln>
            <a:effectLst/>
          </c:spPr>
          <c:marker>
            <c:symbol val="circle"/>
            <c:size val="5"/>
            <c:spPr>
              <a:solidFill>
                <a:srgbClr val="00B050"/>
              </a:solidFill>
              <a:ln w="9525">
                <a:solidFill>
                  <a:srgbClr val="00B050"/>
                </a:solidFill>
              </a:ln>
              <a:effectLst/>
            </c:spPr>
          </c:marker>
          <c:xVal>
            <c:numRef>
              <c:f>'Performance Standards'!$H$45</c:f>
              <c:numCache>
                <c:formatCode>0</c:formatCode>
                <c:ptCount val="1"/>
                <c:pt idx="0">
                  <c:v>0</c:v>
                </c:pt>
              </c:numCache>
            </c:numRef>
          </c:xVal>
          <c:yVal>
            <c:numRef>
              <c:f>'Performance Standards'!$H$46</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497F-464D-9884-5EC6C306E1D4}"/>
            </c:ext>
          </c:extLst>
        </c:ser>
        <c:ser>
          <c:idx val="2"/>
          <c:order val="2"/>
          <c:spPr>
            <a:ln w="31750" cap="rnd">
              <a:solidFill>
                <a:srgbClr val="FF0000"/>
              </a:solidFill>
              <a:round/>
            </a:ln>
            <a:effectLst/>
          </c:spPr>
          <c:marker>
            <c:symbol val="none"/>
          </c:marker>
          <c:xVal>
            <c:numLit>
              <c:formatCode>General</c:formatCode>
              <c:ptCount val="3"/>
              <c:pt idx="0">
                <c:v>4</c:v>
              </c:pt>
              <c:pt idx="1">
                <c:v>5</c:v>
              </c:pt>
              <c:pt idx="2">
                <c:v>6</c:v>
              </c:pt>
            </c:numLit>
          </c:xVal>
          <c:yVal>
            <c:numLit>
              <c:formatCode>General</c:formatCode>
              <c:ptCount val="3"/>
              <c:pt idx="0">
                <c:v>0</c:v>
              </c:pt>
              <c:pt idx="1">
                <c:v>0</c:v>
              </c:pt>
              <c:pt idx="2">
                <c:v>0</c:v>
              </c:pt>
            </c:numLit>
          </c:yVal>
          <c:smooth val="0"/>
          <c:extLst xmlns:c16r2="http://schemas.microsoft.com/office/drawing/2015/06/chart">
            <c:ext xmlns:c16="http://schemas.microsoft.com/office/drawing/2014/chart" uri="{C3380CC4-5D6E-409C-BE32-E72D297353CC}">
              <c16:uniqueId val="{00000003-497F-464D-9884-5EC6C306E1D4}"/>
            </c:ext>
          </c:extLst>
        </c:ser>
        <c:dLbls>
          <c:showLegendKey val="0"/>
          <c:showVal val="0"/>
          <c:showCatName val="0"/>
          <c:showSerName val="0"/>
          <c:showPercent val="0"/>
          <c:showBubbleSize val="0"/>
        </c:dLbls>
        <c:axId val="456830016"/>
        <c:axId val="456824136"/>
      </c:scatterChart>
      <c:valAx>
        <c:axId val="456830016"/>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4136"/>
        <c:crosses val="autoZero"/>
        <c:crossBetween val="midCat"/>
      </c:valAx>
      <c:valAx>
        <c:axId val="4568241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30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Soil Compaction</a:t>
            </a:r>
          </a:p>
        </c:rich>
      </c:tx>
      <c:layout>
        <c:manualLayout>
          <c:xMode val="edge"/>
          <c:yMode val="edge"/>
          <c:x val="6.069101458282012E-2"/>
          <c:y val="2.07684271315554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Standards'!$B$78</c:f>
              <c:strCache>
                <c:ptCount val="1"/>
                <c:pt idx="0">
                  <c:v>Sandy</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6.9524403839744703E-2"/>
                  <c:y val="-0.3996408432900623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1"/>
                        </a:solidFill>
                      </a:rPr>
                      <a:t>y = -1.95x + 3.81</a:t>
                    </a:r>
                    <a:endParaRPr lang="en-US">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Standards'!$C$78:$H$78</c:f>
              <c:numCache>
                <c:formatCode>General</c:formatCode>
                <c:ptCount val="6"/>
                <c:pt idx="0" formatCode="0.00">
                  <c:v>1.953846153846154</c:v>
                </c:pt>
                <c:pt idx="2">
                  <c:v>1.8</c:v>
                </c:pt>
                <c:pt idx="3">
                  <c:v>1.6</c:v>
                </c:pt>
                <c:pt idx="5" formatCode="0.00">
                  <c:v>1.441025641025641</c:v>
                </c:pt>
              </c:numCache>
            </c:numRef>
          </c:xVal>
          <c:yVal>
            <c:numRef>
              <c:f>'Performance Standards'!$C$81:$H$81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3878-4AA3-8393-B0AF59A608B8}"/>
            </c:ext>
          </c:extLst>
        </c:ser>
        <c:ser>
          <c:idx val="1"/>
          <c:order val="1"/>
          <c:tx>
            <c:strRef>
              <c:f>'Performance Standards'!$B$79</c:f>
              <c:strCache>
                <c:ptCount val="1"/>
                <c:pt idx="0">
                  <c:v>Silty </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144775587596862"/>
                  <c:y val="-0.7138895689698673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2"/>
                        </a:solidFill>
                      </a:rPr>
                      <a:t>y = -1.560x + 2.874</a:t>
                    </a:r>
                    <a:endParaRPr lang="en-US">
                      <a:solidFill>
                        <a:schemeClr val="accent2"/>
                      </a:solidFill>
                    </a:endParaRPr>
                  </a:p>
                </c:rich>
              </c:tx>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Standards'!$C$79:$H$79</c:f>
              <c:numCache>
                <c:formatCode>General</c:formatCode>
                <c:ptCount val="6"/>
                <c:pt idx="0" formatCode="0.00">
                  <c:v>1.8423076923076924</c:v>
                </c:pt>
                <c:pt idx="2">
                  <c:v>1.65</c:v>
                </c:pt>
                <c:pt idx="3">
                  <c:v>1.4</c:v>
                </c:pt>
                <c:pt idx="5" formatCode="0.00">
                  <c:v>1.2012820512820512</c:v>
                </c:pt>
              </c:numCache>
            </c:numRef>
          </c:xVal>
          <c:yVal>
            <c:numRef>
              <c:f>'Performance Standards'!$C$81:$H$81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3878-4AA3-8393-B0AF59A608B8}"/>
            </c:ext>
          </c:extLst>
        </c:ser>
        <c:ser>
          <c:idx val="2"/>
          <c:order val="2"/>
          <c:tx>
            <c:strRef>
              <c:f>'Performance Standards'!$B$80</c:f>
              <c:strCache>
                <c:ptCount val="1"/>
                <c:pt idx="0">
                  <c:v>Clayey</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5.7723905567079355E-2"/>
                  <c:y val="-7.3917491966834115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bg1">
                            <a:lumMod val="50000"/>
                          </a:schemeClr>
                        </a:solidFill>
                      </a:rPr>
                      <a:t>y = -1.0541x + 1.8495</a:t>
                    </a:r>
                    <a:endParaRPr lang="en-US">
                      <a:solidFill>
                        <a:schemeClr val="bg1">
                          <a:lumMod val="50000"/>
                        </a:schemeClr>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Standards'!$C$80:$H$80</c:f>
              <c:numCache>
                <c:formatCode>General</c:formatCode>
                <c:ptCount val="6"/>
                <c:pt idx="0" formatCode="0.00">
                  <c:v>1.7545773645764158</c:v>
                </c:pt>
                <c:pt idx="2">
                  <c:v>1.47</c:v>
                </c:pt>
                <c:pt idx="3">
                  <c:v>1.1000000000000001</c:v>
                </c:pt>
                <c:pt idx="5" formatCode="0.00">
                  <c:v>0.80590076842804281</c:v>
                </c:pt>
              </c:numCache>
            </c:numRef>
          </c:xVal>
          <c:yVal>
            <c:numRef>
              <c:f>'Performance Standards'!$C$81:$H$81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3878-4AA3-8393-B0AF59A608B8}"/>
            </c:ext>
          </c:extLst>
        </c:ser>
        <c:dLbls>
          <c:showLegendKey val="0"/>
          <c:showVal val="0"/>
          <c:showCatName val="0"/>
          <c:showSerName val="0"/>
          <c:showPercent val="0"/>
          <c:showBubbleSize val="0"/>
        </c:dLbls>
        <c:axId val="456827664"/>
        <c:axId val="456825312"/>
      </c:scatterChart>
      <c:valAx>
        <c:axId val="4568276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5312"/>
        <c:crosses val="autoZero"/>
        <c:crossBetween val="midCat"/>
      </c:valAx>
      <c:valAx>
        <c:axId val="4568253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7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Native Fish Species (% of expected)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2371339004208777"/>
                  <c:y val="0.1446914199867111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Standards'!$AK$235:$AN$235</c:f>
              <c:numCache>
                <c:formatCode>General</c:formatCode>
                <c:ptCount val="4"/>
                <c:pt idx="0" formatCode="0">
                  <c:v>58.158823529411762</c:v>
                </c:pt>
                <c:pt idx="2">
                  <c:v>76</c:v>
                </c:pt>
                <c:pt idx="3">
                  <c:v>99</c:v>
                </c:pt>
              </c:numCache>
            </c:numRef>
          </c:xVal>
          <c:yVal>
            <c:numRef>
              <c:f>'Performance Standards'!$AK$236:$AN$236</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1-F17A-4CDB-BB96-C1EDB41CACF2}"/>
            </c:ext>
          </c:extLst>
        </c:ser>
        <c:ser>
          <c:idx val="1"/>
          <c:order val="1"/>
          <c:spPr>
            <a:ln w="25400" cap="rnd">
              <a:solidFill>
                <a:srgbClr val="FF0000"/>
              </a:solidFill>
              <a:round/>
            </a:ln>
            <a:effectLst/>
          </c:spPr>
          <c:marker>
            <c:symbol val="circle"/>
            <c:size val="5"/>
            <c:spPr>
              <a:solidFill>
                <a:schemeClr val="accent2"/>
              </a:solidFill>
              <a:ln w="9525">
                <a:solidFill>
                  <a:schemeClr val="accent2"/>
                </a:solidFill>
              </a:ln>
              <a:effectLst/>
            </c:spPr>
          </c:marker>
          <c:xVal>
            <c:numRef>
              <c:f>'Performance Standards'!$AP$235</c:f>
              <c:numCache>
                <c:formatCode>General</c:formatCode>
                <c:ptCount val="1"/>
                <c:pt idx="0">
                  <c:v>100</c:v>
                </c:pt>
              </c:numCache>
            </c:numRef>
          </c:xVal>
          <c:yVal>
            <c:numRef>
              <c:f>'Performance Standards'!$AP$236</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3-F17A-4CDB-BB96-C1EDB41CACF2}"/>
            </c:ext>
          </c:extLst>
        </c:ser>
        <c:dLbls>
          <c:showLegendKey val="0"/>
          <c:showVal val="0"/>
          <c:showCatName val="0"/>
          <c:showSerName val="0"/>
          <c:showPercent val="0"/>
          <c:showBubbleSize val="0"/>
        </c:dLbls>
        <c:axId val="456826488"/>
        <c:axId val="456829232"/>
      </c:scatterChart>
      <c:valAx>
        <c:axId val="45682648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9232"/>
        <c:crosses val="autoZero"/>
        <c:crossBetween val="midCat"/>
      </c:valAx>
      <c:valAx>
        <c:axId val="4568292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6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SGCN Absent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Functioning</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'Performance Standards'!$AP$272:$AQ$272</c:f>
              <c:numCache>
                <c:formatCode>General</c:formatCode>
                <c:ptCount val="2"/>
                <c:pt idx="0">
                  <c:v>1</c:v>
                </c:pt>
                <c:pt idx="1">
                  <c:v>0</c:v>
                </c:pt>
              </c:numCache>
            </c:numRef>
          </c:xVal>
          <c:yVal>
            <c:numRef>
              <c:f>'Performance Standards'!$AP$271:$AQ$271</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5-7E10-4508-94F2-E50FC59892F9}"/>
            </c:ext>
          </c:extLst>
        </c:ser>
        <c:ser>
          <c:idx val="1"/>
          <c:order val="1"/>
          <c:tx>
            <c:v>Functiong At Risk</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4.9794774474640285E-2"/>
                  <c:y val="-0.147178716266502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Standards'!$AN$271:$AP$271</c:f>
              <c:numCache>
                <c:formatCode>General</c:formatCode>
                <c:ptCount val="3"/>
                <c:pt idx="0">
                  <c:v>2</c:v>
                </c:pt>
                <c:pt idx="2">
                  <c:v>1</c:v>
                </c:pt>
              </c:numCache>
            </c:numRef>
          </c:xVal>
          <c:yVal>
            <c:numRef>
              <c:f>'Performance Standards'!$AN$272:$AP$272</c:f>
              <c:numCache>
                <c:formatCode>General</c:formatCode>
                <c:ptCount val="3"/>
                <c:pt idx="0">
                  <c:v>0.69</c:v>
                </c:pt>
                <c:pt idx="1">
                  <c:v>0.7</c:v>
                </c:pt>
                <c:pt idx="2">
                  <c:v>1</c:v>
                </c:pt>
              </c:numCache>
            </c:numRef>
          </c:yVal>
          <c:smooth val="0"/>
          <c:extLst xmlns:c16r2="http://schemas.microsoft.com/office/drawing/2015/06/chart">
            <c:ext xmlns:c16="http://schemas.microsoft.com/office/drawing/2014/chart" uri="{C3380CC4-5D6E-409C-BE32-E72D297353CC}">
              <c16:uniqueId val="{00000001-DF4E-4641-8102-3AF85A4BD24C}"/>
            </c:ext>
          </c:extLst>
        </c:ser>
        <c:ser>
          <c:idx val="2"/>
          <c:order val="2"/>
          <c:tx>
            <c:v>Not Functioning</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4.804402396076448E-2"/>
                  <c:y val="-0.1651843498682562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Standards'!$AK$271:$AN$271</c:f>
              <c:numCache>
                <c:formatCode>General</c:formatCode>
                <c:ptCount val="4"/>
                <c:pt idx="1">
                  <c:v>3</c:v>
                </c:pt>
                <c:pt idx="3">
                  <c:v>2</c:v>
                </c:pt>
              </c:numCache>
            </c:numRef>
          </c:xVal>
          <c:yVal>
            <c:numRef>
              <c:f>'Performance Standards'!$AK$272:$AN$272</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3-DF4E-4641-8102-3AF85A4BD24C}"/>
            </c:ext>
          </c:extLst>
        </c:ser>
        <c:ser>
          <c:idx val="3"/>
          <c:order val="3"/>
          <c:spPr>
            <a:ln w="25400" cap="rnd">
              <a:noFill/>
              <a:round/>
            </a:ln>
            <a:effectLst/>
          </c:spPr>
          <c:marker>
            <c:symbol val="none"/>
          </c:marker>
          <c:trendline>
            <c:spPr>
              <a:ln w="25400" cap="rnd">
                <a:solidFill>
                  <a:srgbClr val="FF0000"/>
                </a:solidFill>
                <a:prstDash val="solid"/>
              </a:ln>
              <a:effectLst/>
            </c:spPr>
            <c:trendlineType val="linear"/>
            <c:dispRSqr val="0"/>
            <c:dispEq val="0"/>
          </c:trendline>
          <c:xVal>
            <c:numLit>
              <c:formatCode>General</c:formatCode>
              <c:ptCount val="2"/>
              <c:pt idx="0">
                <c:v>3</c:v>
              </c:pt>
              <c:pt idx="1">
                <c:v>4</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5-DF4E-4641-8102-3AF85A4BD24C}"/>
            </c:ext>
          </c:extLst>
        </c:ser>
        <c:dLbls>
          <c:showLegendKey val="0"/>
          <c:showVal val="0"/>
          <c:showCatName val="0"/>
          <c:showSerName val="0"/>
          <c:showPercent val="0"/>
          <c:showBubbleSize val="0"/>
        </c:dLbls>
        <c:axId val="456829624"/>
        <c:axId val="456828840"/>
      </c:scatterChart>
      <c:valAx>
        <c:axId val="456829624"/>
        <c:scaling>
          <c:orientation val="minMax"/>
          <c:max val="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8840"/>
        <c:crosses val="autoZero"/>
        <c:crossBetween val="midCat"/>
        <c:majorUnit val="1"/>
        <c:minorUnit val="0.5"/>
      </c:valAx>
      <c:valAx>
        <c:axId val="4568288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96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MWAT:</a:t>
            </a:r>
            <a:r>
              <a:rPr lang="en-US" baseline="0"/>
              <a:t> 7-day average chronic criterion</a:t>
            </a:r>
            <a:endParaRPr lang="en-US"/>
          </a:p>
        </c:rich>
      </c:tx>
      <c:layout>
        <c:manualLayout>
          <c:xMode val="edge"/>
          <c:yMode val="edge"/>
          <c:x val="0.27765484142236047"/>
          <c:y val="1.8495208296341797E-2"/>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0317407640408E-2"/>
          <c:y val="9.0176808467000574E-2"/>
          <c:w val="0.61319120946939054"/>
          <c:h val="0.83221338860848137"/>
        </c:manualLayout>
      </c:layout>
      <c:scatterChart>
        <c:scatterStyle val="lineMarker"/>
        <c:varyColors val="0"/>
        <c:ser>
          <c:idx val="0"/>
          <c:order val="0"/>
          <c:tx>
            <c:strRef>
              <c:f>'Performance Standards'!$AA$46</c:f>
              <c:strCache>
                <c:ptCount val="1"/>
                <c:pt idx="0">
                  <c:v>Tier I (Cold)</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63747358725980729"/>
                  <c:y val="-0.2518976259348507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lumMod val="75000"/>
                        </a:schemeClr>
                      </a:solidFill>
                      <a:latin typeface="+mn-lt"/>
                      <a:ea typeface="+mn-ea"/>
                      <a:cs typeface="+mn-cs"/>
                    </a:defRPr>
                  </a:pPr>
                  <a:endParaRPr lang="en-US"/>
                </a:p>
              </c:txPr>
            </c:trendlineLbl>
          </c:trendline>
          <c:xVal>
            <c:numRef>
              <c:f>'Performance Standards'!$AB$46:$AG$46</c:f>
              <c:numCache>
                <c:formatCode>General</c:formatCode>
                <c:ptCount val="6"/>
                <c:pt idx="0">
                  <c:v>19.3</c:v>
                </c:pt>
                <c:pt idx="2">
                  <c:v>18.100000000000001</c:v>
                </c:pt>
                <c:pt idx="4">
                  <c:v>16.8</c:v>
                </c:pt>
                <c:pt idx="5">
                  <c:v>15.4</c:v>
                </c:pt>
              </c:numCache>
            </c:numRef>
          </c:xVal>
          <c:yVal>
            <c:numRef>
              <c:f>'Performance Standards'!$AB$51:$AG$51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CDE3-4C06-8410-8D7E48799058}"/>
            </c:ext>
          </c:extLst>
        </c:ser>
        <c:ser>
          <c:idx val="1"/>
          <c:order val="1"/>
          <c:tx>
            <c:strRef>
              <c:f>'Performance Standards'!$AA$47</c:f>
              <c:strCache>
                <c:ptCount val="1"/>
                <c:pt idx="0">
                  <c:v>Tier II (Cold-Cool)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5934794853363845"/>
                  <c:y val="-0.1952744907965699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en-US"/>
                </a:p>
              </c:txPr>
            </c:trendlineLbl>
          </c:trendline>
          <c:xVal>
            <c:numRef>
              <c:f>'Performance Standards'!$AB$47:$AG$47</c:f>
              <c:numCache>
                <c:formatCode>General</c:formatCode>
                <c:ptCount val="6"/>
                <c:pt idx="0">
                  <c:v>21</c:v>
                </c:pt>
                <c:pt idx="2">
                  <c:v>19.3</c:v>
                </c:pt>
                <c:pt idx="4">
                  <c:v>17.399999999999999</c:v>
                </c:pt>
                <c:pt idx="5">
                  <c:v>15.5</c:v>
                </c:pt>
              </c:numCache>
            </c:numRef>
          </c:xVal>
          <c:yVal>
            <c:numRef>
              <c:f>'Performance Standards'!$AB$51:$AG$51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5-CDE3-4C06-8410-8D7E48799058}"/>
            </c:ext>
          </c:extLst>
        </c:ser>
        <c:ser>
          <c:idx val="2"/>
          <c:order val="2"/>
          <c:tx>
            <c:strRef>
              <c:f>'Performance Standards'!$AA$48</c:f>
              <c:strCache>
                <c:ptCount val="1"/>
                <c:pt idx="0">
                  <c:v>Tier III (Cool)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51989642190348262"/>
                  <c:y val="-0.141631520665567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Standards'!$AB$48:$AG$48</c:f>
              <c:numCache>
                <c:formatCode>General</c:formatCode>
                <c:ptCount val="6"/>
                <c:pt idx="0">
                  <c:v>24</c:v>
                </c:pt>
                <c:pt idx="2">
                  <c:v>22</c:v>
                </c:pt>
                <c:pt idx="4">
                  <c:v>19.899999999999999</c:v>
                </c:pt>
                <c:pt idx="5">
                  <c:v>17.7</c:v>
                </c:pt>
              </c:numCache>
            </c:numRef>
          </c:xVal>
          <c:yVal>
            <c:numRef>
              <c:f>'Performance Standards'!$AB$51:$AG$51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7-CDE3-4C06-8410-8D7E48799058}"/>
            </c:ext>
          </c:extLst>
        </c:ser>
        <c:ser>
          <c:idx val="3"/>
          <c:order val="3"/>
          <c:tx>
            <c:strRef>
              <c:f>'Performance Standards'!$AA$49</c:f>
              <c:strCache>
                <c:ptCount val="1"/>
                <c:pt idx="0">
                  <c:v>Tier IV (Cool-Warm)</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40446085451929625"/>
                  <c:y val="-8.798855053456416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4">
                          <a:lumMod val="75000"/>
                        </a:schemeClr>
                      </a:solidFill>
                      <a:latin typeface="+mn-lt"/>
                      <a:ea typeface="+mn-ea"/>
                      <a:cs typeface="+mn-cs"/>
                    </a:defRPr>
                  </a:pPr>
                  <a:endParaRPr lang="en-US"/>
                </a:p>
              </c:txPr>
            </c:trendlineLbl>
          </c:trendline>
          <c:xVal>
            <c:numRef>
              <c:f>'Performance Standards'!$AB$49:$AG$49</c:f>
              <c:numCache>
                <c:formatCode>General</c:formatCode>
                <c:ptCount val="6"/>
                <c:pt idx="0">
                  <c:v>28.8</c:v>
                </c:pt>
                <c:pt idx="2">
                  <c:v>26</c:v>
                </c:pt>
                <c:pt idx="4">
                  <c:v>23</c:v>
                </c:pt>
                <c:pt idx="5">
                  <c:v>19.899999999999999</c:v>
                </c:pt>
              </c:numCache>
            </c:numRef>
          </c:xVal>
          <c:yVal>
            <c:numRef>
              <c:f>'Performance Standards'!$AB$51:$AG$51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9-CDE3-4C06-8410-8D7E48799058}"/>
            </c:ext>
          </c:extLst>
        </c:ser>
        <c:ser>
          <c:idx val="4"/>
          <c:order val="4"/>
          <c:tx>
            <c:strRef>
              <c:f>'Performance Standards'!$AA$50</c:f>
              <c:strCache>
                <c:ptCount val="1"/>
                <c:pt idx="0">
                  <c:v>Tier V (Warm)</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34232213612821505"/>
                  <c:y val="-3.136541539628333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trendlineLbl>
          </c:trendline>
          <c:xVal>
            <c:numRef>
              <c:f>'Performance Standards'!$AB$50:$AG$50</c:f>
              <c:numCache>
                <c:formatCode>General</c:formatCode>
                <c:ptCount val="6"/>
                <c:pt idx="0">
                  <c:v>31</c:v>
                </c:pt>
                <c:pt idx="2">
                  <c:v>29</c:v>
                </c:pt>
                <c:pt idx="4">
                  <c:v>26.7</c:v>
                </c:pt>
                <c:pt idx="5">
                  <c:v>24.5</c:v>
                </c:pt>
              </c:numCache>
            </c:numRef>
          </c:xVal>
          <c:yVal>
            <c:numRef>
              <c:f>'Performance Standards'!$AB$51:$AG$51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B-CDE3-4C06-8410-8D7E48799058}"/>
            </c:ext>
          </c:extLst>
        </c:ser>
        <c:dLbls>
          <c:showLegendKey val="0"/>
          <c:showVal val="0"/>
          <c:showCatName val="0"/>
          <c:showSerName val="0"/>
          <c:showPercent val="0"/>
          <c:showBubbleSize val="0"/>
        </c:dLbls>
        <c:axId val="456824920"/>
        <c:axId val="456822960"/>
      </c:scatterChart>
      <c:valAx>
        <c:axId val="456824920"/>
        <c:scaling>
          <c:orientation val="minMax"/>
          <c:max val="3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2960"/>
        <c:crosses val="autoZero"/>
        <c:crossBetween val="midCat"/>
      </c:valAx>
      <c:valAx>
        <c:axId val="4568229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4920"/>
        <c:crosses val="autoZero"/>
        <c:crossBetween val="midCat"/>
      </c:valAx>
      <c:spPr>
        <a:noFill/>
        <a:ln>
          <a:noFill/>
        </a:ln>
        <a:effectLst/>
      </c:spPr>
    </c:plotArea>
    <c:legend>
      <c:legendPos val="r"/>
      <c:layout>
        <c:manualLayout>
          <c:xMode val="edge"/>
          <c:yMode val="edge"/>
          <c:x val="0.67174169402767592"/>
          <c:y val="7.3803584763863145E-2"/>
          <c:w val="0.32138309112186003"/>
          <c:h val="0.50888592605608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Game Biomass (% Increase)</a:t>
            </a:r>
          </a:p>
        </c:rich>
      </c:tx>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0317407640408E-2"/>
          <c:y val="9.0176808467000574E-2"/>
          <c:w val="0.61319120946939054"/>
          <c:h val="0.83221338860848137"/>
        </c:manualLayout>
      </c:layout>
      <c:scatterChart>
        <c:scatterStyle val="lineMarker"/>
        <c:varyColors val="0"/>
        <c:ser>
          <c:idx val="0"/>
          <c:order val="0"/>
          <c:tx>
            <c:strRef>
              <c:f>'Performance Standards'!$AJ$308</c:f>
              <c:strCache>
                <c:ptCount val="1"/>
                <c:pt idx="0">
                  <c:v>Blue Ribbon and non-trout game fish</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7142581949584903"/>
                  <c:y val="0.5201866868583078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lumMod val="75000"/>
                        </a:schemeClr>
                      </a:solidFill>
                      <a:latin typeface="+mn-lt"/>
                      <a:ea typeface="+mn-ea"/>
                      <a:cs typeface="+mn-cs"/>
                    </a:defRPr>
                  </a:pPr>
                  <a:endParaRPr lang="en-US"/>
                </a:p>
              </c:txPr>
            </c:trendlineLbl>
          </c:trendline>
          <c:xVal>
            <c:numRef>
              <c:f>'Performance Standards'!$AK$308:$AP$308</c:f>
              <c:numCache>
                <c:formatCode>General</c:formatCode>
                <c:ptCount val="6"/>
                <c:pt idx="2">
                  <c:v>5</c:v>
                </c:pt>
                <c:pt idx="4">
                  <c:v>25</c:v>
                </c:pt>
                <c:pt idx="5">
                  <c:v>40</c:v>
                </c:pt>
              </c:numCache>
            </c:numRef>
          </c:xVal>
          <c:yVal>
            <c:numRef>
              <c:f>'Performance Standards'!$AK$312:$AP$312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B474-4013-BC78-4D06A7011F8D}"/>
            </c:ext>
          </c:extLst>
        </c:ser>
        <c:ser>
          <c:idx val="1"/>
          <c:order val="1"/>
          <c:tx>
            <c:strRef>
              <c:f>'Performance Standards'!$AJ$309</c:f>
              <c:strCache>
                <c:ptCount val="1"/>
                <c:pt idx="0">
                  <c:v>Red Ribbon</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58029075086523085"/>
                  <c:y val="0.567747832304831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en-US"/>
                </a:p>
              </c:txPr>
            </c:trendlineLbl>
          </c:trendline>
          <c:xVal>
            <c:numRef>
              <c:f>'Performance Standards'!$AK$309:$AP$309</c:f>
              <c:numCache>
                <c:formatCode>General</c:formatCode>
                <c:ptCount val="6"/>
                <c:pt idx="2">
                  <c:v>10</c:v>
                </c:pt>
                <c:pt idx="4">
                  <c:v>50</c:v>
                </c:pt>
                <c:pt idx="5">
                  <c:v>80</c:v>
                </c:pt>
              </c:numCache>
            </c:numRef>
          </c:xVal>
          <c:yVal>
            <c:numRef>
              <c:f>'Performance Standards'!$AK$312:$AP$312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B474-4013-BC78-4D06A7011F8D}"/>
            </c:ext>
          </c:extLst>
        </c:ser>
        <c:ser>
          <c:idx val="2"/>
          <c:order val="2"/>
          <c:tx>
            <c:strRef>
              <c:f>'Performance Standards'!$AJ$310</c:f>
              <c:strCache>
                <c:ptCount val="1"/>
                <c:pt idx="0">
                  <c:v>Yellow Ribbon</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4847384012754084"/>
                  <c:y val="0.6083461384071463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Standards'!$AK$310:$AP$310</c:f>
              <c:numCache>
                <c:formatCode>General</c:formatCode>
                <c:ptCount val="6"/>
                <c:pt idx="2">
                  <c:v>15</c:v>
                </c:pt>
                <c:pt idx="4">
                  <c:v>75</c:v>
                </c:pt>
                <c:pt idx="5">
                  <c:v>119</c:v>
                </c:pt>
              </c:numCache>
            </c:numRef>
          </c:xVal>
          <c:yVal>
            <c:numRef>
              <c:f>'Performance Standards'!$AK$312:$AP$312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5-B474-4013-BC78-4D06A7011F8D}"/>
            </c:ext>
          </c:extLst>
        </c:ser>
        <c:ser>
          <c:idx val="3"/>
          <c:order val="3"/>
          <c:tx>
            <c:strRef>
              <c:f>'Performance Standards'!$AJ$311</c:f>
              <c:strCache>
                <c:ptCount val="1"/>
                <c:pt idx="0">
                  <c:v>Green Ribbon</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33812717056141417"/>
                  <c:y val="0.65243410421625436"/>
                </c:manualLayout>
              </c:layout>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accent4">
                          <a:lumMod val="75000"/>
                        </a:schemeClr>
                      </a:solidFill>
                      <a:latin typeface="+mn-lt"/>
                      <a:ea typeface="+mn-ea"/>
                      <a:cs typeface="+mn-cs"/>
                    </a:defRPr>
                  </a:pPr>
                  <a:endParaRPr lang="en-US"/>
                </a:p>
              </c:txPr>
            </c:trendlineLbl>
          </c:trendline>
          <c:xVal>
            <c:numRef>
              <c:f>'Performance Standards'!$AK$311:$AP$311</c:f>
              <c:numCache>
                <c:formatCode>General</c:formatCode>
                <c:ptCount val="6"/>
                <c:pt idx="2">
                  <c:v>20</c:v>
                </c:pt>
                <c:pt idx="4">
                  <c:v>100</c:v>
                </c:pt>
                <c:pt idx="5">
                  <c:v>160</c:v>
                </c:pt>
              </c:numCache>
            </c:numRef>
          </c:xVal>
          <c:yVal>
            <c:numRef>
              <c:f>'Performance Standards'!$AK$312:$AP$312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7-B474-4013-BC78-4D06A7011F8D}"/>
            </c:ext>
          </c:extLst>
        </c:ser>
        <c:dLbls>
          <c:showLegendKey val="0"/>
          <c:showVal val="0"/>
          <c:showCatName val="0"/>
          <c:showSerName val="0"/>
          <c:showPercent val="0"/>
          <c:showBubbleSize val="0"/>
        </c:dLbls>
        <c:axId val="456823744"/>
        <c:axId val="456826880"/>
      </c:scatterChart>
      <c:valAx>
        <c:axId val="456823744"/>
        <c:scaling>
          <c:orientation val="minMax"/>
          <c:max val="18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6880"/>
        <c:crosses val="autoZero"/>
        <c:crossBetween val="midCat"/>
        <c:majorUnit val="20"/>
      </c:valAx>
      <c:valAx>
        <c:axId val="45682688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3744"/>
        <c:crosses val="autoZero"/>
        <c:crossBetween val="midCat"/>
      </c:valAx>
      <c:spPr>
        <a:noFill/>
        <a:ln>
          <a:noFill/>
        </a:ln>
        <a:effectLst/>
      </c:spPr>
    </c:plotArea>
    <c:legend>
      <c:legendPos val="r"/>
      <c:layout>
        <c:manualLayout>
          <c:xMode val="edge"/>
          <c:yMode val="edge"/>
          <c:x val="0.69241606618116558"/>
          <c:y val="6.4885854421232153E-2"/>
          <c:w val="0.296114446706226"/>
          <c:h val="0.592118004070316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Q Low Measured / Q Low Expected</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641387664223922"/>
                  <c:y val="0.171708781417808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Standards'!$C$114:$H$114</c:f>
              <c:numCache>
                <c:formatCode>General</c:formatCode>
                <c:ptCount val="6"/>
                <c:pt idx="0">
                  <c:v>0.6</c:v>
                </c:pt>
                <c:pt idx="3">
                  <c:v>0.75</c:v>
                </c:pt>
                <c:pt idx="5">
                  <c:v>1</c:v>
                </c:pt>
              </c:numCache>
            </c:numRef>
          </c:xVal>
          <c:yVal>
            <c:numRef>
              <c:f>'Performance Standards'!$C$116:$H$116</c:f>
              <c:numCache>
                <c:formatCode>General</c:formatCode>
                <c:ptCount val="6"/>
                <c:pt idx="0">
                  <c:v>0</c:v>
                </c:pt>
                <c:pt idx="1">
                  <c:v>0.28999999999999998</c:v>
                </c:pt>
                <c:pt idx="2">
                  <c:v>0.3</c:v>
                </c:pt>
                <c:pt idx="3">
                  <c:v>0.5</c:v>
                </c:pt>
                <c:pt idx="4">
                  <c:v>0.7</c:v>
                </c:pt>
                <c:pt idx="5">
                  <c:v>1</c:v>
                </c:pt>
              </c:numCache>
            </c:numRef>
          </c:yVal>
          <c:smooth val="0"/>
          <c:extLst xmlns:c16r2="http://schemas.microsoft.com/office/drawing/2015/06/chart">
            <c:ext xmlns:c16="http://schemas.microsoft.com/office/drawing/2014/chart" uri="{C3380CC4-5D6E-409C-BE32-E72D297353CC}">
              <c16:uniqueId val="{00000001-EF21-48F4-9435-9B107BA97BB8}"/>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3.1089809917663781E-2"/>
                  <c:y val="-0.59259110995147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Standards'!$C$115:$H$115</c:f>
              <c:numCache>
                <c:formatCode>General</c:formatCode>
                <c:ptCount val="6"/>
                <c:pt idx="0">
                  <c:v>2</c:v>
                </c:pt>
                <c:pt idx="3">
                  <c:v>1.6</c:v>
                </c:pt>
                <c:pt idx="5">
                  <c:v>1.1000000000000001</c:v>
                </c:pt>
              </c:numCache>
            </c:numRef>
          </c:xVal>
          <c:yVal>
            <c:numRef>
              <c:f>'Performance Standards'!$C$116:$H$116</c:f>
              <c:numCache>
                <c:formatCode>General</c:formatCode>
                <c:ptCount val="6"/>
                <c:pt idx="0">
                  <c:v>0</c:v>
                </c:pt>
                <c:pt idx="1">
                  <c:v>0.28999999999999998</c:v>
                </c:pt>
                <c:pt idx="2">
                  <c:v>0.3</c:v>
                </c:pt>
                <c:pt idx="3">
                  <c:v>0.5</c:v>
                </c:pt>
                <c:pt idx="4">
                  <c:v>0.7</c:v>
                </c:pt>
                <c:pt idx="5">
                  <c:v>1</c:v>
                </c:pt>
              </c:numCache>
            </c:numRef>
          </c:yVal>
          <c:smooth val="0"/>
          <c:extLst xmlns:c16r2="http://schemas.microsoft.com/office/drawing/2015/06/chart">
            <c:ext xmlns:c16="http://schemas.microsoft.com/office/drawing/2014/chart" uri="{C3380CC4-5D6E-409C-BE32-E72D297353CC}">
              <c16:uniqueId val="{00000003-EF21-48F4-9435-9B107BA97BB8}"/>
            </c:ext>
          </c:extLst>
        </c:ser>
        <c:ser>
          <c:idx val="2"/>
          <c:order val="2"/>
          <c:tx>
            <c:v>Crest</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olid"/>
              </a:ln>
              <a:effectLst/>
            </c:spPr>
            <c:trendlineType val="linear"/>
            <c:dispRSqr val="0"/>
            <c:dispEq val="0"/>
          </c:trendline>
          <c:xVal>
            <c:numRef>
              <c:f>'Performance Standards'!$H$114:$H$115</c:f>
              <c:numCache>
                <c:formatCode>General</c:formatCode>
                <c:ptCount val="2"/>
                <c:pt idx="0">
                  <c:v>1</c:v>
                </c:pt>
                <c:pt idx="1">
                  <c:v>1.1000000000000001</c:v>
                </c:pt>
              </c:numCache>
            </c:numRef>
          </c:xVal>
          <c:yVal>
            <c:numRef>
              <c:f>('Performance Standards'!$H$116,'Performance Standards'!$H$116)</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4-EF21-48F4-9435-9B107BA97BB8}"/>
            </c:ext>
          </c:extLst>
        </c:ser>
        <c:dLbls>
          <c:showLegendKey val="0"/>
          <c:showVal val="0"/>
          <c:showCatName val="0"/>
          <c:showSerName val="0"/>
          <c:showPercent val="0"/>
          <c:showBubbleSize val="0"/>
        </c:dLbls>
        <c:axId val="456827272"/>
        <c:axId val="456828448"/>
        <c:extLst xmlns:c16r2="http://schemas.microsoft.com/office/drawing/2015/06/chart"/>
      </c:scatterChart>
      <c:valAx>
        <c:axId val="456827272"/>
        <c:scaling>
          <c:orientation val="minMax"/>
          <c:max val="2.2000000000000002"/>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8448"/>
        <c:crosses val="autoZero"/>
        <c:crossBetween val="midCat"/>
        <c:majorUnit val="0.1"/>
      </c:valAx>
      <c:valAx>
        <c:axId val="456828448"/>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827272"/>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Cover</a:t>
            </a:r>
            <a:r>
              <a:rPr lang="en-US" baseline="0"/>
              <a:t> (%) - Herbaceous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3722811448860529"/>
                  <c:y val="0.19598921603782354"/>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Standards'!$U$221:$X$221</c:f>
              <c:numCache>
                <c:formatCode>General</c:formatCode>
                <c:ptCount val="4"/>
                <c:pt idx="0">
                  <c:v>30</c:v>
                </c:pt>
                <c:pt idx="2">
                  <c:v>75</c:v>
                </c:pt>
                <c:pt idx="3">
                  <c:v>100</c:v>
                </c:pt>
              </c:numCache>
            </c:numRef>
          </c:xVal>
          <c:yVal>
            <c:numRef>
              <c:f>'Performance Standards'!$U$222:$X$222</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1-10D3-4C59-8971-E3636C93B379}"/>
            </c:ext>
          </c:extLst>
        </c:ser>
        <c:dLbls>
          <c:showLegendKey val="0"/>
          <c:showVal val="0"/>
          <c:showCatName val="0"/>
          <c:showSerName val="0"/>
          <c:showPercent val="0"/>
          <c:showBubbleSize val="0"/>
        </c:dLbls>
        <c:axId val="457238888"/>
        <c:axId val="457242416"/>
      </c:scatterChart>
      <c:valAx>
        <c:axId val="457238888"/>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2416"/>
        <c:crosses val="autoZero"/>
        <c:crossBetween val="midCat"/>
      </c:valAx>
      <c:valAx>
        <c:axId val="45724241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38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Cover</a:t>
            </a:r>
            <a:r>
              <a:rPr lang="en-US" baseline="0"/>
              <a:t> (%) - Forested, Scrub-Shrub - Colluvial Valley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Standards'!$S$258</c:f>
              <c:strCache>
                <c:ptCount val="1"/>
                <c:pt idx="0">
                  <c:v>0 - 15</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0384319785967407E-2"/>
                  <c:y val="0.1728413663709890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Standards'!$U$254:$V$254</c:f>
              <c:numCache>
                <c:formatCode>General</c:formatCode>
                <c:ptCount val="2"/>
                <c:pt idx="0">
                  <c:v>0</c:v>
                </c:pt>
                <c:pt idx="1">
                  <c:v>15</c:v>
                </c:pt>
              </c:numCache>
            </c:numRef>
          </c:xVal>
          <c:yVal>
            <c:numRef>
              <c:f>'Performance Standards'!$U$256:$V$256</c:f>
              <c:numCache>
                <c:formatCode>General</c:formatCode>
                <c:ptCount val="2"/>
                <c:pt idx="0">
                  <c:v>0.3</c:v>
                </c:pt>
                <c:pt idx="1">
                  <c:v>0.69</c:v>
                </c:pt>
              </c:numCache>
            </c:numRef>
          </c:yVal>
          <c:smooth val="0"/>
          <c:extLst xmlns:c16r2="http://schemas.microsoft.com/office/drawing/2015/06/chart">
            <c:ext xmlns:c16="http://schemas.microsoft.com/office/drawing/2014/chart" uri="{C3380CC4-5D6E-409C-BE32-E72D297353CC}">
              <c16:uniqueId val="{00000001-8852-4BEC-9A4F-787699323494}"/>
            </c:ext>
          </c:extLst>
        </c:ser>
        <c:ser>
          <c:idx val="1"/>
          <c:order val="1"/>
          <c:tx>
            <c:strRef>
              <c:f>'Performance Standards'!$T$258</c:f>
              <c:strCache>
                <c:ptCount val="1"/>
                <c:pt idx="0">
                  <c:v>15 - 55</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454158247442635"/>
                  <c:y val="7.359168743580400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Standards'!$V$254:$X$254</c:f>
              <c:numCache>
                <c:formatCode>General</c:formatCode>
                <c:ptCount val="3"/>
                <c:pt idx="0">
                  <c:v>15</c:v>
                </c:pt>
                <c:pt idx="2">
                  <c:v>55</c:v>
                </c:pt>
              </c:numCache>
            </c:numRef>
          </c:xVal>
          <c:yVal>
            <c:numRef>
              <c:f>'Performance Standards'!$V$256:$X$256</c:f>
              <c:numCache>
                <c:formatCode>General</c:formatCode>
                <c:ptCount val="3"/>
                <c:pt idx="0">
                  <c:v>0.69</c:v>
                </c:pt>
                <c:pt idx="1">
                  <c:v>0.7</c:v>
                </c:pt>
                <c:pt idx="2">
                  <c:v>1</c:v>
                </c:pt>
              </c:numCache>
            </c:numRef>
          </c:yVal>
          <c:smooth val="0"/>
          <c:extLst xmlns:c16r2="http://schemas.microsoft.com/office/drawing/2015/06/chart">
            <c:ext xmlns:c16="http://schemas.microsoft.com/office/drawing/2014/chart" uri="{C3380CC4-5D6E-409C-BE32-E72D297353CC}">
              <c16:uniqueId val="{00000002-8852-4BEC-9A4F-787699323494}"/>
            </c:ext>
          </c:extLst>
        </c:ser>
        <c:ser>
          <c:idx val="2"/>
          <c:order val="2"/>
          <c:tx>
            <c:strRef>
              <c:f>'Performance Standards'!$U$258</c:f>
              <c:strCache>
                <c:ptCount val="1"/>
                <c:pt idx="0">
                  <c:v>56 - 100</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3"/>
            <c:dispRSqr val="0"/>
            <c:dispEq val="1"/>
            <c:trendlineLbl>
              <c:layout>
                <c:manualLayout>
                  <c:x val="-1.5157296595239482E-2"/>
                  <c:y val="-0.4283361054713557"/>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Standards'!$S$255:$V$255</c:f>
              <c:numCache>
                <c:formatCode>General</c:formatCode>
                <c:ptCount val="4"/>
                <c:pt idx="0">
                  <c:v>100</c:v>
                </c:pt>
                <c:pt idx="1">
                  <c:v>76</c:v>
                </c:pt>
                <c:pt idx="3">
                  <c:v>56</c:v>
                </c:pt>
              </c:numCache>
            </c:numRef>
          </c:xVal>
          <c:yVal>
            <c:numRef>
              <c:f>'Performance Standards'!$S$256:$V$256</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4-8852-4BEC-9A4F-787699323494}"/>
            </c:ext>
          </c:extLst>
        </c:ser>
        <c:dLbls>
          <c:showLegendKey val="0"/>
          <c:showVal val="0"/>
          <c:showCatName val="0"/>
          <c:showSerName val="0"/>
          <c:showPercent val="0"/>
          <c:showBubbleSize val="0"/>
        </c:dLbls>
        <c:axId val="457237712"/>
        <c:axId val="457240848"/>
      </c:scatterChart>
      <c:valAx>
        <c:axId val="457237712"/>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0848"/>
        <c:crosses val="autoZero"/>
        <c:crossBetween val="midCat"/>
      </c:valAx>
      <c:valAx>
        <c:axId val="4572408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37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Woody Vegetation Cover</a:t>
            </a:r>
            <a:r>
              <a:rPr lang="en-US" baseline="0"/>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366731765466674E-2"/>
          <c:y val="0.10951773351071571"/>
          <c:w val="0.8944792865019443"/>
          <c:h val="0.64740066764843873"/>
        </c:manualLayout>
      </c:layout>
      <c:scatterChart>
        <c:scatterStyle val="lineMarker"/>
        <c:varyColors val="0"/>
        <c:ser>
          <c:idx val="0"/>
          <c:order val="0"/>
          <c:tx>
            <c:strRef>
              <c:f>'Performance Standards'!$R$184</c:f>
              <c:strCache>
                <c:ptCount val="1"/>
                <c:pt idx="0">
                  <c:v>Mountains Forested, Scrub-Shrub</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1414531082128003"/>
                  <c:y val="0.34836466039359715"/>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Standards'!$S$184:$X$184</c:f>
              <c:numCache>
                <c:formatCode>General</c:formatCode>
                <c:ptCount val="6"/>
                <c:pt idx="0">
                  <c:v>0</c:v>
                </c:pt>
                <c:pt idx="1">
                  <c:v>35</c:v>
                </c:pt>
                <c:pt idx="2">
                  <c:v>36</c:v>
                </c:pt>
                <c:pt idx="3">
                  <c:v>65</c:v>
                </c:pt>
                <c:pt idx="4">
                  <c:v>66</c:v>
                </c:pt>
                <c:pt idx="5">
                  <c:v>90</c:v>
                </c:pt>
              </c:numCache>
            </c:numRef>
          </c:xVal>
          <c:yVal>
            <c:numRef>
              <c:f>'Performance Standards'!$S$187:$X$187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7CDC-4922-9C91-A89B7E2D2440}"/>
            </c:ext>
          </c:extLst>
        </c:ser>
        <c:ser>
          <c:idx val="1"/>
          <c:order val="1"/>
          <c:tx>
            <c:strRef>
              <c:f>'Performance Standards'!$R$185</c:f>
              <c:strCache>
                <c:ptCount val="1"/>
                <c:pt idx="0">
                  <c:v>Basins Forested, Scrub-Shrub</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3"/>
            <c:dispRSqr val="0"/>
            <c:dispEq val="1"/>
            <c:trendlineLbl>
              <c:layout>
                <c:manualLayout>
                  <c:x val="9.5944410517176199E-2"/>
                  <c:y val="-5.5703348024756072E-2"/>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Standards'!$S$185:$X$185</c:f>
              <c:numCache>
                <c:formatCode>0</c:formatCode>
                <c:ptCount val="6"/>
                <c:pt idx="0">
                  <c:v>0</c:v>
                </c:pt>
                <c:pt idx="1">
                  <c:v>30</c:v>
                </c:pt>
                <c:pt idx="2">
                  <c:v>31</c:v>
                </c:pt>
                <c:pt idx="3">
                  <c:v>60</c:v>
                </c:pt>
                <c:pt idx="4">
                  <c:v>61</c:v>
                </c:pt>
                <c:pt idx="5">
                  <c:v>90</c:v>
                </c:pt>
              </c:numCache>
            </c:numRef>
          </c:xVal>
          <c:yVal>
            <c:numRef>
              <c:f>'Performance Standards'!$S$187:$X$187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2-7CDC-4922-9C91-A89B7E2D2440}"/>
            </c:ext>
          </c:extLst>
        </c:ser>
        <c:ser>
          <c:idx val="2"/>
          <c:order val="2"/>
          <c:tx>
            <c:strRef>
              <c:f>'Performance Standards'!$R$186</c:f>
              <c:strCache>
                <c:ptCount val="1"/>
                <c:pt idx="0">
                  <c:v>Plains Forested, Scrub-Shrub</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3"/>
            <c:dispRSqr val="0"/>
            <c:dispEq val="1"/>
            <c:trendlineLbl>
              <c:layout>
                <c:manualLayout>
                  <c:x val="-0.16429195161432755"/>
                  <c:y val="6.3062738400201254E-2"/>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trendlineLbl>
          </c:trendline>
          <c:xVal>
            <c:numRef>
              <c:f>'Performance Standards'!$S$186:$X$186</c:f>
              <c:numCache>
                <c:formatCode>0</c:formatCode>
                <c:ptCount val="6"/>
                <c:pt idx="0">
                  <c:v>0</c:v>
                </c:pt>
                <c:pt idx="1">
                  <c:v>25</c:v>
                </c:pt>
                <c:pt idx="2">
                  <c:v>26</c:v>
                </c:pt>
                <c:pt idx="3">
                  <c:v>45</c:v>
                </c:pt>
                <c:pt idx="4">
                  <c:v>46</c:v>
                </c:pt>
                <c:pt idx="5">
                  <c:v>75</c:v>
                </c:pt>
              </c:numCache>
            </c:numRef>
          </c:xVal>
          <c:yVal>
            <c:numRef>
              <c:f>'Performance Standards'!$S$187:$X$187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7CDC-4922-9C91-A89B7E2D2440}"/>
            </c:ext>
          </c:extLst>
        </c:ser>
        <c:dLbls>
          <c:showLegendKey val="0"/>
          <c:showVal val="0"/>
          <c:showCatName val="0"/>
          <c:showSerName val="0"/>
          <c:showPercent val="0"/>
          <c:showBubbleSize val="0"/>
        </c:dLbls>
        <c:axId val="457241240"/>
        <c:axId val="457242024"/>
      </c:scatterChart>
      <c:valAx>
        <c:axId val="457241240"/>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2024"/>
        <c:crosses val="autoZero"/>
        <c:crossBetween val="midCat"/>
      </c:valAx>
      <c:valAx>
        <c:axId val="457242024"/>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12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BHR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339548617971362"/>
                  <c:y val="-0.545054908762879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Standards'!$K$10:$P$10</c:f>
              <c:numCache>
                <c:formatCode>General</c:formatCode>
                <c:ptCount val="6"/>
                <c:pt idx="1">
                  <c:v>1.6</c:v>
                </c:pt>
                <c:pt idx="2">
                  <c:v>1.5</c:v>
                </c:pt>
                <c:pt idx="4">
                  <c:v>1.2</c:v>
                </c:pt>
                <c:pt idx="5">
                  <c:v>1</c:v>
                </c:pt>
              </c:numCache>
            </c:numRef>
          </c:xVal>
          <c:yVal>
            <c:numRef>
              <c:f>'Performance Standards'!$K$11:$P$11</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266-4796-88E9-230BE821F3E6}"/>
            </c:ext>
          </c:extLst>
        </c:ser>
        <c:ser>
          <c:idx val="1"/>
          <c:order val="1"/>
          <c:spPr>
            <a:ln w="25400" cap="rnd">
              <a:solidFill>
                <a:srgbClr val="FF0000"/>
              </a:solidFill>
              <a:round/>
            </a:ln>
            <a:effectLst/>
          </c:spPr>
          <c:marker>
            <c:symbol val="none"/>
          </c:marker>
          <c:xVal>
            <c:numLit>
              <c:formatCode>General</c:formatCode>
              <c:ptCount val="2"/>
              <c:pt idx="0">
                <c:v>1.61</c:v>
              </c:pt>
              <c:pt idx="1">
                <c:v>1.8</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1-42DB-4A1D-8764-4AC5BCCDC40D}"/>
            </c:ext>
          </c:extLst>
        </c:ser>
        <c:dLbls>
          <c:showLegendKey val="0"/>
          <c:showVal val="0"/>
          <c:showCatName val="0"/>
          <c:showSerName val="0"/>
          <c:showPercent val="0"/>
          <c:showBubbleSize val="0"/>
        </c:dLbls>
        <c:axId val="436637040"/>
        <c:axId val="453853440"/>
      </c:scatterChart>
      <c:valAx>
        <c:axId val="436637040"/>
        <c:scaling>
          <c:orientation val="minMax"/>
          <c:max val="1.8"/>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3440"/>
        <c:crosses val="autoZero"/>
        <c:crossBetween val="midCat"/>
      </c:valAx>
      <c:valAx>
        <c:axId val="4538534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37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a:t>
            </a:r>
            <a:r>
              <a:rPr lang="en-US" baseline="0"/>
              <a:t> - # Pieces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247038986746577E-2"/>
          <c:y val="0.11420882693026213"/>
          <c:w val="0.73902936676158193"/>
          <c:h val="0.81435825468959011"/>
        </c:manualLayout>
      </c:layout>
      <c:scatterChart>
        <c:scatterStyle val="lineMarker"/>
        <c:varyColors val="0"/>
        <c:ser>
          <c:idx val="0"/>
          <c:order val="0"/>
          <c:tx>
            <c:strRef>
              <c:f>'Performance Standards'!$S$48</c:f>
              <c:strCache>
                <c:ptCount val="1"/>
                <c:pt idx="0">
                  <c:v>NF &amp; 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23174166791854484"/>
                  <c:y val="0.2245479400377146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Standards'!$S$44:$W$44</c:f>
              <c:numCache>
                <c:formatCode>General</c:formatCode>
                <c:ptCount val="5"/>
                <c:pt idx="0">
                  <c:v>0</c:v>
                </c:pt>
                <c:pt idx="2">
                  <c:v>10</c:v>
                </c:pt>
                <c:pt idx="4">
                  <c:v>15</c:v>
                </c:pt>
              </c:numCache>
            </c:numRef>
          </c:xVal>
          <c:yVal>
            <c:numRef>
              <c:f>'Performance Standards'!$S$45:$W$45</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87EE-4953-ABFC-8573E61609C8}"/>
            </c:ext>
          </c:extLst>
        </c:ser>
        <c:ser>
          <c:idx val="1"/>
          <c:order val="1"/>
          <c:tx>
            <c:strRef>
              <c:f>'Performance Standards'!$T$48</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8.5768272573100282E-2"/>
                  <c:y val="3.5351919891935752E-3"/>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Standards'!$W$44:$X$44</c:f>
              <c:numCache>
                <c:formatCode>General</c:formatCode>
                <c:ptCount val="2"/>
                <c:pt idx="0">
                  <c:v>15</c:v>
                </c:pt>
                <c:pt idx="1">
                  <c:v>30</c:v>
                </c:pt>
              </c:numCache>
            </c:numRef>
          </c:xVal>
          <c:yVal>
            <c:numRef>
              <c:f>'Performance Standards'!$W$45:$X$45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3-87EE-4953-ABFC-8573E61609C8}"/>
            </c:ext>
          </c:extLst>
        </c:ser>
        <c:dLbls>
          <c:showLegendKey val="0"/>
          <c:showVal val="0"/>
          <c:showCatName val="0"/>
          <c:showSerName val="0"/>
          <c:showPercent val="0"/>
          <c:showBubbleSize val="0"/>
        </c:dLbls>
        <c:axId val="457241632"/>
        <c:axId val="457243200"/>
      </c:scatterChart>
      <c:valAx>
        <c:axId val="45724163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3200"/>
        <c:crosses val="autoZero"/>
        <c:crossBetween val="midCat"/>
      </c:valAx>
      <c:valAx>
        <c:axId val="45724320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16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Bed</a:t>
            </a:r>
            <a:r>
              <a:rPr lang="en-US" baseline="0"/>
              <a:t> Material Characterization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3127412676013761"/>
                  <c:y val="8.9225062004300693E-2"/>
                </c:manualLayout>
              </c:layout>
              <c:numFmt formatCode="#,##0.000" sourceLinked="0"/>
              <c:spPr>
                <a:noFill/>
                <a:ln>
                  <a:noFill/>
                </a:ln>
                <a:effectLst/>
              </c:spPr>
              <c:txPr>
                <a:bodyPr rot="0" spcFirstLastPara="1" vertOverflow="ellipsis" vert="horz" wrap="square" anchor="ctr" anchorCtr="1"/>
                <a:lstStyle/>
                <a:p>
                  <a:pPr>
                    <a:defRPr sz="1000" b="0" i="0" u="none" strike="noStrike" kern="1200" baseline="0">
                      <a:solidFill>
                        <a:schemeClr val="accent1"/>
                      </a:solidFill>
                      <a:latin typeface="+mn-lt"/>
                      <a:ea typeface="+mn-ea"/>
                      <a:cs typeface="+mn-cs"/>
                    </a:defRPr>
                  </a:pPr>
                  <a:endParaRPr lang="en-US"/>
                </a:p>
              </c:txPr>
            </c:trendlineLbl>
          </c:trendline>
          <c:xVal>
            <c:numRef>
              <c:f>'Performance Standards'!$S$460:$W$460</c:f>
              <c:numCache>
                <c:formatCode>General</c:formatCode>
                <c:ptCount val="5"/>
                <c:pt idx="0">
                  <c:v>0.01</c:v>
                </c:pt>
                <c:pt idx="1">
                  <c:v>0.05</c:v>
                </c:pt>
                <c:pt idx="3">
                  <c:v>0.1</c:v>
                </c:pt>
              </c:numCache>
            </c:numRef>
          </c:xVal>
          <c:yVal>
            <c:numRef>
              <c:f>'Performance Standards'!$S$461:$W$461</c:f>
              <c:numCache>
                <c:formatCode>General</c:formatCode>
                <c:ptCount val="5"/>
                <c:pt idx="0">
                  <c:v>0</c:v>
                </c:pt>
                <c:pt idx="1">
                  <c:v>0.28999999999999998</c:v>
                </c:pt>
                <c:pt idx="2">
                  <c:v>0.3</c:v>
                </c:pt>
                <c:pt idx="3" formatCode="0.00">
                  <c:v>0.65200000000000002</c:v>
                </c:pt>
                <c:pt idx="4">
                  <c:v>0.7</c:v>
                </c:pt>
              </c:numCache>
            </c:numRef>
          </c:yVal>
          <c:smooth val="0"/>
          <c:extLst xmlns:c16r2="http://schemas.microsoft.com/office/drawing/2015/06/chart">
            <c:ext xmlns:c16="http://schemas.microsoft.com/office/drawing/2014/chart" uri="{C3380CC4-5D6E-409C-BE32-E72D297353CC}">
              <c16:uniqueId val="{00000001-C2FC-48C4-8C75-FA129180E940}"/>
            </c:ext>
          </c:extLst>
        </c:ser>
        <c:ser>
          <c:idx val="1"/>
          <c:order val="1"/>
          <c:spPr>
            <a:ln w="25400" cap="rnd">
              <a:solidFill>
                <a:srgbClr val="FF0000"/>
              </a:solidFill>
              <a:round/>
            </a:ln>
            <a:effectLst/>
          </c:spPr>
          <c:marker>
            <c:symbol val="none"/>
          </c:marker>
          <c:xVal>
            <c:numLit>
              <c:formatCode>General</c:formatCode>
              <c:ptCount val="2"/>
              <c:pt idx="0">
                <c:v>0.10100000000000001</c:v>
              </c:pt>
              <c:pt idx="1">
                <c:v>0.12</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2-C2FC-48C4-8C75-FA129180E940}"/>
            </c:ext>
          </c:extLst>
        </c:ser>
        <c:dLbls>
          <c:showLegendKey val="0"/>
          <c:showVal val="0"/>
          <c:showCatName val="0"/>
          <c:showSerName val="0"/>
          <c:showPercent val="0"/>
          <c:showBubbleSize val="0"/>
        </c:dLbls>
        <c:axId val="457243592"/>
        <c:axId val="457236928"/>
      </c:scatterChart>
      <c:valAx>
        <c:axId val="457243592"/>
        <c:scaling>
          <c:orientation val="minMax"/>
          <c:max val="0.12000000000000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36928"/>
        <c:crosses val="autoZero"/>
        <c:crossBetween val="midCat"/>
      </c:valAx>
      <c:valAx>
        <c:axId val="4572369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2435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Greenline</a:t>
            </a:r>
            <a:r>
              <a:rPr lang="en-US" baseline="0"/>
              <a:t> Stability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9.0956975041373705E-2"/>
                  <c:y val="0.4474577594336949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Standards'!$S$426:$X$426</c:f>
              <c:numCache>
                <c:formatCode>General</c:formatCode>
                <c:ptCount val="6"/>
                <c:pt idx="0">
                  <c:v>2</c:v>
                </c:pt>
                <c:pt idx="1">
                  <c:v>4.9000000000000004</c:v>
                </c:pt>
                <c:pt idx="2">
                  <c:v>5</c:v>
                </c:pt>
                <c:pt idx="3">
                  <c:v>6.9</c:v>
                </c:pt>
                <c:pt idx="4">
                  <c:v>7</c:v>
                </c:pt>
                <c:pt idx="5">
                  <c:v>9</c:v>
                </c:pt>
              </c:numCache>
            </c:numRef>
          </c:xVal>
          <c:yVal>
            <c:numRef>
              <c:f>'Performance Standards'!$S$427:$X$427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D27E-4F7D-9FC4-79B9E1465D8E}"/>
            </c:ext>
          </c:extLst>
        </c:ser>
        <c:dLbls>
          <c:showLegendKey val="0"/>
          <c:showVal val="0"/>
          <c:showCatName val="0"/>
          <c:showSerName val="0"/>
          <c:showPercent val="0"/>
          <c:showBubbleSize val="0"/>
        </c:dLbls>
        <c:axId val="436639000"/>
        <c:axId val="457669408"/>
      </c:scatterChart>
      <c:valAx>
        <c:axId val="436639000"/>
        <c:scaling>
          <c:orientation val="minMax"/>
          <c:max val="1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669408"/>
        <c:crosses val="autoZero"/>
        <c:crossBetween val="midCat"/>
      </c:valAx>
      <c:valAx>
        <c:axId val="45766940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39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Cover</a:t>
            </a:r>
            <a:r>
              <a:rPr lang="en-US" baseline="0"/>
              <a:t> (%) - Forested, Scrub-Shrub - Alluvial Valley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Standards'!$S$291</c:f>
              <c:strCache>
                <c:ptCount val="1"/>
                <c:pt idx="0">
                  <c:v>0 - 70</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290450748820645"/>
                  <c:y val="-3.6367401574606689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'Performance Standards'!$S$287:$X$287</c:f>
              <c:numCache>
                <c:formatCode>General</c:formatCode>
                <c:ptCount val="6"/>
                <c:pt idx="0">
                  <c:v>0</c:v>
                </c:pt>
                <c:pt idx="2">
                  <c:v>11</c:v>
                </c:pt>
                <c:pt idx="4">
                  <c:v>31</c:v>
                </c:pt>
                <c:pt idx="5">
                  <c:v>70</c:v>
                </c:pt>
              </c:numCache>
            </c:numRef>
          </c:xVal>
          <c:yVal>
            <c:numRef>
              <c:f>'Performance Standards'!$S$289:$X$289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5243-4B4E-8450-62880AC67642}"/>
            </c:ext>
          </c:extLst>
        </c:ser>
        <c:ser>
          <c:idx val="1"/>
          <c:order val="1"/>
          <c:tx>
            <c:strRef>
              <c:f>'Performance Standards'!$T$291</c:f>
              <c:strCache>
                <c:ptCount val="1"/>
                <c:pt idx="0">
                  <c:v>71 - 100</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4824651824600207"/>
                  <c:y val="-0.1343710118675594"/>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Standards'!$S$288:$V$288</c:f>
              <c:numCache>
                <c:formatCode>General</c:formatCode>
                <c:ptCount val="4"/>
                <c:pt idx="0">
                  <c:v>100</c:v>
                </c:pt>
                <c:pt idx="1">
                  <c:v>86</c:v>
                </c:pt>
                <c:pt idx="3">
                  <c:v>71</c:v>
                </c:pt>
              </c:numCache>
            </c:numRef>
          </c:xVal>
          <c:yVal>
            <c:numRef>
              <c:f>'Performance Standards'!$S$289:$X$289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5243-4B4E-8450-62880AC67642}"/>
            </c:ext>
          </c:extLst>
        </c:ser>
        <c:dLbls>
          <c:showLegendKey val="0"/>
          <c:showVal val="0"/>
          <c:showCatName val="0"/>
          <c:showSerName val="0"/>
          <c:showPercent val="0"/>
          <c:showBubbleSize val="0"/>
        </c:dLbls>
        <c:axId val="457671760"/>
        <c:axId val="457670976"/>
      </c:scatterChart>
      <c:valAx>
        <c:axId val="457671760"/>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670976"/>
        <c:crosses val="autoZero"/>
        <c:crossBetween val="midCat"/>
      </c:valAx>
      <c:valAx>
        <c:axId val="457670976"/>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6717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a:t>
            </a:r>
            <a:r>
              <a:rPr lang="en-US" baseline="0"/>
              <a:t> for C, Cb and E Streams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4568012552986247E-2"/>
                  <c:y val="0.14683235904430669"/>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1"/>
                        </a:solidFill>
                      </a:rPr>
                      <a:t>y = 1x - 1.7</a:t>
                    </a:r>
                    <a:endParaRPr lang="en-US">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Standards'!$K$44:$O$44</c:f>
              <c:numCache>
                <c:formatCode>General</c:formatCode>
                <c:ptCount val="5"/>
                <c:pt idx="2">
                  <c:v>2</c:v>
                </c:pt>
                <c:pt idx="4">
                  <c:v>2.4</c:v>
                </c:pt>
              </c:numCache>
            </c:numRef>
          </c:xVal>
          <c:yVal>
            <c:numRef>
              <c:f>'Performance Standards'!$K$45:$O$45</c:f>
              <c:numCache>
                <c:formatCode>General</c:formatCode>
                <c:ptCount val="5"/>
                <c:pt idx="0">
                  <c:v>0</c:v>
                </c:pt>
                <c:pt idx="1">
                  <c:v>0.28999999999999998</c:v>
                </c:pt>
                <c:pt idx="2">
                  <c:v>0.3</c:v>
                </c:pt>
                <c:pt idx="3">
                  <c:v>0.6</c:v>
                </c:pt>
                <c:pt idx="4">
                  <c:v>0.7</c:v>
                </c:pt>
              </c:numCache>
            </c:numRef>
          </c:yVal>
          <c:smooth val="0"/>
          <c:extLst xmlns:c16r2="http://schemas.microsoft.com/office/drawing/2015/06/char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8817965508072475E-3"/>
                  <c:y val="0.122405795921577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2"/>
                        </a:solidFill>
                      </a:rPr>
                      <a:t>y = 0.1154x + 0.4231</a:t>
                    </a:r>
                    <a:endParaRPr lang="en-US">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Standards'!$O$44:$P$44</c:f>
              <c:numCache>
                <c:formatCode>General</c:formatCode>
                <c:ptCount val="2"/>
                <c:pt idx="0">
                  <c:v>2.4</c:v>
                </c:pt>
                <c:pt idx="1">
                  <c:v>5</c:v>
                </c:pt>
              </c:numCache>
            </c:numRef>
          </c:xVal>
          <c:yVal>
            <c:numRef>
              <c:f>'Performance Standards'!$O$45:$P$45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FBB7-4035-A17D-E0D766088381}"/>
            </c:ext>
          </c:extLst>
        </c:ser>
        <c:ser>
          <c:idx val="2"/>
          <c:order val="2"/>
          <c:spPr>
            <a:ln w="25400" cap="rnd">
              <a:solidFill>
                <a:srgbClr val="FF0000"/>
              </a:solidFill>
              <a:round/>
            </a:ln>
            <a:effectLst/>
          </c:spPr>
          <c:marker>
            <c:symbol val="none"/>
          </c:marker>
          <c:xVal>
            <c:numLit>
              <c:formatCode>General</c:formatCode>
              <c:ptCount val="2"/>
              <c:pt idx="0">
                <c:v>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51C7-4277-99C3-8671EE365B73}"/>
            </c:ext>
          </c:extLst>
        </c:ser>
        <c:dLbls>
          <c:showLegendKey val="0"/>
          <c:showVal val="0"/>
          <c:showCatName val="0"/>
          <c:showSerName val="0"/>
          <c:showPercent val="0"/>
          <c:showBubbleSize val="0"/>
        </c:dLbls>
        <c:axId val="453857360"/>
        <c:axId val="453854616"/>
      </c:scatterChart>
      <c:valAx>
        <c:axId val="453857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4616"/>
        <c:crosses val="autoZero"/>
        <c:crossBetween val="midCat"/>
      </c:valAx>
      <c:valAx>
        <c:axId val="45385461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7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 for A, B, Ba and Bc Streams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4.1485129618198141E-2"/>
                  <c:y val="0.1553228735419383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1"/>
                        </a:solidFill>
                      </a:rPr>
                      <a:t>y = 2x - 2.1</a:t>
                    </a:r>
                    <a:endParaRPr lang="en-US">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Standards'!$K$79:$O$79</c:f>
              <c:numCache>
                <c:formatCode>General</c:formatCode>
                <c:ptCount val="5"/>
                <c:pt idx="2">
                  <c:v>1.2</c:v>
                </c:pt>
                <c:pt idx="4">
                  <c:v>1.4</c:v>
                </c:pt>
              </c:numCache>
            </c:numRef>
          </c:xVal>
          <c:yVal>
            <c:numRef>
              <c:f>'Performance Standards'!$K$80:$O$80</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7890770611723942E-2"/>
                  <c:y val="2.2653159754645828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solidFill>
                          <a:schemeClr val="accent2"/>
                        </a:solidFill>
                      </a:rPr>
                      <a:t>y = 0.375x + 0.175</a:t>
                    </a:r>
                    <a:endParaRPr lang="en-US">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Standards'!$O$79:$P$79</c:f>
              <c:numCache>
                <c:formatCode>General</c:formatCode>
                <c:ptCount val="2"/>
                <c:pt idx="0">
                  <c:v>1.4</c:v>
                </c:pt>
                <c:pt idx="1">
                  <c:v>2.2000000000000002</c:v>
                </c:pt>
              </c:numCache>
            </c:numRef>
          </c:xVal>
          <c:yVal>
            <c:numRef>
              <c:f>'Performance Standards'!$O$80:$P$80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EF40-4FA8-8C0D-00C8C3EA5E04}"/>
            </c:ext>
          </c:extLst>
        </c:ser>
        <c:ser>
          <c:idx val="2"/>
          <c:order val="2"/>
          <c:spPr>
            <a:ln w="25400" cap="rnd">
              <a:solidFill>
                <a:srgbClr val="FF0000"/>
              </a:solidFill>
              <a:round/>
            </a:ln>
            <a:effectLst/>
          </c:spPr>
          <c:marker>
            <c:symbol val="none"/>
          </c:marker>
          <c:xVal>
            <c:numLit>
              <c:formatCode>General</c:formatCode>
              <c:ptCount val="2"/>
              <c:pt idx="0">
                <c:v>1.19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A8A5-4D19-AF0F-196591C04FE0}"/>
            </c:ext>
          </c:extLst>
        </c:ser>
        <c:dLbls>
          <c:showLegendKey val="0"/>
          <c:showVal val="0"/>
          <c:showCatName val="0"/>
          <c:showSerName val="0"/>
          <c:showPercent val="0"/>
          <c:showBubbleSize val="0"/>
        </c:dLbls>
        <c:axId val="453855008"/>
        <c:axId val="453855792"/>
      </c:scatterChart>
      <c:valAx>
        <c:axId val="45385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5792"/>
        <c:crosses val="autoZero"/>
        <c:crossBetween val="midCat"/>
      </c:valAx>
      <c:valAx>
        <c:axId val="4538557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5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LWDI</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Standards'!$S$14</c:f>
              <c:strCache>
                <c:ptCount val="1"/>
                <c:pt idx="0">
                  <c:v>NF &amp; 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4928611493115921"/>
                  <c:y val="0.31759493888320894"/>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en-US"/>
                </a:p>
              </c:txPr>
            </c:trendlineLbl>
          </c:trendline>
          <c:xVal>
            <c:numRef>
              <c:f>'Performance Standards'!$S$10:$W$10</c:f>
              <c:numCache>
                <c:formatCode>General</c:formatCode>
                <c:ptCount val="5"/>
                <c:pt idx="0">
                  <c:v>0</c:v>
                </c:pt>
                <c:pt idx="2">
                  <c:v>200</c:v>
                </c:pt>
                <c:pt idx="4">
                  <c:v>300</c:v>
                </c:pt>
              </c:numCache>
            </c:numRef>
          </c:xVal>
          <c:yVal>
            <c:numRef>
              <c:f>'Performance Standards'!$S$11:$W$11</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7D9C-4895-B98E-45CEF21B931D}"/>
            </c:ext>
          </c:extLst>
        </c:ser>
        <c:ser>
          <c:idx val="1"/>
          <c:order val="1"/>
          <c:tx>
            <c:strRef>
              <c:f>'Performance Standards'!$T$14</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6.0505479950161553E-3"/>
                  <c:y val="9.8905178123550638E-2"/>
                </c:manualLayout>
              </c:layout>
              <c:numFmt formatCode="#,##0.000"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'Performance Standards'!$W$10:$X$10</c:f>
              <c:numCache>
                <c:formatCode>General</c:formatCode>
                <c:ptCount val="2"/>
                <c:pt idx="0">
                  <c:v>300</c:v>
                </c:pt>
                <c:pt idx="1">
                  <c:v>600</c:v>
                </c:pt>
              </c:numCache>
            </c:numRef>
          </c:xVal>
          <c:yVal>
            <c:numRef>
              <c:f>'Performance Standards'!$W$11:$X$11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2777-4E45-B140-67A5ECEFF695}"/>
            </c:ext>
          </c:extLst>
        </c:ser>
        <c:dLbls>
          <c:showLegendKey val="0"/>
          <c:showVal val="0"/>
          <c:showCatName val="0"/>
          <c:showSerName val="0"/>
          <c:showPercent val="0"/>
          <c:showBubbleSize val="0"/>
        </c:dLbls>
        <c:axId val="453852656"/>
        <c:axId val="453850304"/>
      </c:scatterChart>
      <c:valAx>
        <c:axId val="453852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0304"/>
        <c:crosses val="autoZero"/>
        <c:crossBetween val="midCat"/>
      </c:valAx>
      <c:valAx>
        <c:axId val="4538503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2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Bc Stream</a:t>
            </a:r>
            <a:r>
              <a:rPr lang="en-US" baseline="0"/>
              <a:t> Types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22297086400233893"/>
                  <c:y val="-0.3590787692340109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Standards'!$S$594:$X$594</c:f>
              <c:numCache>
                <c:formatCode>General</c:formatCode>
                <c:ptCount val="6"/>
                <c:pt idx="0" formatCode="0.0">
                  <c:v>9.2488639081559434</c:v>
                </c:pt>
                <c:pt idx="2">
                  <c:v>8</c:v>
                </c:pt>
                <c:pt idx="4">
                  <c:v>6</c:v>
                </c:pt>
                <c:pt idx="5">
                  <c:v>4</c:v>
                </c:pt>
              </c:numCache>
            </c:numRef>
          </c:xVal>
          <c:yVal>
            <c:numRef>
              <c:f>'Performance Standards'!$S$595:$X$595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2D8B-439A-A86A-F9817A30EAA5}"/>
            </c:ext>
          </c:extLst>
        </c:ser>
        <c:dLbls>
          <c:showLegendKey val="0"/>
          <c:showVal val="0"/>
          <c:showCatName val="0"/>
          <c:showSerName val="0"/>
          <c:showPercent val="0"/>
          <c:showBubbleSize val="0"/>
        </c:dLbls>
        <c:axId val="453852264"/>
        <c:axId val="453853048"/>
      </c:scatterChart>
      <c:valAx>
        <c:axId val="453852264"/>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3048"/>
        <c:crosses val="autoZero"/>
        <c:crossBetween val="midCat"/>
      </c:valAx>
      <c:valAx>
        <c:axId val="4538530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852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9" Type="http://schemas.openxmlformats.org/officeDocument/2006/relationships/chart" Target="../charts/chart43.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42" Type="http://schemas.openxmlformats.org/officeDocument/2006/relationships/chart" Target="../charts/chart46.xml"/><Relationship Id="rId47" Type="http://schemas.openxmlformats.org/officeDocument/2006/relationships/chart" Target="../charts/chart51.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38" Type="http://schemas.openxmlformats.org/officeDocument/2006/relationships/chart" Target="../charts/chart42.xml"/><Relationship Id="rId46" Type="http://schemas.openxmlformats.org/officeDocument/2006/relationships/chart" Target="../charts/chart50.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41" Type="http://schemas.openxmlformats.org/officeDocument/2006/relationships/chart" Target="../charts/chart45.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37" Type="http://schemas.openxmlformats.org/officeDocument/2006/relationships/chart" Target="../charts/chart41.xml"/><Relationship Id="rId40" Type="http://schemas.openxmlformats.org/officeDocument/2006/relationships/chart" Target="../charts/chart44.xml"/><Relationship Id="rId45" Type="http://schemas.openxmlformats.org/officeDocument/2006/relationships/chart" Target="../charts/chart49.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49" Type="http://schemas.openxmlformats.org/officeDocument/2006/relationships/chart" Target="../charts/chart53.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4" Type="http://schemas.openxmlformats.org/officeDocument/2006/relationships/chart" Target="../charts/chart48.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43" Type="http://schemas.openxmlformats.org/officeDocument/2006/relationships/chart" Target="../charts/chart47.xml"/><Relationship Id="rId48" Type="http://schemas.openxmlformats.org/officeDocument/2006/relationships/chart" Target="../charts/chart52.xml"/><Relationship Id="rId8"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38660</xdr:colOff>
      <xdr:row>9</xdr:row>
      <xdr:rowOff>7844</xdr:rowOff>
    </xdr:from>
    <xdr:to>
      <xdr:col>11</xdr:col>
      <xdr:colOff>571499</xdr:colOff>
      <xdr:row>16</xdr:row>
      <xdr:rowOff>177613</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48260" y="1709644"/>
          <a:ext cx="4914339" cy="1414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Expand</a:t>
          </a:r>
          <a:r>
            <a:rPr lang="en-US" sz="1100" baseline="0"/>
            <a:t> on the programmatic goals of this project:</a:t>
          </a:r>
        </a:p>
        <a:p>
          <a:endParaRPr lang="en-US" sz="1100"/>
        </a:p>
      </xdr:txBody>
    </xdr:sp>
    <xdr:clientData/>
  </xdr:twoCellAnchor>
  <xdr:twoCellAnchor>
    <xdr:from>
      <xdr:col>6</xdr:col>
      <xdr:colOff>34924</xdr:colOff>
      <xdr:row>17</xdr:row>
      <xdr:rowOff>24092</xdr:rowOff>
    </xdr:from>
    <xdr:to>
      <xdr:col>11</xdr:col>
      <xdr:colOff>558799</xdr:colOff>
      <xdr:row>25</xdr:row>
      <xdr:rowOff>43142</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644524" y="3148292"/>
          <a:ext cx="4905375" cy="144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47624</xdr:colOff>
      <xdr:row>25</xdr:row>
      <xdr:rowOff>95249</xdr:rowOff>
    </xdr:from>
    <xdr:to>
      <xdr:col>11</xdr:col>
      <xdr:colOff>571499</xdr:colOff>
      <xdr:row>33</xdr:row>
      <xdr:rowOff>85724</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57224" y="4641849"/>
          <a:ext cx="4905375" cy="141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r>
            <a:rPr lang="en-US" sz="1100" baseline="0"/>
            <a:t>Objectives: </a:t>
          </a:r>
          <a:endParaRPr lang="en-US" sz="1100"/>
        </a:p>
      </xdr:txBody>
    </xdr:sp>
    <xdr:clientData/>
  </xdr:twoCellAnchor>
  <xdr:twoCellAnchor>
    <xdr:from>
      <xdr:col>0</xdr:col>
      <xdr:colOff>109854</xdr:colOff>
      <xdr:row>35</xdr:row>
      <xdr:rowOff>10160</xdr:rowOff>
    </xdr:from>
    <xdr:to>
      <xdr:col>7</xdr:col>
      <xdr:colOff>114300</xdr:colOff>
      <xdr:row>38</xdr:row>
      <xdr:rowOff>152400</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109854" y="7439660"/>
          <a:ext cx="4608196" cy="6946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t>If you find errors or problems, please contact Paige Wolken at </a:t>
          </a:r>
          <a:r>
            <a:rPr lang="en-US" sz="1100" u="sng">
              <a:solidFill>
                <a:schemeClr val="dk1"/>
              </a:solidFill>
              <a:effectLst/>
              <a:latin typeface="+mn-lt"/>
              <a:ea typeface="+mn-ea"/>
              <a:cs typeface="+mn-cs"/>
              <a:hlinkClick xmlns:r="http://schemas.openxmlformats.org/officeDocument/2006/relationships" r:id=""/>
            </a:rPr>
            <a:t>paige.m.wolken@usace.army.mil</a:t>
          </a:r>
          <a:endParaRPr lang="en-US" sz="1100" baseline="0"/>
        </a:p>
      </xdr:txBody>
    </xdr:sp>
    <xdr:clientData/>
  </xdr:twoCellAnchor>
  <xdr:twoCellAnchor>
    <xdr:from>
      <xdr:col>0</xdr:col>
      <xdr:colOff>43890</xdr:colOff>
      <xdr:row>9</xdr:row>
      <xdr:rowOff>16808</xdr:rowOff>
    </xdr:from>
    <xdr:to>
      <xdr:col>4</xdr:col>
      <xdr:colOff>558800</xdr:colOff>
      <xdr:row>17</xdr:row>
      <xdr:rowOff>152400</xdr:rowOff>
    </xdr:to>
    <xdr:sp macro="" textlink="">
      <xdr:nvSpPr>
        <xdr:cNvPr id="7" name="TextBox 6">
          <a:extLst>
            <a:ext uri="{FF2B5EF4-FFF2-40B4-BE49-F238E27FC236}">
              <a16:creationId xmlns:a16="http://schemas.microsoft.com/office/drawing/2014/main" xmlns="" id="{22BE1E87-F535-49D8-A600-813440F7EB6D}"/>
            </a:ext>
          </a:extLst>
        </xdr:cNvPr>
        <xdr:cNvSpPr txBox="1"/>
      </xdr:nvSpPr>
      <xdr:spPr>
        <a:xfrm>
          <a:off x="43890" y="1718608"/>
          <a:ext cx="4286810" cy="1557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a:p>
          <a:endParaRPr lang="en-US" sz="1100"/>
        </a:p>
        <a:p>
          <a:r>
            <a:rPr lang="en-US" sz="1100"/>
            <a:t>This is</a:t>
          </a:r>
          <a:r>
            <a:rPr lang="en-US" sz="1100" baseline="0"/>
            <a:t> a hypotehtical example for the purpose of illustrating the SQT with loaded field values. Real data were not used.</a:t>
          </a:r>
          <a:endParaRPr lang="en-US" sz="1100"/>
        </a:p>
      </xdr:txBody>
    </xdr:sp>
    <xdr:clientData/>
  </xdr:twoCellAnchor>
  <xdr:twoCellAnchor>
    <xdr:from>
      <xdr:col>0</xdr:col>
      <xdr:colOff>38661</xdr:colOff>
      <xdr:row>22</xdr:row>
      <xdr:rowOff>20544</xdr:rowOff>
    </xdr:from>
    <xdr:to>
      <xdr:col>4</xdr:col>
      <xdr:colOff>558800</xdr:colOff>
      <xdr:row>30</xdr:row>
      <xdr:rowOff>165100</xdr:rowOff>
    </xdr:to>
    <xdr:sp macro="" textlink="">
      <xdr:nvSpPr>
        <xdr:cNvPr id="9" name="TextBox 8">
          <a:extLst>
            <a:ext uri="{FF2B5EF4-FFF2-40B4-BE49-F238E27FC236}">
              <a16:creationId xmlns:a16="http://schemas.microsoft.com/office/drawing/2014/main" xmlns="" id="{5AB35761-D32F-4605-8F9B-2C376AE914DB}"/>
            </a:ext>
          </a:extLst>
        </xdr:cNvPr>
        <xdr:cNvSpPr txBox="1"/>
      </xdr:nvSpPr>
      <xdr:spPr>
        <a:xfrm>
          <a:off x="38661" y="1722344"/>
          <a:ext cx="4292039" cy="1566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Describe the proposed project and anticipated impacts to the stream:</a:t>
          </a:r>
        </a:p>
        <a:p>
          <a:endParaRPr lang="en-US" sz="1100"/>
        </a:p>
        <a:p>
          <a:r>
            <a:rPr lang="en-US" sz="1100"/>
            <a:t>The debit tool is</a:t>
          </a:r>
          <a:r>
            <a:rPr lang="en-US" sz="1100" baseline="0"/>
            <a:t> completed using the existing condition data and the debit tool (option 2).</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59872</xdr:colOff>
      <xdr:row>31</xdr:row>
      <xdr:rowOff>57694</xdr:rowOff>
    </xdr:from>
    <xdr:to>
      <xdr:col>13</xdr:col>
      <xdr:colOff>180704</xdr:colOff>
      <xdr:row>53</xdr:row>
      <xdr:rowOff>1088</xdr:rowOff>
    </xdr:to>
    <xdr:graphicFrame macro="">
      <xdr:nvGraphicFramePr>
        <xdr:cNvPr id="2" name="Chart 1">
          <a:extLst>
            <a:ext uri="{FF2B5EF4-FFF2-40B4-BE49-F238E27FC236}">
              <a16:creationId xmlns:a16="http://schemas.microsoft.com/office/drawing/2014/main" xmlns=""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117567</xdr:colOff>
      <xdr:row>53</xdr:row>
      <xdr:rowOff>25036</xdr:rowOff>
    </xdr:from>
    <xdr:to>
      <xdr:col>13</xdr:col>
      <xdr:colOff>230779</xdr:colOff>
      <xdr:row>74</xdr:row>
      <xdr:rowOff>144779</xdr:rowOff>
    </xdr:to>
    <xdr:graphicFrame macro="">
      <xdr:nvGraphicFramePr>
        <xdr:cNvPr id="3" name="Chart 2">
          <a:extLst>
            <a:ext uri="{FF2B5EF4-FFF2-40B4-BE49-F238E27FC236}">
              <a16:creationId xmlns:a16="http://schemas.microsoft.com/office/drawing/2014/main" xmlns=""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104503</xdr:colOff>
      <xdr:row>53</xdr:row>
      <xdr:rowOff>6531</xdr:rowOff>
    </xdr:from>
    <xdr:to>
      <xdr:col>35</xdr:col>
      <xdr:colOff>343990</xdr:colOff>
      <xdr:row>74</xdr:row>
      <xdr:rowOff>126274</xdr:rowOff>
    </xdr:to>
    <xdr:graphicFrame macro="">
      <xdr:nvGraphicFramePr>
        <xdr:cNvPr id="4" name="Chart 3">
          <a:extLst>
            <a:ext uri="{FF2B5EF4-FFF2-40B4-BE49-F238E27FC236}">
              <a16:creationId xmlns:a16="http://schemas.microsoft.com/office/drawing/2014/main" xmlns=""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96883</xdr:colOff>
      <xdr:row>31</xdr:row>
      <xdr:rowOff>27215</xdr:rowOff>
    </xdr:from>
    <xdr:to>
      <xdr:col>35</xdr:col>
      <xdr:colOff>336370</xdr:colOff>
      <xdr:row>52</xdr:row>
      <xdr:rowOff>155666</xdr:rowOff>
    </xdr:to>
    <xdr:graphicFrame macro="">
      <xdr:nvGraphicFramePr>
        <xdr:cNvPr id="5" name="Chart 4">
          <a:extLst>
            <a:ext uri="{FF2B5EF4-FFF2-40B4-BE49-F238E27FC236}">
              <a16:creationId xmlns:a16="http://schemas.microsoft.com/office/drawing/2014/main" xmlns=""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16329</xdr:colOff>
      <xdr:row>16</xdr:row>
      <xdr:rowOff>58512</xdr:rowOff>
    </xdr:from>
    <xdr:to>
      <xdr:col>15</xdr:col>
      <xdr:colOff>771525</xdr:colOff>
      <xdr:row>40</xdr:row>
      <xdr:rowOff>57149</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42182</xdr:colOff>
      <xdr:row>50</xdr:row>
      <xdr:rowOff>50346</xdr:rowOff>
    </xdr:from>
    <xdr:to>
      <xdr:col>16</xdr:col>
      <xdr:colOff>0</xdr:colOff>
      <xdr:row>74</xdr:row>
      <xdr:rowOff>9525</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63954</xdr:colOff>
      <xdr:row>85</xdr:row>
      <xdr:rowOff>99331</xdr:rowOff>
    </xdr:from>
    <xdr:to>
      <xdr:col>15</xdr:col>
      <xdr:colOff>742950</xdr:colOff>
      <xdr:row>108</xdr:row>
      <xdr:rowOff>114300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22527</xdr:colOff>
      <xdr:row>17</xdr:row>
      <xdr:rowOff>70303</xdr:rowOff>
    </xdr:from>
    <xdr:to>
      <xdr:col>23</xdr:col>
      <xdr:colOff>754592</xdr:colOff>
      <xdr:row>41</xdr:row>
      <xdr:rowOff>82550</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82078</xdr:colOff>
      <xdr:row>600</xdr:row>
      <xdr:rowOff>128494</xdr:rowOff>
    </xdr:from>
    <xdr:to>
      <xdr:col>24</xdr:col>
      <xdr:colOff>619561</xdr:colOff>
      <xdr:row>622</xdr:row>
      <xdr:rowOff>170516</xdr:rowOff>
    </xdr:to>
    <xdr:graphicFrame macro="">
      <xdr:nvGraphicFramePr>
        <xdr:cNvPr id="9" name="Chart 8">
          <a:extLst>
            <a:ext uri="{FF2B5EF4-FFF2-40B4-BE49-F238E27FC236}">
              <a16:creationId xmlns:a16="http://schemas.microsoft.com/office/drawing/2014/main" xmlns=""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122464</xdr:colOff>
      <xdr:row>568</xdr:row>
      <xdr:rowOff>54428</xdr:rowOff>
    </xdr:from>
    <xdr:to>
      <xdr:col>24</xdr:col>
      <xdr:colOff>704850</xdr:colOff>
      <xdr:row>590</xdr:row>
      <xdr:rowOff>133350</xdr:rowOff>
    </xdr:to>
    <xdr:graphicFrame macro="">
      <xdr:nvGraphicFramePr>
        <xdr:cNvPr id="10" name="Chart 9">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30480</xdr:colOff>
      <xdr:row>536</xdr:row>
      <xdr:rowOff>41909</xdr:rowOff>
    </xdr:from>
    <xdr:to>
      <xdr:col>24</xdr:col>
      <xdr:colOff>678180</xdr:colOff>
      <xdr:row>559</xdr:row>
      <xdr:rowOff>32384</xdr:rowOff>
    </xdr:to>
    <xdr:graphicFrame macro="">
      <xdr:nvGraphicFramePr>
        <xdr:cNvPr id="11" name="Chart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39782</xdr:colOff>
      <xdr:row>501</xdr:row>
      <xdr:rowOff>80231</xdr:rowOff>
    </xdr:from>
    <xdr:to>
      <xdr:col>23</xdr:col>
      <xdr:colOff>687481</xdr:colOff>
      <xdr:row>524</xdr:row>
      <xdr:rowOff>80683</xdr:rowOff>
    </xdr:to>
    <xdr:graphicFrame macro="">
      <xdr:nvGraphicFramePr>
        <xdr:cNvPr id="12" name="Chart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92664</xdr:colOff>
      <xdr:row>633</xdr:row>
      <xdr:rowOff>60540</xdr:rowOff>
    </xdr:from>
    <xdr:to>
      <xdr:col>23</xdr:col>
      <xdr:colOff>760319</xdr:colOff>
      <xdr:row>656</xdr:row>
      <xdr:rowOff>11207</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19051</xdr:colOff>
      <xdr:row>769</xdr:row>
      <xdr:rowOff>32658</xdr:rowOff>
    </xdr:from>
    <xdr:to>
      <xdr:col>23</xdr:col>
      <xdr:colOff>704850</xdr:colOff>
      <xdr:row>792</xdr:row>
      <xdr:rowOff>180976</xdr:rowOff>
    </xdr:to>
    <xdr:graphicFrame macro="">
      <xdr:nvGraphicFramePr>
        <xdr:cNvPr id="14" name="Chart 13">
          <a:extLst>
            <a:ext uri="{FF2B5EF4-FFF2-40B4-BE49-F238E27FC236}">
              <a16:creationId xmlns:a16="http://schemas.microsoft.com/office/drawing/2014/main" xmlns=""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80963</xdr:colOff>
      <xdr:row>667</xdr:row>
      <xdr:rowOff>143435</xdr:rowOff>
    </xdr:from>
    <xdr:to>
      <xdr:col>23</xdr:col>
      <xdr:colOff>704850</xdr:colOff>
      <xdr:row>689</xdr:row>
      <xdr:rowOff>161926</xdr:rowOff>
    </xdr:to>
    <xdr:graphicFrame macro="">
      <xdr:nvGraphicFramePr>
        <xdr:cNvPr id="15" name="Chart 14">
          <a:extLst>
            <a:ext uri="{FF2B5EF4-FFF2-40B4-BE49-F238E27FC236}">
              <a16:creationId xmlns:a16="http://schemas.microsoft.com/office/drawing/2014/main" xmlns=""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76079</xdr:colOff>
      <xdr:row>804</xdr:row>
      <xdr:rowOff>66475</xdr:rowOff>
    </xdr:from>
    <xdr:to>
      <xdr:col>23</xdr:col>
      <xdr:colOff>704850</xdr:colOff>
      <xdr:row>826</xdr:row>
      <xdr:rowOff>95251</xdr:rowOff>
    </xdr:to>
    <xdr:graphicFrame macro="">
      <xdr:nvGraphicFramePr>
        <xdr:cNvPr id="16" name="Chart 15">
          <a:extLst>
            <a:ext uri="{FF2B5EF4-FFF2-40B4-BE49-F238E27FC236}">
              <a16:creationId xmlns:a16="http://schemas.microsoft.com/office/drawing/2014/main" xmlns=""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40822</xdr:colOff>
      <xdr:row>701</xdr:row>
      <xdr:rowOff>82322</xdr:rowOff>
    </xdr:from>
    <xdr:to>
      <xdr:col>23</xdr:col>
      <xdr:colOff>704850</xdr:colOff>
      <xdr:row>724</xdr:row>
      <xdr:rowOff>104775</xdr:rowOff>
    </xdr:to>
    <xdr:graphicFrame macro="">
      <xdr:nvGraphicFramePr>
        <xdr:cNvPr id="17" name="Chart 16">
          <a:extLst>
            <a:ext uri="{FF2B5EF4-FFF2-40B4-BE49-F238E27FC236}">
              <a16:creationId xmlns:a16="http://schemas.microsoft.com/office/drawing/2014/main" xmlns=""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61231</xdr:colOff>
      <xdr:row>534</xdr:row>
      <xdr:rowOff>0</xdr:rowOff>
    </xdr:from>
    <xdr:to>
      <xdr:col>25</xdr:col>
      <xdr:colOff>88446</xdr:colOff>
      <xdr:row>534</xdr:row>
      <xdr:rowOff>0</xdr:rowOff>
    </xdr:to>
    <xdr:graphicFrame macro="">
      <xdr:nvGraphicFramePr>
        <xdr:cNvPr id="18" name="Chart 17">
          <a:extLst>
            <a:ext uri="{FF2B5EF4-FFF2-40B4-BE49-F238E27FC236}">
              <a16:creationId xmlns:a16="http://schemas.microsoft.com/office/drawing/2014/main" xmlns=""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61232</xdr:colOff>
      <xdr:row>632</xdr:row>
      <xdr:rowOff>0</xdr:rowOff>
    </xdr:from>
    <xdr:to>
      <xdr:col>25</xdr:col>
      <xdr:colOff>88446</xdr:colOff>
      <xdr:row>632</xdr:row>
      <xdr:rowOff>0</xdr:rowOff>
    </xdr:to>
    <xdr:graphicFrame macro="">
      <xdr:nvGraphicFramePr>
        <xdr:cNvPr id="20" name="Chart 19">
          <a:extLst>
            <a:ext uri="{FF2B5EF4-FFF2-40B4-BE49-F238E27FC236}">
              <a16:creationId xmlns:a16="http://schemas.microsoft.com/office/drawing/2014/main" xmlns=""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138113</xdr:colOff>
      <xdr:row>838</xdr:row>
      <xdr:rowOff>77561</xdr:rowOff>
    </xdr:from>
    <xdr:to>
      <xdr:col>23</xdr:col>
      <xdr:colOff>695325</xdr:colOff>
      <xdr:row>857</xdr:row>
      <xdr:rowOff>57151</xdr:rowOff>
    </xdr:to>
    <xdr:graphicFrame macro="">
      <xdr:nvGraphicFramePr>
        <xdr:cNvPr id="21" name="Chart 20">
          <a:extLst>
            <a:ext uri="{FF2B5EF4-FFF2-40B4-BE49-F238E27FC236}">
              <a16:creationId xmlns:a16="http://schemas.microsoft.com/office/drawing/2014/main" xmlns=""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60325</xdr:colOff>
      <xdr:row>397</xdr:row>
      <xdr:rowOff>107950</xdr:rowOff>
    </xdr:from>
    <xdr:to>
      <xdr:col>23</xdr:col>
      <xdr:colOff>698500</xdr:colOff>
      <xdr:row>423</xdr:row>
      <xdr:rowOff>117475</xdr:rowOff>
    </xdr:to>
    <xdr:graphicFrame macro="">
      <xdr:nvGraphicFramePr>
        <xdr:cNvPr id="24" name="Chart 23">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35</xdr:col>
      <xdr:colOff>12246</xdr:colOff>
      <xdr:row>20</xdr:row>
      <xdr:rowOff>12247</xdr:rowOff>
    </xdr:from>
    <xdr:to>
      <xdr:col>43</xdr:col>
      <xdr:colOff>707572</xdr:colOff>
      <xdr:row>42</xdr:row>
      <xdr:rowOff>40822</xdr:rowOff>
    </xdr:to>
    <xdr:graphicFrame macro="">
      <xdr:nvGraphicFramePr>
        <xdr:cNvPr id="28" name="Chart 27">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35</xdr:col>
      <xdr:colOff>138110</xdr:colOff>
      <xdr:row>56</xdr:row>
      <xdr:rowOff>123825</xdr:rowOff>
    </xdr:from>
    <xdr:to>
      <xdr:col>43</xdr:col>
      <xdr:colOff>735105</xdr:colOff>
      <xdr:row>79</xdr:row>
      <xdr:rowOff>38100</xdr:rowOff>
    </xdr:to>
    <xdr:graphicFrame macro="">
      <xdr:nvGraphicFramePr>
        <xdr:cNvPr id="29" name="Chart 28">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35</xdr:col>
      <xdr:colOff>38101</xdr:colOff>
      <xdr:row>205</xdr:row>
      <xdr:rowOff>17929</xdr:rowOff>
    </xdr:from>
    <xdr:to>
      <xdr:col>43</xdr:col>
      <xdr:colOff>762000</xdr:colOff>
      <xdr:row>231</xdr:row>
      <xdr:rowOff>17929</xdr:rowOff>
    </xdr:to>
    <xdr:graphicFrame macro="">
      <xdr:nvGraphicFramePr>
        <xdr:cNvPr id="33" name="Chart 32">
          <a:extLst>
            <a:ext uri="{FF2B5EF4-FFF2-40B4-BE49-F238E27FC236}">
              <a16:creationId xmlns:a16="http://schemas.microsoft.com/office/drawing/2014/main" xmlns=""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89807</xdr:colOff>
      <xdr:row>86</xdr:row>
      <xdr:rowOff>65993</xdr:rowOff>
    </xdr:from>
    <xdr:to>
      <xdr:col>23</xdr:col>
      <xdr:colOff>711654</xdr:colOff>
      <xdr:row>109</xdr:row>
      <xdr:rowOff>72117</xdr:rowOff>
    </xdr:to>
    <xdr:graphicFrame macro="">
      <xdr:nvGraphicFramePr>
        <xdr:cNvPr id="37" name="Chart 36">
          <a:extLst>
            <a:ext uri="{FF2B5EF4-FFF2-40B4-BE49-F238E27FC236}">
              <a16:creationId xmlns:a16="http://schemas.microsoft.com/office/drawing/2014/main" xmlns=""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40369</xdr:colOff>
      <xdr:row>360</xdr:row>
      <xdr:rowOff>136980</xdr:rowOff>
    </xdr:from>
    <xdr:to>
      <xdr:col>24</xdr:col>
      <xdr:colOff>6350</xdr:colOff>
      <xdr:row>384</xdr:row>
      <xdr:rowOff>25400</xdr:rowOff>
    </xdr:to>
    <xdr:graphicFrame macro="">
      <xdr:nvGraphicFramePr>
        <xdr:cNvPr id="39" name="Chart 38">
          <a:extLst>
            <a:ext uri="{FF2B5EF4-FFF2-40B4-BE49-F238E27FC236}">
              <a16:creationId xmlns:a16="http://schemas.microsoft.com/office/drawing/2014/main" xmlns=""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26</xdr:col>
      <xdr:colOff>15874</xdr:colOff>
      <xdr:row>20</xdr:row>
      <xdr:rowOff>98522</xdr:rowOff>
    </xdr:from>
    <xdr:to>
      <xdr:col>32</xdr:col>
      <xdr:colOff>711199</xdr:colOff>
      <xdr:row>43</xdr:row>
      <xdr:rowOff>76200</xdr:rowOff>
    </xdr:to>
    <xdr:graphicFrame macro="">
      <xdr:nvGraphicFramePr>
        <xdr:cNvPr id="40" name="Chart 39">
          <a:extLst>
            <a:ext uri="{FF2B5EF4-FFF2-40B4-BE49-F238E27FC236}">
              <a16:creationId xmlns:a16="http://schemas.microsoft.com/office/drawing/2014/main" xmlns=""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142874</xdr:colOff>
      <xdr:row>362</xdr:row>
      <xdr:rowOff>0</xdr:rowOff>
    </xdr:from>
    <xdr:to>
      <xdr:col>25</xdr:col>
      <xdr:colOff>170088</xdr:colOff>
      <xdr:row>362</xdr:row>
      <xdr:rowOff>0</xdr:rowOff>
    </xdr:to>
    <xdr:graphicFrame macro="">
      <xdr:nvGraphicFramePr>
        <xdr:cNvPr id="42" name="Chart 41">
          <a:extLst>
            <a:ext uri="{FF2B5EF4-FFF2-40B4-BE49-F238E27FC236}">
              <a16:creationId xmlns:a16="http://schemas.microsoft.com/office/drawing/2014/main" xmlns=""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70757</xdr:colOff>
      <xdr:row>736</xdr:row>
      <xdr:rowOff>80962</xdr:rowOff>
    </xdr:from>
    <xdr:to>
      <xdr:col>23</xdr:col>
      <xdr:colOff>733425</xdr:colOff>
      <xdr:row>758</xdr:row>
      <xdr:rowOff>180975</xdr:rowOff>
    </xdr:to>
    <xdr:graphicFrame macro="">
      <xdr:nvGraphicFramePr>
        <xdr:cNvPr id="44" name="Chart 43">
          <a:extLst>
            <a:ext uri="{FF2B5EF4-FFF2-40B4-BE49-F238E27FC236}">
              <a16:creationId xmlns:a16="http://schemas.microsoft.com/office/drawing/2014/main" xmlns=""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26</xdr:col>
      <xdr:colOff>24494</xdr:colOff>
      <xdr:row>89</xdr:row>
      <xdr:rowOff>64635</xdr:rowOff>
    </xdr:from>
    <xdr:to>
      <xdr:col>32</xdr:col>
      <xdr:colOff>676275</xdr:colOff>
      <xdr:row>113</xdr:row>
      <xdr:rowOff>95250</xdr:rowOff>
    </xdr:to>
    <xdr:graphicFrame macro="">
      <xdr:nvGraphicFramePr>
        <xdr:cNvPr id="50" name="Chart 49">
          <a:extLst>
            <a:ext uri="{FF2B5EF4-FFF2-40B4-BE49-F238E27FC236}">
              <a16:creationId xmlns:a16="http://schemas.microsoft.com/office/drawing/2014/main" xmlns=""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26</xdr:col>
      <xdr:colOff>24494</xdr:colOff>
      <xdr:row>122</xdr:row>
      <xdr:rowOff>64635</xdr:rowOff>
    </xdr:from>
    <xdr:to>
      <xdr:col>32</xdr:col>
      <xdr:colOff>723900</xdr:colOff>
      <xdr:row>144</xdr:row>
      <xdr:rowOff>171450</xdr:rowOff>
    </xdr:to>
    <xdr:graphicFrame macro="">
      <xdr:nvGraphicFramePr>
        <xdr:cNvPr id="51" name="Chart 50">
          <a:extLst>
            <a:ext uri="{FF2B5EF4-FFF2-40B4-BE49-F238E27FC236}">
              <a16:creationId xmlns:a16="http://schemas.microsoft.com/office/drawing/2014/main" xmlns=""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29936</xdr:colOff>
      <xdr:row>121</xdr:row>
      <xdr:rowOff>44223</xdr:rowOff>
    </xdr:from>
    <xdr:to>
      <xdr:col>23</xdr:col>
      <xdr:colOff>771525</xdr:colOff>
      <xdr:row>144</xdr:row>
      <xdr:rowOff>85725</xdr:rowOff>
    </xdr:to>
    <xdr:graphicFrame macro="">
      <xdr:nvGraphicFramePr>
        <xdr:cNvPr id="60" name="Chart 59">
          <a:extLst>
            <a:ext uri="{FF2B5EF4-FFF2-40B4-BE49-F238E27FC236}">
              <a16:creationId xmlns:a16="http://schemas.microsoft.com/office/drawing/2014/main" xmlns=""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114179</xdr:colOff>
      <xdr:row>869</xdr:row>
      <xdr:rowOff>69275</xdr:rowOff>
    </xdr:from>
    <xdr:to>
      <xdr:col>23</xdr:col>
      <xdr:colOff>743510</xdr:colOff>
      <xdr:row>891</xdr:row>
      <xdr:rowOff>95810</xdr:rowOff>
    </xdr:to>
    <xdr:graphicFrame macro="">
      <xdr:nvGraphicFramePr>
        <xdr:cNvPr id="53" name="Chart 52">
          <a:extLst>
            <a:ext uri="{FF2B5EF4-FFF2-40B4-BE49-F238E27FC236}">
              <a16:creationId xmlns:a16="http://schemas.microsoft.com/office/drawing/2014/main" xmlns=""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1211</xdr:colOff>
      <xdr:row>157</xdr:row>
      <xdr:rowOff>89354</xdr:rowOff>
    </xdr:from>
    <xdr:to>
      <xdr:col>23</xdr:col>
      <xdr:colOff>719667</xdr:colOff>
      <xdr:row>180</xdr:row>
      <xdr:rowOff>129117</xdr:rowOff>
    </xdr:to>
    <xdr:graphicFrame macro="">
      <xdr:nvGraphicFramePr>
        <xdr:cNvPr id="57" name="Chart 56">
          <a:extLst>
            <a:ext uri="{FF2B5EF4-FFF2-40B4-BE49-F238E27FC236}">
              <a16:creationId xmlns:a16="http://schemas.microsoft.com/office/drawing/2014/main" xmlns=""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14969</xdr:colOff>
      <xdr:row>326</xdr:row>
      <xdr:rowOff>35380</xdr:rowOff>
    </xdr:from>
    <xdr:to>
      <xdr:col>24</xdr:col>
      <xdr:colOff>0</xdr:colOff>
      <xdr:row>349</xdr:row>
      <xdr:rowOff>66676</xdr:rowOff>
    </xdr:to>
    <xdr:graphicFrame macro="">
      <xdr:nvGraphicFramePr>
        <xdr:cNvPr id="58" name="Chart 57">
          <a:extLst>
            <a:ext uri="{FF2B5EF4-FFF2-40B4-BE49-F238E27FC236}">
              <a16:creationId xmlns:a16="http://schemas.microsoft.com/office/drawing/2014/main" xmlns="" id="{00000000-0008-0000-0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35</xdr:col>
      <xdr:colOff>26894</xdr:colOff>
      <xdr:row>93</xdr:row>
      <xdr:rowOff>53788</xdr:rowOff>
    </xdr:from>
    <xdr:to>
      <xdr:col>43</xdr:col>
      <xdr:colOff>753036</xdr:colOff>
      <xdr:row>116</xdr:row>
      <xdr:rowOff>38100</xdr:rowOff>
    </xdr:to>
    <xdr:graphicFrame macro="">
      <xdr:nvGraphicFramePr>
        <xdr:cNvPr id="61" name="Chart 60">
          <a:extLst>
            <a:ext uri="{FF2B5EF4-FFF2-40B4-BE49-F238E27FC236}">
              <a16:creationId xmlns:a16="http://schemas.microsoft.com/office/drawing/2014/main" xmlns=""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35</xdr:col>
      <xdr:colOff>90488</xdr:colOff>
      <xdr:row>130</xdr:row>
      <xdr:rowOff>42864</xdr:rowOff>
    </xdr:from>
    <xdr:to>
      <xdr:col>43</xdr:col>
      <xdr:colOff>753036</xdr:colOff>
      <xdr:row>154</xdr:row>
      <xdr:rowOff>28576</xdr:rowOff>
    </xdr:to>
    <xdr:graphicFrame macro="">
      <xdr:nvGraphicFramePr>
        <xdr:cNvPr id="63" name="Chart 62">
          <a:extLst>
            <a:ext uri="{FF2B5EF4-FFF2-40B4-BE49-F238E27FC236}">
              <a16:creationId xmlns:a16="http://schemas.microsoft.com/office/drawing/2014/main" xmlns="" id="{00000000-0008-0000-04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35</xdr:col>
      <xdr:colOff>85725</xdr:colOff>
      <xdr:row>167</xdr:row>
      <xdr:rowOff>51707</xdr:rowOff>
    </xdr:from>
    <xdr:to>
      <xdr:col>43</xdr:col>
      <xdr:colOff>762000</xdr:colOff>
      <xdr:row>189</xdr:row>
      <xdr:rowOff>171450</xdr:rowOff>
    </xdr:to>
    <xdr:graphicFrame macro="">
      <xdr:nvGraphicFramePr>
        <xdr:cNvPr id="64" name="Chart 63">
          <a:extLst>
            <a:ext uri="{FF2B5EF4-FFF2-40B4-BE49-F238E27FC236}">
              <a16:creationId xmlns:a16="http://schemas.microsoft.com/office/drawing/2014/main" xmlns="" id="{00000000-0008-0000-04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29029</xdr:colOff>
      <xdr:row>19</xdr:row>
      <xdr:rowOff>7256</xdr:rowOff>
    </xdr:from>
    <xdr:to>
      <xdr:col>7</xdr:col>
      <xdr:colOff>673101</xdr:colOff>
      <xdr:row>40</xdr:row>
      <xdr:rowOff>3175</xdr:rowOff>
    </xdr:to>
    <xdr:graphicFrame macro="">
      <xdr:nvGraphicFramePr>
        <xdr:cNvPr id="71" name="Chart 70">
          <a:extLst>
            <a:ext uri="{FF2B5EF4-FFF2-40B4-BE49-F238E27FC236}">
              <a16:creationId xmlns:a16="http://schemas.microsoft.com/office/drawing/2014/main" xmlns=""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29028</xdr:colOff>
      <xdr:row>51</xdr:row>
      <xdr:rowOff>87088</xdr:rowOff>
    </xdr:from>
    <xdr:to>
      <xdr:col>8</xdr:col>
      <xdr:colOff>66675</xdr:colOff>
      <xdr:row>74</xdr:row>
      <xdr:rowOff>180976</xdr:rowOff>
    </xdr:to>
    <xdr:graphicFrame macro="">
      <xdr:nvGraphicFramePr>
        <xdr:cNvPr id="72" name="Chart 71">
          <a:extLst>
            <a:ext uri="{FF2B5EF4-FFF2-40B4-BE49-F238E27FC236}">
              <a16:creationId xmlns:a16="http://schemas.microsoft.com/office/drawing/2014/main" xmlns=""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29028</xdr:colOff>
      <xdr:row>86</xdr:row>
      <xdr:rowOff>106680</xdr:rowOff>
    </xdr:from>
    <xdr:to>
      <xdr:col>8</xdr:col>
      <xdr:colOff>66675</xdr:colOff>
      <xdr:row>109</xdr:row>
      <xdr:rowOff>180976</xdr:rowOff>
    </xdr:to>
    <xdr:graphicFrame macro="">
      <xdr:nvGraphicFramePr>
        <xdr:cNvPr id="73" name="Chart 72">
          <a:extLst>
            <a:ext uri="{FF2B5EF4-FFF2-40B4-BE49-F238E27FC236}">
              <a16:creationId xmlns:a16="http://schemas.microsoft.com/office/drawing/2014/main" xmlns=""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35</xdr:col>
      <xdr:colOff>0</xdr:colOff>
      <xdr:row>241</xdr:row>
      <xdr:rowOff>169333</xdr:rowOff>
    </xdr:from>
    <xdr:to>
      <xdr:col>41</xdr:col>
      <xdr:colOff>615723</xdr:colOff>
      <xdr:row>267</xdr:row>
      <xdr:rowOff>83398</xdr:rowOff>
    </xdr:to>
    <xdr:graphicFrame macro="">
      <xdr:nvGraphicFramePr>
        <xdr:cNvPr id="74" name="Chart 73">
          <a:extLst>
            <a:ext uri="{FF2B5EF4-FFF2-40B4-BE49-F238E27FC236}">
              <a16:creationId xmlns:a16="http://schemas.microsoft.com/office/drawing/2014/main" xmlns="" id="{5AD8444C-90BD-4700-84A0-468A86838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35</xdr:col>
      <xdr:colOff>0</xdr:colOff>
      <xdr:row>278</xdr:row>
      <xdr:rowOff>0</xdr:rowOff>
    </xdr:from>
    <xdr:to>
      <xdr:col>41</xdr:col>
      <xdr:colOff>561975</xdr:colOff>
      <xdr:row>302</xdr:row>
      <xdr:rowOff>107950</xdr:rowOff>
    </xdr:to>
    <xdr:graphicFrame macro="">
      <xdr:nvGraphicFramePr>
        <xdr:cNvPr id="75" name="Chart 74">
          <a:extLst>
            <a:ext uri="{FF2B5EF4-FFF2-40B4-BE49-F238E27FC236}">
              <a16:creationId xmlns:a16="http://schemas.microsoft.com/office/drawing/2014/main" xmlns="" id="{F71BA629-158B-4D36-A1DA-24E5757AC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26</xdr:col>
      <xdr:colOff>0</xdr:colOff>
      <xdr:row>56</xdr:row>
      <xdr:rowOff>143934</xdr:rowOff>
    </xdr:from>
    <xdr:to>
      <xdr:col>32</xdr:col>
      <xdr:colOff>695325</xdr:colOff>
      <xdr:row>79</xdr:row>
      <xdr:rowOff>149129</xdr:rowOff>
    </xdr:to>
    <xdr:graphicFrame macro="">
      <xdr:nvGraphicFramePr>
        <xdr:cNvPr id="77" name="Chart 76">
          <a:extLst>
            <a:ext uri="{FF2B5EF4-FFF2-40B4-BE49-F238E27FC236}">
              <a16:creationId xmlns:a16="http://schemas.microsoft.com/office/drawing/2014/main" xmlns="" id="{DCC4F8D7-6934-4D72-9994-F8BA3B40A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0</xdr:colOff>
      <xdr:row>318</xdr:row>
      <xdr:rowOff>0</xdr:rowOff>
    </xdr:from>
    <xdr:to>
      <xdr:col>41</xdr:col>
      <xdr:colOff>695325</xdr:colOff>
      <xdr:row>340</xdr:row>
      <xdr:rowOff>179367</xdr:rowOff>
    </xdr:to>
    <xdr:graphicFrame macro="">
      <xdr:nvGraphicFramePr>
        <xdr:cNvPr id="78" name="Chart 77">
          <a:extLst>
            <a:ext uri="{FF2B5EF4-FFF2-40B4-BE49-F238E27FC236}">
              <a16:creationId xmlns:a16="http://schemas.microsoft.com/office/drawing/2014/main" xmlns="" id="{AA368CEC-5350-469F-BAA0-28764A59C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124</xdr:row>
      <xdr:rowOff>0</xdr:rowOff>
    </xdr:from>
    <xdr:to>
      <xdr:col>8</xdr:col>
      <xdr:colOff>241300</xdr:colOff>
      <xdr:row>146</xdr:row>
      <xdr:rowOff>142875</xdr:rowOff>
    </xdr:to>
    <xdr:graphicFrame macro="">
      <xdr:nvGraphicFramePr>
        <xdr:cNvPr id="76" name="Chart 75">
          <a:extLst>
            <a:ext uri="{FF2B5EF4-FFF2-40B4-BE49-F238E27FC236}">
              <a16:creationId xmlns:a16="http://schemas.microsoft.com/office/drawing/2014/main" xmlns="" id="{DD2F1A42-3070-457C-A567-EE89CB58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12700</xdr:colOff>
      <xdr:row>228</xdr:row>
      <xdr:rowOff>101600</xdr:rowOff>
    </xdr:from>
    <xdr:to>
      <xdr:col>23</xdr:col>
      <xdr:colOff>642031</xdr:colOff>
      <xdr:row>250</xdr:row>
      <xdr:rowOff>128135</xdr:rowOff>
    </xdr:to>
    <xdr:graphicFrame macro="">
      <xdr:nvGraphicFramePr>
        <xdr:cNvPr id="80" name="Chart 79">
          <a:extLst>
            <a:ext uri="{FF2B5EF4-FFF2-40B4-BE49-F238E27FC236}">
              <a16:creationId xmlns:a16="http://schemas.microsoft.com/office/drawing/2014/main" xmlns="" id="{E1990C54-D9B9-49AE-8695-3E9FF5F4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0</xdr:colOff>
      <xdr:row>262</xdr:row>
      <xdr:rowOff>0</xdr:rowOff>
    </xdr:from>
    <xdr:to>
      <xdr:col>23</xdr:col>
      <xdr:colOff>629331</xdr:colOff>
      <xdr:row>284</xdr:row>
      <xdr:rowOff>26535</xdr:rowOff>
    </xdr:to>
    <xdr:graphicFrame macro="">
      <xdr:nvGraphicFramePr>
        <xdr:cNvPr id="81" name="Chart 80">
          <a:extLst>
            <a:ext uri="{FF2B5EF4-FFF2-40B4-BE49-F238E27FC236}">
              <a16:creationId xmlns:a16="http://schemas.microsoft.com/office/drawing/2014/main" xmlns="" id="{1E94D371-6A70-4CCC-893C-009D6738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16</xdr:col>
      <xdr:colOff>795867</xdr:colOff>
      <xdr:row>194</xdr:row>
      <xdr:rowOff>84667</xdr:rowOff>
    </xdr:from>
    <xdr:to>
      <xdr:col>23</xdr:col>
      <xdr:colOff>630389</xdr:colOff>
      <xdr:row>217</xdr:row>
      <xdr:rowOff>101600</xdr:rowOff>
    </xdr:to>
    <xdr:graphicFrame macro="">
      <xdr:nvGraphicFramePr>
        <xdr:cNvPr id="82" name="Chart 81">
          <a:extLst>
            <a:ext uri="{FF2B5EF4-FFF2-40B4-BE49-F238E27FC236}">
              <a16:creationId xmlns:a16="http://schemas.microsoft.com/office/drawing/2014/main" xmlns="" id="{334D2C5D-292B-49E9-8602-01BE93DC2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25400</xdr:colOff>
      <xdr:row>52</xdr:row>
      <xdr:rowOff>8466</xdr:rowOff>
    </xdr:from>
    <xdr:to>
      <xdr:col>23</xdr:col>
      <xdr:colOff>658965</xdr:colOff>
      <xdr:row>74</xdr:row>
      <xdr:rowOff>35002</xdr:rowOff>
    </xdr:to>
    <xdr:graphicFrame macro="">
      <xdr:nvGraphicFramePr>
        <xdr:cNvPr id="54" name="Chart 53">
          <a:extLst>
            <a:ext uri="{FF2B5EF4-FFF2-40B4-BE49-F238E27FC236}">
              <a16:creationId xmlns:a16="http://schemas.microsoft.com/office/drawing/2014/main" xmlns="" id="{6E3E86B5-BE78-44D8-89F8-8162083E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8466</xdr:colOff>
      <xdr:row>465</xdr:row>
      <xdr:rowOff>76199</xdr:rowOff>
    </xdr:from>
    <xdr:to>
      <xdr:col>24</xdr:col>
      <xdr:colOff>43787</xdr:colOff>
      <xdr:row>491</xdr:row>
      <xdr:rowOff>72451</xdr:rowOff>
    </xdr:to>
    <xdr:graphicFrame macro="">
      <xdr:nvGraphicFramePr>
        <xdr:cNvPr id="55" name="Chart 54">
          <a:extLst>
            <a:ext uri="{FF2B5EF4-FFF2-40B4-BE49-F238E27FC236}">
              <a16:creationId xmlns:a16="http://schemas.microsoft.com/office/drawing/2014/main" xmlns="" id="{26F9AE82-0E65-4EF8-B512-9EA11CE3E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0</xdr:colOff>
      <xdr:row>434</xdr:row>
      <xdr:rowOff>0</xdr:rowOff>
    </xdr:from>
    <xdr:to>
      <xdr:col>23</xdr:col>
      <xdr:colOff>633565</xdr:colOff>
      <xdr:row>456</xdr:row>
      <xdr:rowOff>26534</xdr:rowOff>
    </xdr:to>
    <xdr:graphicFrame macro="">
      <xdr:nvGraphicFramePr>
        <xdr:cNvPr id="56" name="Chart 55">
          <a:extLst>
            <a:ext uri="{FF2B5EF4-FFF2-40B4-BE49-F238E27FC236}">
              <a16:creationId xmlns:a16="http://schemas.microsoft.com/office/drawing/2014/main" xmlns="" id="{7F7B92F8-C160-402C-B62C-1DB0D047F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0</xdr:colOff>
      <xdr:row>295</xdr:row>
      <xdr:rowOff>0</xdr:rowOff>
    </xdr:from>
    <xdr:to>
      <xdr:col>23</xdr:col>
      <xdr:colOff>633565</xdr:colOff>
      <xdr:row>317</xdr:row>
      <xdr:rowOff>26535</xdr:rowOff>
    </xdr:to>
    <xdr:graphicFrame macro="">
      <xdr:nvGraphicFramePr>
        <xdr:cNvPr id="59" name="Chart 58">
          <a:extLst>
            <a:ext uri="{FF2B5EF4-FFF2-40B4-BE49-F238E27FC236}">
              <a16:creationId xmlns:a16="http://schemas.microsoft.com/office/drawing/2014/main" xmlns="" id="{C435CCC3-0F06-48BB-AE24-6D140D7CA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D6" sqref="D6"/>
    </sheetView>
  </sheetViews>
  <sheetFormatPr defaultRowHeight="14.5" x14ac:dyDescent="0.35"/>
  <cols>
    <col min="2" max="2" width="20.453125" customWidth="1"/>
    <col min="3" max="3" width="11.1796875" customWidth="1"/>
    <col min="4" max="4" width="16.08984375" customWidth="1"/>
    <col min="6" max="6" width="5.1796875" customWidth="1"/>
    <col min="9" max="9" width="13.6328125" customWidth="1"/>
    <col min="10" max="11" width="13.6328125" style="3" customWidth="1"/>
    <col min="12" max="12" width="10.08984375" style="3" customWidth="1"/>
    <col min="13" max="13" width="6.453125" customWidth="1"/>
  </cols>
  <sheetData>
    <row r="1" spans="1:27" x14ac:dyDescent="0.35">
      <c r="A1" s="3"/>
      <c r="B1" s="3"/>
      <c r="C1" s="3"/>
      <c r="D1" s="3"/>
      <c r="E1" s="3"/>
      <c r="F1" s="3"/>
      <c r="G1" s="3"/>
    </row>
    <row r="2" spans="1:27" x14ac:dyDescent="0.35">
      <c r="A2" s="3"/>
      <c r="B2" s="3"/>
      <c r="C2" s="3"/>
      <c r="D2" s="3"/>
      <c r="E2" s="3"/>
      <c r="F2" s="3"/>
      <c r="G2" s="3"/>
    </row>
    <row r="3" spans="1:27" ht="17" x14ac:dyDescent="0.4">
      <c r="A3" s="15" t="s">
        <v>82</v>
      </c>
      <c r="B3" s="3"/>
      <c r="C3" s="3"/>
      <c r="D3" s="3"/>
      <c r="E3" s="3"/>
      <c r="F3" s="3"/>
      <c r="G3" s="3"/>
    </row>
    <row r="4" spans="1:27" ht="17" x14ac:dyDescent="0.4">
      <c r="A4" s="15"/>
      <c r="B4" s="3"/>
      <c r="C4" s="3"/>
      <c r="D4" s="3"/>
      <c r="E4" s="3"/>
      <c r="F4" s="3"/>
      <c r="G4" s="3"/>
      <c r="N4" t="s">
        <v>113</v>
      </c>
    </row>
    <row r="5" spans="1:27" x14ac:dyDescent="0.35">
      <c r="B5" s="3" t="s">
        <v>83</v>
      </c>
      <c r="C5" s="3"/>
      <c r="D5" s="3" t="s">
        <v>342</v>
      </c>
      <c r="E5" s="3"/>
      <c r="F5" s="3"/>
      <c r="G5" s="3"/>
      <c r="H5" s="3"/>
      <c r="I5" s="3"/>
      <c r="M5" s="3"/>
      <c r="N5" s="435"/>
      <c r="O5" s="435"/>
      <c r="P5" s="435"/>
      <c r="Q5" s="435"/>
      <c r="R5" s="435"/>
      <c r="S5" s="435"/>
      <c r="T5" s="435"/>
      <c r="U5" s="435"/>
      <c r="V5" s="435"/>
      <c r="W5" s="435"/>
      <c r="X5" s="435"/>
      <c r="Y5" s="3"/>
      <c r="Z5" s="3"/>
      <c r="AA5" s="3"/>
    </row>
    <row r="6" spans="1:27" x14ac:dyDescent="0.35">
      <c r="B6" s="150" t="s">
        <v>339</v>
      </c>
      <c r="C6" s="3"/>
      <c r="D6" s="216">
        <v>2</v>
      </c>
      <c r="E6" s="3"/>
      <c r="F6" s="3"/>
      <c r="G6" s="3"/>
      <c r="H6" s="3"/>
      <c r="I6" s="3"/>
      <c r="M6" s="3"/>
      <c r="N6" s="435"/>
      <c r="O6" s="435"/>
      <c r="P6" s="435"/>
      <c r="Q6" s="435"/>
      <c r="R6" s="435"/>
      <c r="S6" s="435"/>
      <c r="T6" s="435"/>
      <c r="U6" s="435"/>
      <c r="V6" s="435"/>
      <c r="W6" s="435"/>
      <c r="X6" s="435"/>
      <c r="Y6" s="3"/>
      <c r="Z6" s="3"/>
      <c r="AA6" s="3"/>
    </row>
    <row r="7" spans="1:27" ht="15" thickBot="1" x14ac:dyDescent="0.4">
      <c r="C7" s="3"/>
      <c r="D7" s="3"/>
      <c r="E7" s="3"/>
      <c r="F7" s="3"/>
      <c r="G7" s="3"/>
      <c r="H7" s="3"/>
      <c r="I7" s="3"/>
      <c r="M7" s="3"/>
      <c r="N7" s="435"/>
      <c r="O7" s="435"/>
      <c r="P7" s="435"/>
      <c r="Q7" s="435"/>
      <c r="R7" s="435"/>
      <c r="S7" s="435"/>
      <c r="T7" s="435"/>
      <c r="U7" s="435"/>
      <c r="V7" s="435"/>
      <c r="W7" s="435"/>
      <c r="X7" s="435"/>
      <c r="Y7" s="3"/>
      <c r="Z7" s="3"/>
      <c r="AA7" s="3"/>
    </row>
    <row r="8" spans="1:27" s="3" customFormat="1" ht="14.4" customHeight="1" x14ac:dyDescent="0.35">
      <c r="A8" s="429" t="s">
        <v>345</v>
      </c>
      <c r="B8" s="430"/>
      <c r="C8" s="430"/>
      <c r="D8" s="430"/>
      <c r="E8" s="431"/>
      <c r="G8" s="429" t="s">
        <v>343</v>
      </c>
      <c r="H8" s="430"/>
      <c r="I8" s="430"/>
      <c r="J8" s="430"/>
      <c r="K8" s="430"/>
      <c r="L8" s="431"/>
      <c r="N8" s="435"/>
      <c r="O8" s="435"/>
      <c r="P8" s="435"/>
      <c r="Q8" s="435"/>
      <c r="R8" s="435"/>
      <c r="S8" s="435"/>
      <c r="T8" s="435"/>
      <c r="U8" s="435"/>
      <c r="V8" s="435"/>
      <c r="W8" s="435"/>
      <c r="X8" s="435"/>
    </row>
    <row r="9" spans="1:27" s="3" customFormat="1" ht="15" customHeight="1" thickBot="1" x14ac:dyDescent="0.4">
      <c r="A9" s="432"/>
      <c r="B9" s="433"/>
      <c r="C9" s="433"/>
      <c r="D9" s="433"/>
      <c r="E9" s="434"/>
      <c r="G9" s="432"/>
      <c r="H9" s="433"/>
      <c r="I9" s="433"/>
      <c r="J9" s="433"/>
      <c r="K9" s="433"/>
      <c r="L9" s="434"/>
      <c r="N9" s="435"/>
      <c r="O9" s="435"/>
      <c r="P9" s="435"/>
      <c r="Q9" s="435"/>
      <c r="R9" s="435"/>
      <c r="S9" s="435"/>
      <c r="T9" s="435"/>
      <c r="U9" s="435"/>
      <c r="V9" s="435"/>
      <c r="W9" s="435"/>
      <c r="X9" s="435"/>
    </row>
    <row r="10" spans="1:27" x14ac:dyDescent="0.35">
      <c r="A10" s="122"/>
      <c r="B10" s="7"/>
      <c r="C10" s="7"/>
      <c r="D10" s="7"/>
      <c r="E10" s="184"/>
      <c r="G10" s="122"/>
      <c r="H10" s="7"/>
      <c r="I10" s="7"/>
      <c r="J10" s="7"/>
      <c r="K10" s="7"/>
      <c r="L10" s="184"/>
      <c r="M10" s="3"/>
      <c r="N10" s="435"/>
      <c r="O10" s="435"/>
      <c r="P10" s="435"/>
      <c r="Q10" s="435"/>
      <c r="R10" s="435"/>
      <c r="S10" s="435"/>
      <c r="T10" s="435"/>
      <c r="U10" s="435"/>
      <c r="V10" s="435"/>
      <c r="W10" s="435"/>
      <c r="X10" s="435"/>
      <c r="Y10" s="3"/>
      <c r="Z10" s="3"/>
      <c r="AA10" s="3"/>
    </row>
    <row r="11" spans="1:27" x14ac:dyDescent="0.35">
      <c r="A11" s="122"/>
      <c r="B11" s="7"/>
      <c r="C11" s="7"/>
      <c r="D11" s="7"/>
      <c r="E11" s="184"/>
      <c r="G11" s="122"/>
      <c r="H11" s="7"/>
      <c r="I11" s="7"/>
      <c r="J11" s="7"/>
      <c r="K11" s="7"/>
      <c r="L11" s="184"/>
      <c r="M11" s="3"/>
      <c r="N11" s="435"/>
      <c r="O11" s="435"/>
      <c r="P11" s="435"/>
      <c r="Q11" s="435"/>
      <c r="R11" s="435"/>
      <c r="S11" s="435"/>
      <c r="T11" s="435"/>
      <c r="U11" s="435"/>
      <c r="V11" s="435"/>
      <c r="W11" s="435"/>
      <c r="X11" s="435"/>
      <c r="Y11" s="3"/>
      <c r="Z11" s="3"/>
      <c r="AA11" s="3"/>
    </row>
    <row r="12" spans="1:27" x14ac:dyDescent="0.35">
      <c r="A12" s="122"/>
      <c r="B12" s="7"/>
      <c r="C12" s="7"/>
      <c r="D12" s="7"/>
      <c r="E12" s="184"/>
      <c r="G12" s="122"/>
      <c r="H12" s="7"/>
      <c r="I12" s="7"/>
      <c r="J12" s="7"/>
      <c r="K12" s="7"/>
      <c r="L12" s="184"/>
      <c r="M12" s="3"/>
      <c r="N12" s="435"/>
      <c r="O12" s="435"/>
      <c r="P12" s="435"/>
      <c r="Q12" s="435"/>
      <c r="R12" s="435"/>
      <c r="S12" s="435"/>
      <c r="T12" s="435"/>
      <c r="U12" s="435"/>
      <c r="V12" s="435"/>
      <c r="W12" s="435"/>
      <c r="X12" s="435"/>
      <c r="Y12" s="3"/>
      <c r="Z12" s="3"/>
      <c r="AA12" s="3"/>
    </row>
    <row r="13" spans="1:27" x14ac:dyDescent="0.35">
      <c r="A13" s="122"/>
      <c r="B13" s="7"/>
      <c r="C13" s="7"/>
      <c r="D13" s="7"/>
      <c r="E13" s="184"/>
      <c r="G13" s="122"/>
      <c r="H13" s="7"/>
      <c r="I13" s="7"/>
      <c r="J13" s="7"/>
      <c r="K13" s="7"/>
      <c r="L13" s="184"/>
      <c r="M13" s="3"/>
      <c r="N13" s="435"/>
      <c r="O13" s="435"/>
      <c r="P13" s="435"/>
      <c r="Q13" s="435"/>
      <c r="R13" s="435"/>
      <c r="S13" s="435"/>
      <c r="T13" s="435"/>
      <c r="U13" s="435"/>
      <c r="V13" s="435"/>
      <c r="W13" s="435"/>
      <c r="X13" s="435"/>
      <c r="Y13" s="3"/>
      <c r="Z13" s="3"/>
      <c r="AA13" s="3"/>
    </row>
    <row r="14" spans="1:27" x14ac:dyDescent="0.35">
      <c r="A14" s="122"/>
      <c r="B14" s="7"/>
      <c r="C14" s="7"/>
      <c r="D14" s="7"/>
      <c r="E14" s="184"/>
      <c r="G14" s="122"/>
      <c r="H14" s="7"/>
      <c r="I14" s="7"/>
      <c r="J14" s="7"/>
      <c r="K14" s="7"/>
      <c r="L14" s="184"/>
      <c r="M14" s="3"/>
      <c r="N14" s="435"/>
      <c r="O14" s="435"/>
      <c r="P14" s="435"/>
      <c r="Q14" s="435"/>
      <c r="R14" s="435"/>
      <c r="S14" s="435"/>
      <c r="T14" s="435"/>
      <c r="U14" s="435"/>
      <c r="V14" s="435"/>
      <c r="W14" s="435"/>
      <c r="X14" s="435"/>
      <c r="Y14" s="3"/>
      <c r="Z14" s="3"/>
      <c r="AA14" s="3"/>
    </row>
    <row r="15" spans="1:27" x14ac:dyDescent="0.35">
      <c r="A15" s="122"/>
      <c r="B15" s="7"/>
      <c r="C15" s="7"/>
      <c r="D15" s="7"/>
      <c r="E15" s="184"/>
      <c r="G15" s="122"/>
      <c r="H15" s="7"/>
      <c r="I15" s="7"/>
      <c r="J15" s="7"/>
      <c r="K15" s="7"/>
      <c r="L15" s="184"/>
      <c r="M15" s="3"/>
      <c r="N15" s="435"/>
      <c r="O15" s="435"/>
      <c r="P15" s="435"/>
      <c r="Q15" s="435"/>
      <c r="R15" s="435"/>
      <c r="S15" s="435"/>
      <c r="T15" s="435"/>
      <c r="U15" s="435"/>
      <c r="V15" s="435"/>
      <c r="W15" s="435"/>
      <c r="X15" s="435"/>
      <c r="Y15" s="3"/>
      <c r="Z15" s="3"/>
      <c r="AA15" s="3"/>
    </row>
    <row r="16" spans="1:27" x14ac:dyDescent="0.35">
      <c r="A16" s="122"/>
      <c r="B16" s="7"/>
      <c r="C16" s="7"/>
      <c r="D16" s="7"/>
      <c r="E16" s="184"/>
      <c r="G16" s="122"/>
      <c r="H16" s="7"/>
      <c r="I16" s="7"/>
      <c r="J16" s="7"/>
      <c r="K16" s="7"/>
      <c r="L16" s="184"/>
      <c r="M16" s="3"/>
      <c r="N16" s="435"/>
      <c r="O16" s="435"/>
      <c r="P16" s="435"/>
      <c r="Q16" s="435"/>
      <c r="R16" s="435"/>
      <c r="S16" s="435"/>
      <c r="T16" s="435"/>
      <c r="U16" s="435"/>
      <c r="V16" s="435"/>
      <c r="W16" s="435"/>
      <c r="X16" s="435"/>
      <c r="Y16" s="3"/>
      <c r="Z16" s="3"/>
      <c r="AA16" s="3"/>
    </row>
    <row r="17" spans="1:27" x14ac:dyDescent="0.35">
      <c r="A17" s="122"/>
      <c r="B17" s="7"/>
      <c r="C17" s="7"/>
      <c r="D17" s="7"/>
      <c r="E17" s="184"/>
      <c r="G17" s="122"/>
      <c r="H17" s="7"/>
      <c r="I17" s="7"/>
      <c r="J17" s="7"/>
      <c r="K17" s="7"/>
      <c r="L17" s="184"/>
      <c r="M17" s="3"/>
      <c r="N17" s="435"/>
      <c r="O17" s="435"/>
      <c r="P17" s="435"/>
      <c r="Q17" s="435"/>
      <c r="R17" s="435"/>
      <c r="S17" s="435"/>
      <c r="T17" s="435"/>
      <c r="U17" s="435"/>
      <c r="V17" s="435"/>
      <c r="W17" s="435"/>
      <c r="X17" s="435"/>
      <c r="Y17" s="3"/>
      <c r="Z17" s="3"/>
      <c r="AA17" s="3"/>
    </row>
    <row r="18" spans="1:27" ht="15" thickBot="1" x14ac:dyDescent="0.4">
      <c r="A18" s="217"/>
      <c r="B18" s="218"/>
      <c r="C18" s="218"/>
      <c r="D18" s="218"/>
      <c r="E18" s="219"/>
      <c r="G18" s="122"/>
      <c r="H18" s="7"/>
      <c r="I18" s="7"/>
      <c r="J18" s="7"/>
      <c r="K18" s="7"/>
      <c r="L18" s="184"/>
      <c r="M18" s="3"/>
      <c r="N18" s="435"/>
      <c r="O18" s="435"/>
      <c r="P18" s="435"/>
      <c r="Q18" s="435"/>
      <c r="R18" s="435"/>
      <c r="S18" s="435"/>
      <c r="T18" s="435"/>
      <c r="U18" s="435"/>
      <c r="V18" s="435"/>
      <c r="W18" s="435"/>
      <c r="X18" s="435"/>
      <c r="Y18" s="3"/>
      <c r="Z18" s="3"/>
      <c r="AA18" s="3"/>
    </row>
    <row r="19" spans="1:27" x14ac:dyDescent="0.35">
      <c r="A19" s="3"/>
      <c r="B19" s="3"/>
      <c r="C19" s="3"/>
      <c r="D19" s="3"/>
      <c r="E19" s="3"/>
      <c r="G19" s="122"/>
      <c r="H19" s="7"/>
      <c r="I19" s="7"/>
      <c r="J19" s="7"/>
      <c r="K19" s="7"/>
      <c r="L19" s="184"/>
      <c r="M19" s="3"/>
      <c r="N19" s="435"/>
      <c r="O19" s="435"/>
      <c r="P19" s="435"/>
      <c r="Q19" s="435"/>
      <c r="R19" s="435"/>
      <c r="S19" s="435"/>
      <c r="T19" s="435"/>
      <c r="U19" s="435"/>
      <c r="V19" s="435"/>
      <c r="W19" s="435"/>
      <c r="X19" s="435"/>
      <c r="Y19" s="3"/>
      <c r="Z19" s="3"/>
      <c r="AA19" s="3"/>
    </row>
    <row r="20" spans="1:27" ht="15" thickBot="1" x14ac:dyDescent="0.4">
      <c r="A20" s="3"/>
      <c r="B20" s="3"/>
      <c r="C20" s="3"/>
      <c r="D20" s="3"/>
      <c r="E20" s="3"/>
      <c r="G20" s="122"/>
      <c r="H20" s="7"/>
      <c r="I20" s="7"/>
      <c r="J20" s="7"/>
      <c r="K20" s="7"/>
      <c r="L20" s="184"/>
      <c r="M20" s="3"/>
      <c r="N20" s="435"/>
      <c r="O20" s="435"/>
      <c r="P20" s="435"/>
      <c r="Q20" s="435"/>
      <c r="R20" s="435"/>
      <c r="S20" s="435"/>
      <c r="T20" s="435"/>
      <c r="U20" s="435"/>
      <c r="V20" s="435"/>
      <c r="W20" s="435"/>
      <c r="X20" s="435"/>
      <c r="Y20" s="3"/>
      <c r="Z20" s="3"/>
      <c r="AA20" s="3"/>
    </row>
    <row r="21" spans="1:27" x14ac:dyDescent="0.35">
      <c r="A21" s="429" t="s">
        <v>344</v>
      </c>
      <c r="B21" s="430"/>
      <c r="C21" s="430"/>
      <c r="D21" s="430"/>
      <c r="E21" s="431"/>
      <c r="G21" s="122"/>
      <c r="H21" s="7"/>
      <c r="I21" s="7"/>
      <c r="J21" s="7"/>
      <c r="K21" s="7"/>
      <c r="L21" s="184"/>
      <c r="M21" s="3"/>
      <c r="N21" s="435"/>
      <c r="O21" s="435"/>
      <c r="P21" s="435"/>
      <c r="Q21" s="435"/>
      <c r="R21" s="435"/>
      <c r="S21" s="435"/>
      <c r="T21" s="435"/>
      <c r="U21" s="435"/>
      <c r="V21" s="435"/>
      <c r="W21" s="435"/>
      <c r="X21" s="435"/>
      <c r="Y21" s="3"/>
      <c r="Z21" s="3"/>
      <c r="AA21" s="3"/>
    </row>
    <row r="22" spans="1:27" ht="15" thickBot="1" x14ac:dyDescent="0.4">
      <c r="A22" s="432"/>
      <c r="B22" s="433"/>
      <c r="C22" s="433"/>
      <c r="D22" s="433"/>
      <c r="E22" s="434"/>
      <c r="G22" s="122"/>
      <c r="H22" s="7"/>
      <c r="I22" s="7"/>
      <c r="J22" s="7"/>
      <c r="K22" s="7"/>
      <c r="L22" s="184"/>
      <c r="M22" s="3"/>
      <c r="N22" s="435"/>
      <c r="O22" s="435"/>
      <c r="P22" s="435"/>
      <c r="Q22" s="435"/>
      <c r="R22" s="435"/>
      <c r="S22" s="435"/>
      <c r="T22" s="435"/>
      <c r="U22" s="435"/>
      <c r="V22" s="435"/>
      <c r="W22" s="435"/>
      <c r="X22" s="435"/>
      <c r="Y22" s="3"/>
      <c r="Z22" s="3"/>
      <c r="AA22" s="3"/>
    </row>
    <row r="23" spans="1:27" x14ac:dyDescent="0.35">
      <c r="A23" s="122"/>
      <c r="B23" s="7"/>
      <c r="C23" s="7"/>
      <c r="D23" s="7"/>
      <c r="E23" s="184"/>
      <c r="G23" s="122"/>
      <c r="H23" s="7"/>
      <c r="I23" s="7"/>
      <c r="J23" s="7"/>
      <c r="K23" s="7"/>
      <c r="L23" s="184"/>
      <c r="M23" s="3"/>
      <c r="N23" s="435"/>
      <c r="O23" s="435"/>
      <c r="P23" s="435"/>
      <c r="Q23" s="435"/>
      <c r="R23" s="435"/>
      <c r="S23" s="435"/>
      <c r="T23" s="435"/>
      <c r="U23" s="435"/>
      <c r="V23" s="435"/>
      <c r="W23" s="435"/>
      <c r="X23" s="435"/>
      <c r="Y23" s="3"/>
      <c r="Z23" s="3"/>
      <c r="AA23" s="3"/>
    </row>
    <row r="24" spans="1:27" x14ac:dyDescent="0.35">
      <c r="A24" s="122"/>
      <c r="B24" s="7"/>
      <c r="C24" s="7"/>
      <c r="D24" s="7"/>
      <c r="E24" s="184"/>
      <c r="G24" s="122"/>
      <c r="H24" s="7"/>
      <c r="I24" s="7"/>
      <c r="J24" s="7"/>
      <c r="K24" s="7"/>
      <c r="L24" s="184"/>
      <c r="M24" s="3"/>
      <c r="N24" s="435"/>
      <c r="O24" s="435"/>
      <c r="P24" s="435"/>
      <c r="Q24" s="435"/>
      <c r="R24" s="435"/>
      <c r="S24" s="435"/>
      <c r="T24" s="435"/>
      <c r="U24" s="435"/>
      <c r="V24" s="435"/>
      <c r="W24" s="435"/>
      <c r="X24" s="435"/>
      <c r="Y24" s="3"/>
      <c r="Z24" s="3"/>
      <c r="AA24" s="3"/>
    </row>
    <row r="25" spans="1:27" x14ac:dyDescent="0.35">
      <c r="A25" s="122"/>
      <c r="B25" s="7"/>
      <c r="C25" s="7"/>
      <c r="D25" s="7"/>
      <c r="E25" s="184"/>
      <c r="G25" s="122"/>
      <c r="H25" s="7"/>
      <c r="I25" s="7"/>
      <c r="J25" s="7"/>
      <c r="K25" s="7"/>
      <c r="L25" s="184"/>
      <c r="M25" s="3"/>
      <c r="N25" s="435"/>
      <c r="O25" s="435"/>
      <c r="P25" s="435"/>
      <c r="Q25" s="435"/>
      <c r="R25" s="435"/>
      <c r="S25" s="435"/>
      <c r="T25" s="435"/>
      <c r="U25" s="435"/>
      <c r="V25" s="435"/>
      <c r="W25" s="435"/>
      <c r="X25" s="435"/>
      <c r="Y25" s="3"/>
      <c r="Z25" s="3"/>
      <c r="AA25" s="3"/>
    </row>
    <row r="26" spans="1:27" x14ac:dyDescent="0.35">
      <c r="A26" s="122"/>
      <c r="B26" s="7"/>
      <c r="C26" s="7"/>
      <c r="D26" s="7"/>
      <c r="E26" s="184"/>
      <c r="G26" s="122"/>
      <c r="H26" s="7"/>
      <c r="I26" s="7"/>
      <c r="J26" s="7"/>
      <c r="K26" s="7"/>
      <c r="L26" s="184"/>
      <c r="M26" s="3"/>
      <c r="N26" s="435"/>
      <c r="O26" s="435"/>
      <c r="P26" s="435"/>
      <c r="Q26" s="435"/>
      <c r="R26" s="435"/>
      <c r="S26" s="435"/>
      <c r="T26" s="435"/>
      <c r="U26" s="435"/>
      <c r="V26" s="435"/>
      <c r="W26" s="435"/>
      <c r="X26" s="435"/>
      <c r="Y26" s="3"/>
      <c r="Z26" s="3"/>
      <c r="AA26" s="3"/>
    </row>
    <row r="27" spans="1:27" x14ac:dyDescent="0.35">
      <c r="A27" s="122"/>
      <c r="B27" s="7"/>
      <c r="C27" s="7"/>
      <c r="D27" s="7"/>
      <c r="E27" s="184"/>
      <c r="G27" s="122"/>
      <c r="H27" s="7"/>
      <c r="I27" s="7"/>
      <c r="J27" s="7"/>
      <c r="K27" s="7"/>
      <c r="L27" s="184"/>
      <c r="M27" s="3"/>
      <c r="N27" s="435"/>
      <c r="O27" s="435"/>
      <c r="P27" s="435"/>
      <c r="Q27" s="435"/>
      <c r="R27" s="435"/>
      <c r="S27" s="435"/>
      <c r="T27" s="435"/>
      <c r="U27" s="435"/>
      <c r="V27" s="435"/>
      <c r="W27" s="435"/>
      <c r="X27" s="435"/>
      <c r="Y27" s="3"/>
      <c r="Z27" s="3"/>
      <c r="AA27" s="3"/>
    </row>
    <row r="28" spans="1:27" x14ac:dyDescent="0.35">
      <c r="A28" s="122"/>
      <c r="B28" s="7"/>
      <c r="C28" s="7"/>
      <c r="D28" s="7"/>
      <c r="E28" s="184"/>
      <c r="G28" s="122"/>
      <c r="H28" s="7"/>
      <c r="I28" s="7"/>
      <c r="J28" s="7"/>
      <c r="K28" s="7"/>
      <c r="L28" s="184"/>
      <c r="M28" s="3"/>
      <c r="N28" s="435"/>
      <c r="O28" s="435"/>
      <c r="P28" s="435"/>
      <c r="Q28" s="435"/>
      <c r="R28" s="435"/>
      <c r="S28" s="435"/>
      <c r="T28" s="435"/>
      <c r="U28" s="435"/>
      <c r="V28" s="435"/>
      <c r="W28" s="435"/>
      <c r="X28" s="435"/>
      <c r="Y28" s="3"/>
      <c r="Z28" s="3"/>
      <c r="AA28" s="3"/>
    </row>
    <row r="29" spans="1:27" x14ac:dyDescent="0.35">
      <c r="A29" s="122"/>
      <c r="B29" s="7"/>
      <c r="C29" s="7"/>
      <c r="D29" s="7"/>
      <c r="E29" s="184"/>
      <c r="G29" s="122"/>
      <c r="H29" s="7"/>
      <c r="I29" s="7"/>
      <c r="J29" s="7"/>
      <c r="K29" s="7"/>
      <c r="L29" s="184"/>
      <c r="M29" s="3"/>
      <c r="N29" s="435"/>
      <c r="O29" s="435"/>
      <c r="P29" s="435"/>
      <c r="Q29" s="435"/>
      <c r="R29" s="435"/>
      <c r="S29" s="435"/>
      <c r="T29" s="435"/>
      <c r="U29" s="435"/>
      <c r="V29" s="435"/>
      <c r="W29" s="435"/>
      <c r="X29" s="435"/>
      <c r="Y29" s="3"/>
      <c r="Z29" s="3"/>
      <c r="AA29" s="3"/>
    </row>
    <row r="30" spans="1:27" x14ac:dyDescent="0.35">
      <c r="A30" s="122"/>
      <c r="B30" s="7"/>
      <c r="C30" s="7"/>
      <c r="D30" s="7"/>
      <c r="E30" s="184"/>
      <c r="G30" s="122"/>
      <c r="H30" s="7"/>
      <c r="I30" s="7"/>
      <c r="J30" s="7"/>
      <c r="K30" s="7"/>
      <c r="L30" s="184"/>
      <c r="M30" s="3"/>
      <c r="N30" s="435"/>
      <c r="O30" s="435"/>
      <c r="P30" s="435"/>
      <c r="Q30" s="435"/>
      <c r="R30" s="435"/>
      <c r="S30" s="435"/>
      <c r="T30" s="435"/>
      <c r="U30" s="435"/>
      <c r="V30" s="435"/>
      <c r="W30" s="435"/>
      <c r="X30" s="435"/>
      <c r="Y30" s="3"/>
      <c r="Z30" s="3"/>
      <c r="AA30" s="3"/>
    </row>
    <row r="31" spans="1:27" ht="15" thickBot="1" x14ac:dyDescent="0.4">
      <c r="A31" s="217"/>
      <c r="B31" s="218"/>
      <c r="C31" s="218"/>
      <c r="D31" s="218"/>
      <c r="E31" s="219"/>
      <c r="G31" s="122"/>
      <c r="H31" s="7"/>
      <c r="I31" s="7"/>
      <c r="J31" s="7"/>
      <c r="K31" s="7"/>
      <c r="L31" s="184"/>
      <c r="M31" s="3"/>
      <c r="N31" s="435"/>
      <c r="O31" s="435"/>
      <c r="P31" s="435"/>
      <c r="Q31" s="435"/>
      <c r="R31" s="435"/>
      <c r="S31" s="435"/>
      <c r="T31" s="435"/>
      <c r="U31" s="435"/>
      <c r="V31" s="435"/>
      <c r="W31" s="435"/>
      <c r="X31" s="435"/>
      <c r="Y31" s="3"/>
      <c r="Z31" s="3"/>
      <c r="AA31" s="3"/>
    </row>
    <row r="32" spans="1:27" x14ac:dyDescent="0.35">
      <c r="A32" s="3"/>
      <c r="B32" s="3"/>
      <c r="C32" s="3"/>
      <c r="D32" s="3"/>
      <c r="E32" s="3"/>
      <c r="G32" s="122"/>
      <c r="H32" s="7"/>
      <c r="I32" s="7"/>
      <c r="J32" s="7"/>
      <c r="K32" s="7"/>
      <c r="L32" s="184"/>
      <c r="M32" s="3"/>
      <c r="N32" s="435"/>
      <c r="O32" s="435"/>
      <c r="P32" s="435"/>
      <c r="Q32" s="435"/>
      <c r="R32" s="435"/>
      <c r="S32" s="435"/>
      <c r="T32" s="435"/>
      <c r="U32" s="435"/>
      <c r="V32" s="435"/>
      <c r="W32" s="435"/>
      <c r="X32" s="435"/>
      <c r="Y32" s="3"/>
      <c r="Z32" s="3"/>
      <c r="AA32" s="3"/>
    </row>
    <row r="33" spans="1:27" x14ac:dyDescent="0.35">
      <c r="A33" s="3"/>
      <c r="B33" s="3"/>
      <c r="C33" s="3"/>
      <c r="D33" s="3"/>
      <c r="E33" s="3"/>
      <c r="G33" s="122"/>
      <c r="H33" s="7"/>
      <c r="I33" s="7"/>
      <c r="J33" s="7"/>
      <c r="K33" s="7"/>
      <c r="L33" s="184"/>
      <c r="M33" s="3"/>
      <c r="N33" s="435"/>
      <c r="O33" s="435"/>
      <c r="P33" s="435"/>
      <c r="Q33" s="435"/>
      <c r="R33" s="435"/>
      <c r="S33" s="435"/>
      <c r="T33" s="435"/>
      <c r="U33" s="435"/>
      <c r="V33" s="435"/>
      <c r="W33" s="435"/>
      <c r="X33" s="435"/>
      <c r="Y33" s="3"/>
      <c r="Z33" s="3"/>
      <c r="AA33" s="3"/>
    </row>
    <row r="34" spans="1:27" ht="15" thickBot="1" x14ac:dyDescent="0.4">
      <c r="A34" s="3"/>
      <c r="B34" s="3"/>
      <c r="C34" s="3"/>
      <c r="D34" s="3"/>
      <c r="E34" s="3"/>
      <c r="G34" s="217"/>
      <c r="H34" s="218"/>
      <c r="I34" s="218"/>
      <c r="J34" s="218"/>
      <c r="K34" s="218"/>
      <c r="L34" s="219"/>
      <c r="M34" s="3"/>
      <c r="N34" s="435"/>
      <c r="O34" s="435"/>
      <c r="P34" s="435"/>
      <c r="Q34" s="435"/>
      <c r="R34" s="435"/>
      <c r="S34" s="435"/>
      <c r="T34" s="435"/>
      <c r="U34" s="435"/>
      <c r="V34" s="435"/>
      <c r="W34" s="435"/>
      <c r="X34" s="435"/>
      <c r="Y34" s="3"/>
      <c r="Z34" s="3"/>
      <c r="AA34" s="3"/>
    </row>
    <row r="35" spans="1:27" x14ac:dyDescent="0.35">
      <c r="A35" s="3"/>
      <c r="B35" s="3"/>
      <c r="C35" s="3"/>
      <c r="D35" s="3"/>
      <c r="E35" s="7"/>
      <c r="F35" s="7"/>
      <c r="G35" s="7"/>
      <c r="H35" s="7"/>
      <c r="I35" s="7"/>
      <c r="J35" s="7"/>
      <c r="K35" s="7"/>
      <c r="L35" s="7"/>
      <c r="M35" s="7"/>
      <c r="N35" s="435"/>
      <c r="O35" s="435"/>
      <c r="P35" s="435"/>
      <c r="Q35" s="435"/>
      <c r="R35" s="435"/>
      <c r="S35" s="435"/>
      <c r="T35" s="435"/>
      <c r="U35" s="435"/>
      <c r="V35" s="435"/>
      <c r="W35" s="435"/>
      <c r="X35" s="435"/>
      <c r="Y35" s="3"/>
      <c r="Z35" s="3"/>
      <c r="AA35" s="3"/>
    </row>
    <row r="36" spans="1:27" x14ac:dyDescent="0.35">
      <c r="C36" s="3"/>
      <c r="D36" s="3"/>
      <c r="E36" s="3"/>
      <c r="F36" s="3"/>
      <c r="G36" s="3"/>
      <c r="H36" s="3"/>
      <c r="I36" s="3"/>
      <c r="M36" s="3"/>
      <c r="N36" s="435"/>
      <c r="O36" s="435"/>
      <c r="P36" s="435"/>
      <c r="Q36" s="435"/>
      <c r="R36" s="435"/>
      <c r="S36" s="435"/>
      <c r="T36" s="435"/>
      <c r="U36" s="435"/>
      <c r="V36" s="435"/>
      <c r="W36" s="435"/>
      <c r="X36" s="435"/>
      <c r="Y36" s="3"/>
      <c r="Z36" s="3"/>
      <c r="AA36" s="3"/>
    </row>
    <row r="37" spans="1:27" x14ac:dyDescent="0.35">
      <c r="M37" s="3"/>
      <c r="N37" s="435"/>
      <c r="O37" s="435"/>
      <c r="P37" s="435"/>
      <c r="Q37" s="435"/>
      <c r="R37" s="435"/>
      <c r="S37" s="435"/>
      <c r="T37" s="435"/>
      <c r="U37" s="435"/>
      <c r="V37" s="435"/>
      <c r="W37" s="435"/>
      <c r="X37" s="435"/>
      <c r="Y37" s="3"/>
      <c r="Z37" s="3"/>
      <c r="AA37" s="3"/>
    </row>
    <row r="38" spans="1:27" x14ac:dyDescent="0.35">
      <c r="M38" s="3"/>
      <c r="N38" s="435"/>
      <c r="O38" s="435"/>
      <c r="P38" s="435"/>
      <c r="Q38" s="435"/>
      <c r="R38" s="435"/>
      <c r="S38" s="435"/>
      <c r="T38" s="435"/>
      <c r="U38" s="435"/>
      <c r="V38" s="435"/>
      <c r="W38" s="435"/>
      <c r="X38" s="435"/>
      <c r="Y38" s="3"/>
      <c r="Z38" s="3"/>
      <c r="AA38" s="3"/>
    </row>
    <row r="39" spans="1:27" s="3" customFormat="1" x14ac:dyDescent="0.35">
      <c r="N39" s="435"/>
      <c r="O39" s="435"/>
      <c r="P39" s="435"/>
      <c r="Q39" s="435"/>
      <c r="R39" s="435"/>
      <c r="S39" s="435"/>
      <c r="T39" s="435"/>
      <c r="U39" s="435"/>
      <c r="V39" s="435"/>
      <c r="W39" s="435"/>
      <c r="X39" s="435"/>
    </row>
    <row r="40" spans="1:27" x14ac:dyDescent="0.35">
      <c r="M40" s="3"/>
      <c r="N40" s="3"/>
      <c r="O40" s="3"/>
      <c r="P40" s="3"/>
      <c r="Q40" s="3"/>
      <c r="R40" s="3"/>
      <c r="S40" s="3"/>
      <c r="T40" s="3"/>
      <c r="U40" s="3"/>
      <c r="V40" s="3"/>
      <c r="W40" s="3"/>
      <c r="X40" s="3"/>
      <c r="Y40" s="3"/>
      <c r="Z40" s="3"/>
      <c r="AA40" s="3"/>
    </row>
    <row r="41" spans="1:27" x14ac:dyDescent="0.35">
      <c r="A41" s="4" t="s">
        <v>346</v>
      </c>
      <c r="B41" s="3"/>
      <c r="C41" s="3"/>
      <c r="D41" s="3"/>
      <c r="E41" s="3"/>
      <c r="F41" s="3"/>
      <c r="G41" s="3"/>
      <c r="H41" s="3"/>
      <c r="I41" s="3"/>
      <c r="M41" s="3"/>
      <c r="N41" s="3"/>
      <c r="O41" s="3"/>
      <c r="P41" s="3"/>
      <c r="Q41" s="3"/>
      <c r="R41" s="3"/>
      <c r="S41" s="3"/>
      <c r="T41" s="3"/>
      <c r="U41" s="3"/>
      <c r="V41" s="3"/>
      <c r="W41" s="3"/>
      <c r="X41" s="3"/>
      <c r="Y41" s="3"/>
      <c r="Z41" s="3"/>
      <c r="AA41" s="3"/>
    </row>
    <row r="42" spans="1:27" x14ac:dyDescent="0.35">
      <c r="A42" s="3" t="s">
        <v>288</v>
      </c>
      <c r="B42" s="3"/>
      <c r="C42" s="3"/>
      <c r="D42" s="3"/>
      <c r="E42" s="3"/>
      <c r="F42" s="3"/>
      <c r="G42" s="3"/>
      <c r="H42" s="3"/>
      <c r="I42" s="3"/>
      <c r="M42" s="3"/>
      <c r="N42" s="3"/>
      <c r="O42" s="3"/>
      <c r="P42" s="3"/>
      <c r="Q42" s="3"/>
      <c r="R42" s="3"/>
      <c r="S42" s="3"/>
      <c r="T42" s="3"/>
      <c r="U42" s="3"/>
      <c r="V42" s="3"/>
      <c r="W42" s="3"/>
      <c r="X42" s="3"/>
      <c r="Y42" s="3"/>
      <c r="Z42" s="3"/>
      <c r="AA42" s="3"/>
    </row>
    <row r="43" spans="1:27" s="2" customFormat="1" x14ac:dyDescent="0.35">
      <c r="A43" s="96" t="s">
        <v>293</v>
      </c>
      <c r="C43" s="2" t="s">
        <v>294</v>
      </c>
    </row>
    <row r="44" spans="1:27" s="2" customFormat="1" x14ac:dyDescent="0.35">
      <c r="C44" s="2" t="s">
        <v>286</v>
      </c>
    </row>
    <row r="45" spans="1:27" s="2" customFormat="1" x14ac:dyDescent="0.35">
      <c r="C45" s="2" t="s">
        <v>287</v>
      </c>
    </row>
    <row r="46" spans="1:27" s="2" customFormat="1" x14ac:dyDescent="0.35"/>
    <row r="47" spans="1:27" s="2" customFormat="1" x14ac:dyDescent="0.35">
      <c r="A47" s="96" t="s">
        <v>289</v>
      </c>
    </row>
    <row r="48" spans="1:27" s="2" customFormat="1" x14ac:dyDescent="0.35">
      <c r="A48" s="2" t="s">
        <v>290</v>
      </c>
    </row>
    <row r="49" spans="1:27" x14ac:dyDescent="0.35">
      <c r="A49" s="2" t="s">
        <v>291</v>
      </c>
      <c r="C49" s="3"/>
      <c r="D49" s="3"/>
      <c r="E49" s="3"/>
      <c r="F49" s="3"/>
      <c r="G49" s="3"/>
      <c r="H49" s="3"/>
      <c r="I49" s="3"/>
      <c r="M49" s="3"/>
      <c r="N49" s="3"/>
      <c r="O49" s="3"/>
      <c r="P49" s="3"/>
      <c r="Q49" s="3"/>
      <c r="R49" s="3"/>
      <c r="S49" s="3"/>
      <c r="T49" s="3"/>
      <c r="U49" s="3"/>
      <c r="V49" s="3"/>
      <c r="W49" s="3"/>
      <c r="X49" s="3"/>
      <c r="Y49" s="3"/>
      <c r="Z49" s="3"/>
      <c r="AA49" s="3"/>
    </row>
    <row r="50" spans="1:27" s="3" customFormat="1" x14ac:dyDescent="0.35">
      <c r="A50" s="2" t="s">
        <v>292</v>
      </c>
    </row>
    <row r="51" spans="1:27" s="3" customFormat="1" x14ac:dyDescent="0.35">
      <c r="A51" s="2"/>
      <c r="B51" s="2"/>
      <c r="C51" s="2"/>
      <c r="D51" s="2"/>
    </row>
    <row r="52" spans="1:27" x14ac:dyDescent="0.35">
      <c r="A52" s="2" t="s">
        <v>453</v>
      </c>
      <c r="B52" s="2"/>
      <c r="C52" s="2"/>
      <c r="D52" s="2"/>
      <c r="E52" s="3"/>
      <c r="F52" s="3"/>
      <c r="G52" s="3"/>
      <c r="H52" s="3"/>
      <c r="I52" s="3"/>
      <c r="M52" s="3"/>
      <c r="N52" s="3"/>
      <c r="O52" s="3"/>
      <c r="P52" s="3"/>
      <c r="Q52" s="3"/>
      <c r="R52" s="3"/>
      <c r="S52" s="3"/>
      <c r="T52" s="3"/>
      <c r="U52" s="3"/>
      <c r="V52" s="3"/>
      <c r="W52" s="3"/>
      <c r="X52" s="3"/>
      <c r="Y52" s="3"/>
      <c r="Z52" s="3"/>
      <c r="AA52" s="3"/>
    </row>
    <row r="53" spans="1:27" x14ac:dyDescent="0.35">
      <c r="A53" s="2" t="s">
        <v>157</v>
      </c>
      <c r="B53" s="2"/>
      <c r="C53" s="257" t="s">
        <v>452</v>
      </c>
      <c r="D53" s="2"/>
      <c r="E53" s="3"/>
      <c r="F53" s="3"/>
      <c r="G53" s="3"/>
      <c r="H53" s="3"/>
      <c r="I53" s="3"/>
      <c r="M53" s="3"/>
      <c r="N53" s="3"/>
      <c r="O53" s="3"/>
      <c r="P53" s="3"/>
      <c r="Q53" s="3"/>
      <c r="R53" s="3"/>
      <c r="S53" s="3"/>
      <c r="T53" s="3"/>
      <c r="U53" s="3"/>
      <c r="V53" s="3"/>
      <c r="W53" s="3"/>
      <c r="X53" s="3"/>
      <c r="Y53" s="3"/>
      <c r="Z53" s="3"/>
      <c r="AA53" s="3"/>
    </row>
    <row r="54" spans="1:27" x14ac:dyDescent="0.35">
      <c r="C54" s="3"/>
      <c r="D54" s="3"/>
      <c r="E54" s="3"/>
      <c r="F54" s="3"/>
      <c r="G54" s="3"/>
      <c r="H54" s="3"/>
      <c r="I54" s="3"/>
      <c r="M54" s="3"/>
      <c r="N54" s="3"/>
      <c r="O54" s="3"/>
      <c r="P54" s="3"/>
      <c r="Q54" s="3"/>
      <c r="R54" s="3"/>
      <c r="S54" s="3"/>
      <c r="T54" s="3"/>
      <c r="U54" s="3"/>
      <c r="V54" s="3"/>
      <c r="W54" s="3"/>
      <c r="X54" s="3"/>
      <c r="Y54" s="3"/>
      <c r="Z54" s="3"/>
      <c r="AA54" s="3"/>
    </row>
    <row r="55" spans="1:27" x14ac:dyDescent="0.35">
      <c r="C55" s="3"/>
      <c r="D55" s="3"/>
      <c r="E55" s="3"/>
      <c r="F55" s="3"/>
      <c r="G55" s="3"/>
      <c r="H55" s="3"/>
      <c r="I55" s="3"/>
      <c r="M55" s="3"/>
      <c r="N55" s="3"/>
      <c r="O55" s="3"/>
      <c r="P55" s="3"/>
      <c r="Q55" s="3"/>
      <c r="R55" s="3"/>
      <c r="S55" s="3"/>
      <c r="T55" s="3"/>
      <c r="U55" s="3"/>
      <c r="V55" s="3"/>
      <c r="W55" s="3"/>
      <c r="X55" s="3"/>
      <c r="Y55" s="3"/>
      <c r="Z55" s="3"/>
      <c r="AA55" s="3"/>
    </row>
    <row r="56" spans="1:27" x14ac:dyDescent="0.35">
      <c r="C56" s="3"/>
      <c r="D56" s="3"/>
      <c r="E56" s="3"/>
      <c r="F56" s="3"/>
      <c r="G56" s="3"/>
      <c r="H56" s="3"/>
      <c r="I56" s="3"/>
      <c r="M56" s="3"/>
      <c r="N56" s="3"/>
      <c r="O56" s="3"/>
      <c r="P56" s="3"/>
      <c r="Q56" s="3"/>
      <c r="R56" s="3"/>
      <c r="S56" s="3"/>
      <c r="T56" s="3"/>
      <c r="U56" s="3"/>
      <c r="V56" s="3"/>
      <c r="W56" s="3"/>
      <c r="X56" s="3"/>
      <c r="Y56" s="3"/>
      <c r="Z56" s="3"/>
      <c r="AA56" s="3"/>
    </row>
    <row r="57" spans="1:27" x14ac:dyDescent="0.35">
      <c r="C57" s="3"/>
      <c r="D57" s="3"/>
      <c r="E57" s="3"/>
      <c r="F57" s="3"/>
      <c r="G57" s="3"/>
      <c r="H57" s="3"/>
      <c r="I57" s="3"/>
      <c r="M57" s="3"/>
      <c r="N57" s="3"/>
      <c r="O57" s="3"/>
      <c r="P57" s="3"/>
      <c r="Q57" s="3"/>
      <c r="R57" s="3"/>
      <c r="S57" s="3"/>
      <c r="T57" s="3"/>
      <c r="U57" s="3"/>
      <c r="V57" s="3"/>
      <c r="W57" s="3"/>
      <c r="X57" s="3"/>
      <c r="Y57" s="3"/>
      <c r="Z57" s="3"/>
      <c r="AA57" s="3"/>
    </row>
    <row r="58" spans="1:27" x14ac:dyDescent="0.35">
      <c r="C58" s="3"/>
      <c r="D58" s="3"/>
      <c r="E58" s="3"/>
      <c r="F58" s="3"/>
      <c r="G58" s="3"/>
      <c r="H58" s="3"/>
      <c r="I58" s="3"/>
      <c r="M58" s="3"/>
      <c r="N58" s="3"/>
      <c r="O58" s="3"/>
      <c r="P58" s="3"/>
      <c r="Q58" s="3"/>
      <c r="R58" s="3"/>
      <c r="S58" s="3"/>
      <c r="T58" s="3"/>
      <c r="U58" s="3"/>
      <c r="V58" s="3"/>
      <c r="W58" s="3"/>
      <c r="X58" s="3"/>
      <c r="Y58" s="3"/>
      <c r="Z58" s="3"/>
      <c r="AA58" s="3"/>
    </row>
    <row r="59" spans="1:27" x14ac:dyDescent="0.35">
      <c r="C59" s="3"/>
      <c r="D59" s="3"/>
      <c r="E59" s="3"/>
      <c r="F59" s="3"/>
      <c r="G59" s="3"/>
      <c r="H59" s="3"/>
      <c r="I59" s="3"/>
      <c r="M59" s="3"/>
      <c r="N59" s="3"/>
      <c r="O59" s="3"/>
      <c r="P59" s="3"/>
      <c r="Q59" s="3"/>
      <c r="R59" s="3"/>
      <c r="S59" s="3"/>
      <c r="T59" s="3"/>
      <c r="U59" s="3"/>
      <c r="V59" s="3"/>
      <c r="W59" s="3"/>
      <c r="X59" s="3"/>
      <c r="Y59" s="3"/>
      <c r="Z59" s="3"/>
      <c r="AA59" s="3"/>
    </row>
    <row r="60" spans="1:27" x14ac:dyDescent="0.35">
      <c r="C60" s="3"/>
      <c r="D60" s="3"/>
      <c r="E60" s="3"/>
      <c r="F60" s="3"/>
      <c r="G60" s="3"/>
      <c r="H60" s="3"/>
      <c r="I60" s="3"/>
      <c r="M60" s="3"/>
      <c r="N60" s="3"/>
      <c r="O60" s="3"/>
      <c r="P60" s="3"/>
      <c r="Q60" s="3"/>
      <c r="R60" s="3"/>
      <c r="S60" s="3"/>
      <c r="T60" s="3"/>
      <c r="U60" s="3"/>
      <c r="V60" s="3"/>
      <c r="W60" s="3"/>
      <c r="X60" s="3"/>
      <c r="Y60" s="3"/>
      <c r="Z60" s="3"/>
      <c r="AA60" s="3"/>
    </row>
  </sheetData>
  <mergeCells count="4">
    <mergeCell ref="G8:L9"/>
    <mergeCell ref="A8:E9"/>
    <mergeCell ref="A21:E22"/>
    <mergeCell ref="N5:X39"/>
  </mergeCells>
  <dataValidations count="1">
    <dataValidation type="list" allowBlank="1" showInputMessage="1" showErrorMessage="1" sqref="B6">
      <formula1>ProgramGoals</formula1>
    </dataValidation>
  </dataValidations>
  <pageMargins left="0.7" right="0.7" top="0.75" bottom="0.75" header="0.3" footer="0.3"/>
  <pageSetup scale="78" orientation="portrait" r:id="rId1"/>
  <colBreaks count="1" manualBreakCount="1">
    <brk id="12" max="5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Notes'!$B$151:$B$154</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WhiteSpace="0" topLeftCell="A3" zoomScaleNormal="100" zoomScaleSheetLayoutView="50" workbookViewId="0">
      <selection activeCell="F5" sqref="F5"/>
    </sheetView>
  </sheetViews>
  <sheetFormatPr defaultColWidth="9.08984375" defaultRowHeight="12.5" x14ac:dyDescent="0.25"/>
  <cols>
    <col min="1" max="1" width="4.08984375" style="16" customWidth="1"/>
    <col min="2" max="2" width="4" style="16" customWidth="1"/>
    <col min="3" max="3" width="31.08984375" style="16" customWidth="1"/>
    <col min="4" max="6" width="40.6328125" style="16" customWidth="1"/>
    <col min="7" max="7" width="10.54296875" style="16" customWidth="1"/>
    <col min="8" max="8" width="4.08984375" style="16" customWidth="1"/>
    <col min="9" max="16384" width="9.08984375" style="16"/>
  </cols>
  <sheetData>
    <row r="1" spans="1:8" ht="25.5" customHeight="1" x14ac:dyDescent="0.35">
      <c r="A1" s="442"/>
      <c r="B1" s="442"/>
      <c r="C1" s="442"/>
      <c r="D1" s="8"/>
      <c r="E1" s="9" t="s">
        <v>75</v>
      </c>
      <c r="F1" s="9"/>
    </row>
    <row r="2" spans="1:8" ht="21" customHeight="1" x14ac:dyDescent="0.3">
      <c r="B2" s="443"/>
      <c r="C2" s="443"/>
      <c r="D2" s="8"/>
      <c r="E2" s="10" t="s">
        <v>76</v>
      </c>
      <c r="F2" s="28"/>
    </row>
    <row r="3" spans="1:8" ht="28.5" customHeight="1" thickBot="1" x14ac:dyDescent="0.35">
      <c r="B3" s="444"/>
      <c r="C3" s="444"/>
      <c r="D3" s="8"/>
      <c r="E3" s="451" t="s">
        <v>167</v>
      </c>
      <c r="F3" s="451"/>
    </row>
    <row r="4" spans="1:8" ht="38.25" customHeight="1" thickBot="1" x14ac:dyDescent="0.3">
      <c r="B4" s="445" t="s">
        <v>94</v>
      </c>
      <c r="C4" s="446"/>
      <c r="D4" s="149" t="s">
        <v>97</v>
      </c>
      <c r="E4" s="452"/>
      <c r="F4" s="452"/>
    </row>
    <row r="5" spans="1:8" ht="38.25" customHeight="1" thickBot="1" x14ac:dyDescent="0.4">
      <c r="B5" s="445" t="s">
        <v>193</v>
      </c>
      <c r="C5" s="446"/>
      <c r="D5" s="149" t="s">
        <v>62</v>
      </c>
      <c r="E5" s="164"/>
      <c r="F5" s="164"/>
    </row>
    <row r="6" spans="1:8" ht="15.75" customHeight="1" thickBot="1" x14ac:dyDescent="0.35">
      <c r="B6" s="30"/>
      <c r="C6" s="30"/>
      <c r="D6" s="8"/>
      <c r="E6" s="11"/>
      <c r="F6" s="10"/>
    </row>
    <row r="7" spans="1:8" ht="25.5" customHeight="1" thickTop="1" x14ac:dyDescent="0.25">
      <c r="A7" s="447" t="s">
        <v>74</v>
      </c>
      <c r="B7" s="448"/>
      <c r="C7" s="448"/>
      <c r="D7" s="448"/>
      <c r="E7" s="448"/>
      <c r="F7" s="448"/>
      <c r="G7" s="449"/>
      <c r="H7" s="450"/>
    </row>
    <row r="8" spans="1:8" ht="15.75" customHeight="1" x14ac:dyDescent="0.25">
      <c r="A8" s="12"/>
      <c r="B8" s="436" t="s">
        <v>77</v>
      </c>
      <c r="C8" s="437"/>
      <c r="D8" s="440" t="s">
        <v>78</v>
      </c>
      <c r="E8" s="440"/>
      <c r="F8" s="441"/>
      <c r="G8" s="436" t="s">
        <v>140</v>
      </c>
      <c r="H8" s="13"/>
    </row>
    <row r="9" spans="1:8" ht="16" thickBot="1" x14ac:dyDescent="0.3">
      <c r="A9" s="12"/>
      <c r="B9" s="438"/>
      <c r="C9" s="439"/>
      <c r="D9" s="31" t="s">
        <v>137</v>
      </c>
      <c r="E9" s="31" t="s">
        <v>138</v>
      </c>
      <c r="F9" s="29" t="s">
        <v>139</v>
      </c>
      <c r="G9" s="438"/>
      <c r="H9" s="13"/>
    </row>
    <row r="10" spans="1:8" ht="60.65" customHeight="1" thickBot="1" x14ac:dyDescent="0.3">
      <c r="A10" s="17"/>
      <c r="B10" s="23">
        <v>1</v>
      </c>
      <c r="C10" s="19" t="s">
        <v>449</v>
      </c>
      <c r="D10" s="20" t="s">
        <v>435</v>
      </c>
      <c r="E10" s="20" t="s">
        <v>436</v>
      </c>
      <c r="F10" s="21" t="s">
        <v>437</v>
      </c>
      <c r="G10" s="22" t="s">
        <v>97</v>
      </c>
      <c r="H10" s="18"/>
    </row>
    <row r="11" spans="1:8" ht="32.4" customHeight="1" thickBot="1" x14ac:dyDescent="0.3">
      <c r="A11" s="17"/>
      <c r="B11" s="23">
        <v>2</v>
      </c>
      <c r="C11" s="19" t="s">
        <v>170</v>
      </c>
      <c r="D11" s="20" t="s">
        <v>434</v>
      </c>
      <c r="E11" s="20" t="s">
        <v>439</v>
      </c>
      <c r="F11" s="21" t="s">
        <v>438</v>
      </c>
      <c r="G11" s="22" t="s">
        <v>97</v>
      </c>
      <c r="H11" s="18"/>
    </row>
    <row r="12" spans="1:8" ht="32" customHeight="1" thickBot="1" x14ac:dyDescent="0.3">
      <c r="A12" s="17"/>
      <c r="B12" s="23">
        <v>3</v>
      </c>
      <c r="C12" s="19" t="s">
        <v>181</v>
      </c>
      <c r="D12" s="20" t="s">
        <v>430</v>
      </c>
      <c r="E12" s="20" t="s">
        <v>429</v>
      </c>
      <c r="F12" s="21" t="s">
        <v>428</v>
      </c>
      <c r="G12" s="36" t="s">
        <v>97</v>
      </c>
      <c r="H12" s="18"/>
    </row>
    <row r="13" spans="1:8" ht="30.65" customHeight="1" thickBot="1" x14ac:dyDescent="0.3">
      <c r="A13" s="17"/>
      <c r="B13" s="23">
        <v>4</v>
      </c>
      <c r="C13" s="19" t="s">
        <v>171</v>
      </c>
      <c r="D13" s="20" t="s">
        <v>172</v>
      </c>
      <c r="E13" s="20" t="s">
        <v>173</v>
      </c>
      <c r="F13" s="21" t="s">
        <v>440</v>
      </c>
      <c r="G13" s="35" t="s">
        <v>97</v>
      </c>
      <c r="H13" s="18"/>
    </row>
    <row r="14" spans="1:8" ht="57" customHeight="1" thickBot="1" x14ac:dyDescent="0.3">
      <c r="A14" s="17"/>
      <c r="B14" s="23">
        <v>5</v>
      </c>
      <c r="C14" s="19" t="s">
        <v>174</v>
      </c>
      <c r="D14" s="20" t="s">
        <v>142</v>
      </c>
      <c r="E14" s="20" t="s">
        <v>175</v>
      </c>
      <c r="F14" s="21" t="s">
        <v>143</v>
      </c>
      <c r="G14" s="22" t="s">
        <v>97</v>
      </c>
      <c r="H14" s="18"/>
    </row>
    <row r="15" spans="1:8" ht="44.4" customHeight="1" thickBot="1" x14ac:dyDescent="0.3">
      <c r="A15" s="17"/>
      <c r="B15" s="23">
        <v>6</v>
      </c>
      <c r="C15" s="19" t="s">
        <v>176</v>
      </c>
      <c r="D15" s="20" t="s">
        <v>433</v>
      </c>
      <c r="E15" s="20" t="s">
        <v>432</v>
      </c>
      <c r="F15" s="21" t="s">
        <v>431</v>
      </c>
      <c r="G15" s="35" t="s">
        <v>97</v>
      </c>
      <c r="H15" s="18"/>
    </row>
    <row r="16" spans="1:8" ht="42.65" customHeight="1" thickBot="1" x14ac:dyDescent="0.3">
      <c r="A16" s="17"/>
      <c r="B16" s="23">
        <v>7</v>
      </c>
      <c r="C16" s="19" t="s">
        <v>177</v>
      </c>
      <c r="D16" s="20" t="s">
        <v>178</v>
      </c>
      <c r="E16" s="20" t="s">
        <v>179</v>
      </c>
      <c r="F16" s="21" t="s">
        <v>180</v>
      </c>
      <c r="G16" s="36" t="s">
        <v>141</v>
      </c>
      <c r="H16" s="18"/>
    </row>
    <row r="17" spans="1:8" s="24" customFormat="1" ht="60.65" customHeight="1" thickBot="1" x14ac:dyDescent="0.3">
      <c r="A17" s="17"/>
      <c r="B17" s="23">
        <v>8</v>
      </c>
      <c r="C17" s="32" t="s">
        <v>182</v>
      </c>
      <c r="D17" s="33" t="s">
        <v>183</v>
      </c>
      <c r="E17" s="33" t="s">
        <v>184</v>
      </c>
      <c r="F17" s="34" t="s">
        <v>427</v>
      </c>
      <c r="G17" s="36" t="s">
        <v>97</v>
      </c>
      <c r="H17" s="18"/>
    </row>
    <row r="18" spans="1:8" ht="75.650000000000006" customHeight="1" thickBot="1" x14ac:dyDescent="0.3">
      <c r="A18" s="17"/>
      <c r="B18" s="23">
        <v>9</v>
      </c>
      <c r="C18" s="19" t="s">
        <v>185</v>
      </c>
      <c r="D18" s="20" t="s">
        <v>186</v>
      </c>
      <c r="E18" s="20" t="s">
        <v>426</v>
      </c>
      <c r="F18" s="20" t="s">
        <v>425</v>
      </c>
      <c r="G18" s="36" t="s">
        <v>97</v>
      </c>
      <c r="H18" s="18"/>
    </row>
    <row r="19" spans="1:8" ht="19.25" customHeight="1" thickBot="1" x14ac:dyDescent="0.3">
      <c r="A19" s="17"/>
      <c r="B19" s="23">
        <v>10</v>
      </c>
      <c r="C19" s="19" t="s">
        <v>187</v>
      </c>
      <c r="D19" s="20" t="s">
        <v>422</v>
      </c>
      <c r="E19" s="20" t="s">
        <v>423</v>
      </c>
      <c r="F19" s="21" t="s">
        <v>424</v>
      </c>
      <c r="G19" s="35" t="s">
        <v>96</v>
      </c>
      <c r="H19" s="18"/>
    </row>
    <row r="20" spans="1:8" ht="71.400000000000006" customHeight="1" thickBot="1" x14ac:dyDescent="0.3">
      <c r="A20" s="17"/>
      <c r="B20" s="23">
        <v>11</v>
      </c>
      <c r="C20" s="32" t="s">
        <v>48</v>
      </c>
      <c r="D20" s="33" t="s">
        <v>444</v>
      </c>
      <c r="E20" s="33" t="s">
        <v>445</v>
      </c>
      <c r="F20" s="34" t="s">
        <v>446</v>
      </c>
      <c r="G20" s="35" t="s">
        <v>141</v>
      </c>
      <c r="H20" s="18"/>
    </row>
    <row r="21" spans="1:8" ht="33.65" customHeight="1" thickBot="1" x14ac:dyDescent="0.3">
      <c r="A21" s="17"/>
      <c r="B21" s="23">
        <v>12</v>
      </c>
      <c r="C21" s="40" t="s">
        <v>188</v>
      </c>
      <c r="D21" s="41" t="s">
        <v>419</v>
      </c>
      <c r="E21" s="41" t="s">
        <v>420</v>
      </c>
      <c r="F21" s="41" t="s">
        <v>421</v>
      </c>
      <c r="G21" s="35" t="s">
        <v>97</v>
      </c>
      <c r="H21" s="18"/>
    </row>
    <row r="22" spans="1:8" ht="32.25" customHeight="1" thickBot="1" x14ac:dyDescent="0.3">
      <c r="A22" s="17"/>
      <c r="B22" s="23">
        <v>13</v>
      </c>
      <c r="C22" s="40" t="s">
        <v>81</v>
      </c>
      <c r="D22" s="41"/>
      <c r="E22" s="41"/>
      <c r="F22" s="41"/>
      <c r="G22" s="35"/>
      <c r="H22" s="18"/>
    </row>
    <row r="23" spans="1:8" ht="14.5" thickBot="1" x14ac:dyDescent="0.3">
      <c r="A23" s="25"/>
      <c r="B23" s="14"/>
      <c r="C23" s="26"/>
      <c r="D23" s="26"/>
      <c r="E23" s="26"/>
      <c r="F23" s="26"/>
      <c r="G23" s="26"/>
      <c r="H23" s="27"/>
    </row>
    <row r="24" spans="1:8" ht="13" thickTop="1" x14ac:dyDescent="0.25"/>
  </sheetData>
  <mergeCells count="10">
    <mergeCell ref="B8:C9"/>
    <mergeCell ref="D8:F8"/>
    <mergeCell ref="G8:G9"/>
    <mergeCell ref="A1:C1"/>
    <mergeCell ref="B2:C2"/>
    <mergeCell ref="B3:C3"/>
    <mergeCell ref="B4:C4"/>
    <mergeCell ref="A7:H7"/>
    <mergeCell ref="E3:F4"/>
    <mergeCell ref="B5:C5"/>
  </mergeCells>
  <dataValidations count="1">
    <dataValidation type="list" allowBlank="1" showInputMessage="1" showErrorMessage="1" sqref="D4">
      <formula1>CatchmentAssessment</formula1>
    </dataValidation>
  </dataValidations>
  <printOptions horizontalCentered="1" verticalCentered="1"/>
  <pageMargins left="0.95" right="0.95" top="0.5" bottom="0.5" header="0.3" footer="0.3"/>
  <pageSetup scale="60" orientation="landscape" r:id="rId1"/>
  <headerFooter>
    <oddFooter>&amp;L&amp;12Version 2.0&amp;C&amp;12Catchment Assessment Form &amp;P of &amp;N&amp;R12-28-2016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Notes'!$B$51:$B$53</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9"/>
  <sheetViews>
    <sheetView showGridLines="0" topLeftCell="A112" zoomScale="90" zoomScaleNormal="90" zoomScaleSheetLayoutView="50" zoomScalePageLayoutView="55" workbookViewId="0">
      <selection activeCell="E126" sqref="E126"/>
    </sheetView>
  </sheetViews>
  <sheetFormatPr defaultRowHeight="14.5" x14ac:dyDescent="0.35"/>
  <cols>
    <col min="1" max="1" width="40.36328125" customWidth="1"/>
    <col min="2" max="2" width="35.36328125" customWidth="1"/>
    <col min="3" max="3" width="41" bestFit="1" customWidth="1"/>
    <col min="4" max="4" width="25.08984375" style="3" customWidth="1"/>
    <col min="5" max="5" width="21" customWidth="1"/>
    <col min="6" max="6" width="12.6328125" customWidth="1"/>
    <col min="7" max="7" width="14.453125" style="3" customWidth="1"/>
    <col min="8" max="8" width="14.54296875" customWidth="1"/>
    <col min="9" max="9" width="19.36328125" style="3" bestFit="1" customWidth="1"/>
    <col min="10" max="10" width="10.08984375" customWidth="1"/>
    <col min="11" max="11" width="19.36328125" bestFit="1" customWidth="1"/>
    <col min="12" max="12" width="18.54296875" customWidth="1"/>
    <col min="13" max="13" width="13.6328125" customWidth="1"/>
  </cols>
  <sheetData>
    <row r="1" spans="1:11" s="3" customFormat="1" x14ac:dyDescent="0.35">
      <c r="A1" s="214" t="s">
        <v>354</v>
      </c>
      <c r="B1" s="151"/>
      <c r="C1" s="151"/>
      <c r="D1" s="151"/>
      <c r="E1" s="151"/>
      <c r="F1" s="151"/>
      <c r="G1" s="151"/>
    </row>
    <row r="2" spans="1:11" s="2" customFormat="1" x14ac:dyDescent="0.35">
      <c r="A2" s="215"/>
    </row>
    <row r="3" spans="1:11" ht="21" x14ac:dyDescent="0.5">
      <c r="A3" s="495" t="s">
        <v>122</v>
      </c>
      <c r="B3" s="496"/>
      <c r="D3" s="463" t="s">
        <v>68</v>
      </c>
      <c r="E3" s="464"/>
      <c r="F3" s="464"/>
      <c r="G3" s="464"/>
      <c r="H3" s="464"/>
      <c r="I3" s="464"/>
      <c r="J3" s="465"/>
    </row>
    <row r="4" spans="1:11" s="3" customFormat="1" ht="15.5" x14ac:dyDescent="0.35">
      <c r="A4" s="497"/>
      <c r="B4" s="498"/>
      <c r="D4" s="486" t="s">
        <v>69</v>
      </c>
      <c r="E4" s="487"/>
      <c r="F4" s="487"/>
      <c r="G4" s="487"/>
      <c r="H4" s="487"/>
      <c r="I4" s="487"/>
      <c r="J4" s="488"/>
    </row>
    <row r="5" spans="1:11" ht="15.5" x14ac:dyDescent="0.35">
      <c r="A5" s="42" t="s">
        <v>123</v>
      </c>
      <c r="B5" s="43" t="s">
        <v>454</v>
      </c>
      <c r="D5" s="489" t="s">
        <v>169</v>
      </c>
      <c r="E5" s="490"/>
      <c r="F5" s="490"/>
      <c r="G5" s="490"/>
      <c r="H5" s="490"/>
      <c r="I5" s="490"/>
      <c r="J5" s="491"/>
    </row>
    <row r="6" spans="1:11" s="3" customFormat="1" ht="15.5" x14ac:dyDescent="0.35">
      <c r="A6" s="42" t="s">
        <v>114</v>
      </c>
      <c r="B6" s="43">
        <v>1</v>
      </c>
      <c r="D6" s="501" t="s">
        <v>168</v>
      </c>
      <c r="E6" s="502"/>
      <c r="F6" s="502"/>
      <c r="G6" s="502"/>
      <c r="H6" s="502"/>
      <c r="I6" s="502"/>
      <c r="J6" s="503"/>
    </row>
    <row r="7" spans="1:11" s="3" customFormat="1" ht="15.5" x14ac:dyDescent="0.35">
      <c r="A7" s="42" t="s">
        <v>57</v>
      </c>
      <c r="B7" s="146" t="s">
        <v>62</v>
      </c>
      <c r="C7" s="2"/>
    </row>
    <row r="8" spans="1:11" s="3" customFormat="1" ht="20" customHeight="1" x14ac:dyDescent="0.5">
      <c r="A8" s="42" t="s">
        <v>115</v>
      </c>
      <c r="B8" s="146" t="s">
        <v>103</v>
      </c>
      <c r="C8" s="2"/>
      <c r="D8" s="463" t="s">
        <v>330</v>
      </c>
      <c r="E8" s="464"/>
      <c r="F8" s="465"/>
      <c r="H8" s="463" t="s">
        <v>350</v>
      </c>
      <c r="I8" s="464"/>
      <c r="J8" s="465"/>
      <c r="K8" s="189"/>
    </row>
    <row r="9" spans="1:11" ht="21" x14ac:dyDescent="0.5">
      <c r="A9" s="42" t="s">
        <v>295</v>
      </c>
      <c r="B9" s="146" t="s">
        <v>10</v>
      </c>
      <c r="C9" s="38"/>
      <c r="D9" s="89" t="s">
        <v>131</v>
      </c>
      <c r="E9" s="90"/>
      <c r="F9" s="45">
        <f>IFERROR(ROUND(J46,2),"")</f>
        <v>0.33</v>
      </c>
      <c r="G9" s="99"/>
      <c r="H9" s="220">
        <f>F17</f>
        <v>702</v>
      </c>
      <c r="I9" s="221" t="s">
        <v>351</v>
      </c>
      <c r="J9" s="222" t="str">
        <f>IF(F17="","",IF(F17&gt;0,"Lift","Loss"))</f>
        <v>Lift</v>
      </c>
      <c r="K9" s="189"/>
    </row>
    <row r="10" spans="1:11" s="3" customFormat="1" ht="15.65" customHeight="1" x14ac:dyDescent="0.5">
      <c r="A10" s="42" t="s">
        <v>407</v>
      </c>
      <c r="B10" s="146" t="s">
        <v>255</v>
      </c>
      <c r="C10" s="38"/>
      <c r="D10" s="91" t="s">
        <v>132</v>
      </c>
      <c r="E10" s="92"/>
      <c r="F10" s="45">
        <f>IFERROR(ROUND(J89,2),"")</f>
        <v>0.86</v>
      </c>
      <c r="G10" s="102"/>
      <c r="H10" s="189"/>
      <c r="I10" s="428"/>
      <c r="J10" s="189"/>
      <c r="K10" s="189"/>
    </row>
    <row r="11" spans="1:11" s="3" customFormat="1" ht="15.65" customHeight="1" x14ac:dyDescent="0.5">
      <c r="A11" s="44" t="s">
        <v>189</v>
      </c>
      <c r="B11" s="146" t="s">
        <v>206</v>
      </c>
      <c r="C11" s="38"/>
      <c r="D11" s="89" t="s">
        <v>349</v>
      </c>
      <c r="E11" s="95"/>
      <c r="F11" s="97">
        <f>IFERROR(F10-F9,"")</f>
        <v>0.53</v>
      </c>
      <c r="G11" s="102"/>
      <c r="H11" s="189"/>
      <c r="I11" s="189"/>
      <c r="J11" s="189"/>
      <c r="K11" s="189"/>
    </row>
    <row r="12" spans="1:11" ht="15.65" customHeight="1" x14ac:dyDescent="0.5">
      <c r="A12" s="42" t="s">
        <v>441</v>
      </c>
      <c r="B12" s="43">
        <v>20</v>
      </c>
      <c r="C12" s="39"/>
      <c r="D12" s="89" t="s">
        <v>70</v>
      </c>
      <c r="E12" s="90"/>
      <c r="F12" s="46">
        <f>IF(B14="","",B14)</f>
        <v>1000</v>
      </c>
      <c r="G12" s="103"/>
      <c r="H12" s="189"/>
      <c r="I12" s="189"/>
      <c r="J12" s="189"/>
      <c r="K12" s="189"/>
    </row>
    <row r="13" spans="1:11" s="3" customFormat="1" ht="15.65" customHeight="1" x14ac:dyDescent="0.5">
      <c r="A13" s="44" t="s">
        <v>99</v>
      </c>
      <c r="B13" s="146" t="s">
        <v>259</v>
      </c>
      <c r="C13" s="38"/>
      <c r="D13" s="89" t="s">
        <v>95</v>
      </c>
      <c r="E13" s="90"/>
      <c r="F13" s="46">
        <f>IF(B15="","",B15)</f>
        <v>1200</v>
      </c>
      <c r="G13" s="102"/>
      <c r="H13" s="189"/>
      <c r="I13" s="189"/>
      <c r="J13" s="189"/>
      <c r="K13" s="189"/>
    </row>
    <row r="14" spans="1:11" ht="15.5" x14ac:dyDescent="0.35">
      <c r="A14" s="42" t="s">
        <v>67</v>
      </c>
      <c r="B14" s="43">
        <v>1000</v>
      </c>
      <c r="C14" s="39"/>
      <c r="D14" s="81" t="s">
        <v>347</v>
      </c>
      <c r="E14" s="82"/>
      <c r="F14" s="46">
        <f>IFERROR(F13-F12,"")</f>
        <v>200</v>
      </c>
      <c r="G14" s="102"/>
      <c r="H14" s="7"/>
      <c r="J14" s="7"/>
      <c r="K14" s="7"/>
    </row>
    <row r="15" spans="1:11" s="3" customFormat="1" ht="21" customHeight="1" x14ac:dyDescent="0.5">
      <c r="A15" s="42" t="s">
        <v>66</v>
      </c>
      <c r="B15" s="43">
        <v>1200</v>
      </c>
      <c r="C15" s="39"/>
      <c r="D15" s="81" t="s">
        <v>409</v>
      </c>
      <c r="E15" s="82"/>
      <c r="F15" s="47">
        <f>IFERROR(F9*F12,"")</f>
        <v>330</v>
      </c>
      <c r="G15" s="102"/>
      <c r="H15" s="189"/>
      <c r="I15" s="189"/>
      <c r="J15" s="189"/>
      <c r="K15" s="189"/>
    </row>
    <row r="16" spans="1:11" ht="15.65" customHeight="1" x14ac:dyDescent="0.5">
      <c r="A16" s="42" t="s">
        <v>98</v>
      </c>
      <c r="B16" s="43">
        <v>0.5</v>
      </c>
      <c r="C16" s="38"/>
      <c r="D16" s="93" t="s">
        <v>410</v>
      </c>
      <c r="E16" s="94"/>
      <c r="F16" s="47">
        <f>IFERROR(F13*F10,"")</f>
        <v>1032</v>
      </c>
      <c r="G16" s="101"/>
      <c r="H16" s="189"/>
      <c r="I16" s="189"/>
      <c r="J16" s="189"/>
      <c r="K16" s="189"/>
    </row>
    <row r="17" spans="1:12" ht="15.65" customHeight="1" x14ac:dyDescent="0.5">
      <c r="A17" s="44" t="s">
        <v>84</v>
      </c>
      <c r="B17" s="146" t="s">
        <v>212</v>
      </c>
      <c r="C17" s="39"/>
      <c r="D17" s="91" t="s">
        <v>408</v>
      </c>
      <c r="E17" s="100"/>
      <c r="F17" s="98">
        <f>IFERROR(F16-F15,"")</f>
        <v>702</v>
      </c>
      <c r="G17" s="101"/>
      <c r="H17" s="189"/>
      <c r="I17" s="189"/>
      <c r="J17" s="189"/>
      <c r="K17" s="189"/>
    </row>
    <row r="18" spans="1:12" s="3" customFormat="1" ht="15.65" customHeight="1" x14ac:dyDescent="0.5">
      <c r="A18" s="44" t="s">
        <v>92</v>
      </c>
      <c r="B18" s="146" t="s">
        <v>249</v>
      </c>
      <c r="C18" s="39"/>
      <c r="D18" s="107" t="s">
        <v>348</v>
      </c>
      <c r="E18" s="105"/>
      <c r="F18" s="106">
        <f>IFERROR(F17/F15,"")</f>
        <v>2.1272727272727274</v>
      </c>
      <c r="G18" s="101"/>
      <c r="H18" s="189"/>
      <c r="I18" s="189"/>
      <c r="J18" s="189"/>
      <c r="K18" s="189"/>
    </row>
    <row r="19" spans="1:12" s="3" customFormat="1" ht="15.65" customHeight="1" x14ac:dyDescent="0.5">
      <c r="A19" s="44" t="s">
        <v>156</v>
      </c>
      <c r="B19" s="146" t="s">
        <v>151</v>
      </c>
      <c r="C19" s="39"/>
      <c r="G19" s="104"/>
      <c r="H19" s="189"/>
      <c r="I19" s="189"/>
      <c r="J19" s="189"/>
      <c r="K19" s="189"/>
      <c r="L19" s="7"/>
    </row>
    <row r="20" spans="1:12" s="3" customFormat="1" ht="23.5" x14ac:dyDescent="0.55000000000000004">
      <c r="A20" s="44" t="s">
        <v>442</v>
      </c>
      <c r="B20" s="146" t="s">
        <v>282</v>
      </c>
      <c r="C20" s="39"/>
      <c r="D20" s="518" t="str">
        <f>IF(OR(C31="",C33="",C34="",C36="",D31="",D33="",D34="",D36=""),"WARNING: Sufficient data are not provided.","")</f>
        <v/>
      </c>
      <c r="E20" s="518"/>
      <c r="F20" s="518"/>
      <c r="G20" s="518"/>
      <c r="H20" s="518"/>
      <c r="I20" s="518"/>
      <c r="J20" s="518"/>
      <c r="K20" s="518"/>
      <c r="L20" s="7"/>
    </row>
    <row r="21" spans="1:12" s="3" customFormat="1" ht="23.5" x14ac:dyDescent="0.55000000000000004">
      <c r="A21" s="44" t="s">
        <v>443</v>
      </c>
      <c r="B21" s="146"/>
      <c r="C21" s="39"/>
      <c r="D21" s="173"/>
      <c r="E21" s="173"/>
      <c r="F21" s="173"/>
      <c r="G21" s="173"/>
      <c r="H21" s="173"/>
      <c r="I21" s="173"/>
      <c r="J21" s="173"/>
      <c r="K21" s="173"/>
      <c r="L21" s="7"/>
    </row>
    <row r="22" spans="1:12" s="3" customFormat="1" ht="23.5" x14ac:dyDescent="0.55000000000000004">
      <c r="A22" s="44" t="s">
        <v>450</v>
      </c>
      <c r="B22" s="146" t="s">
        <v>360</v>
      </c>
      <c r="C22" s="39"/>
      <c r="D22" s="177"/>
      <c r="E22" s="177"/>
      <c r="F22" s="177"/>
      <c r="G22" s="177"/>
      <c r="H22" s="177"/>
      <c r="I22" s="177"/>
      <c r="J22" s="177"/>
      <c r="K22" s="177"/>
      <c r="L22" s="7"/>
    </row>
    <row r="23" spans="1:12" s="3" customFormat="1" x14ac:dyDescent="0.35">
      <c r="C23" s="2"/>
      <c r="D23" s="2"/>
      <c r="E23" s="2"/>
      <c r="F23" s="2"/>
      <c r="G23" s="2"/>
      <c r="H23" s="37"/>
      <c r="I23" s="37"/>
      <c r="J23" s="37"/>
      <c r="K23" s="37"/>
      <c r="L23" s="7"/>
    </row>
    <row r="24" spans="1:12" s="3" customFormat="1" x14ac:dyDescent="0.35">
      <c r="A24" s="1"/>
      <c r="B24" s="2"/>
      <c r="C24" s="2"/>
      <c r="D24" s="2"/>
      <c r="E24" s="2"/>
      <c r="F24" s="2"/>
      <c r="G24" s="2"/>
      <c r="H24" s="37"/>
      <c r="I24" s="37"/>
      <c r="J24" s="37"/>
      <c r="K24" s="37"/>
      <c r="L24" s="7"/>
    </row>
    <row r="25" spans="1:12" ht="30.75" customHeight="1" x14ac:dyDescent="0.35">
      <c r="A25" s="504" t="s">
        <v>133</v>
      </c>
      <c r="B25" s="505"/>
      <c r="C25" s="505"/>
      <c r="D25" s="506"/>
      <c r="E25" s="108"/>
      <c r="F25" s="507" t="s">
        <v>116</v>
      </c>
      <c r="G25" s="507"/>
      <c r="H25" s="507"/>
      <c r="I25" s="507"/>
      <c r="J25" s="507"/>
      <c r="K25" s="507"/>
    </row>
    <row r="26" spans="1:12" ht="15" customHeight="1" x14ac:dyDescent="0.35">
      <c r="A26" s="516" t="s">
        <v>1</v>
      </c>
      <c r="B26" s="516" t="s">
        <v>2</v>
      </c>
      <c r="C26" s="508" t="s">
        <v>71</v>
      </c>
      <c r="D26" s="508" t="s">
        <v>72</v>
      </c>
      <c r="E26" s="109"/>
      <c r="F26" s="492" t="s">
        <v>117</v>
      </c>
      <c r="G26" s="492"/>
      <c r="H26" s="492" t="s">
        <v>118</v>
      </c>
      <c r="I26" s="492" t="s">
        <v>119</v>
      </c>
      <c r="J26" s="492" t="s">
        <v>353</v>
      </c>
      <c r="K26" s="492"/>
      <c r="L26" s="3"/>
    </row>
    <row r="27" spans="1:12" ht="15" customHeight="1" x14ac:dyDescent="0.35">
      <c r="A27" s="517"/>
      <c r="B27" s="517"/>
      <c r="C27" s="509"/>
      <c r="D27" s="509"/>
      <c r="E27" s="109"/>
      <c r="F27" s="492"/>
      <c r="G27" s="492"/>
      <c r="H27" s="492"/>
      <c r="I27" s="492"/>
      <c r="J27" s="492"/>
      <c r="K27" s="492"/>
    </row>
    <row r="28" spans="1:12" ht="15.75" customHeight="1" x14ac:dyDescent="0.35">
      <c r="A28" s="493" t="s">
        <v>63</v>
      </c>
      <c r="B28" s="76" t="s">
        <v>100</v>
      </c>
      <c r="C28" s="48">
        <f>G46</f>
        <v>0.9</v>
      </c>
      <c r="D28" s="48">
        <f>G89</f>
        <v>0.9</v>
      </c>
      <c r="E28" s="110"/>
      <c r="F28" s="545" t="s">
        <v>63</v>
      </c>
      <c r="G28" s="546"/>
      <c r="H28" s="543">
        <f>H46</f>
        <v>0.57999999999999996</v>
      </c>
      <c r="I28" s="543">
        <f>H89</f>
        <v>0.88</v>
      </c>
      <c r="J28" s="519">
        <f>IFERROR(ROUND(I28-H28,2),"")</f>
        <v>0.3</v>
      </c>
      <c r="K28" s="520"/>
    </row>
    <row r="29" spans="1:12" ht="17.25" customHeight="1" x14ac:dyDescent="0.35">
      <c r="A29" s="494"/>
      <c r="B29" s="76" t="s">
        <v>146</v>
      </c>
      <c r="C29" s="48">
        <f>G47</f>
        <v>0.25</v>
      </c>
      <c r="D29" s="48">
        <f>G90</f>
        <v>0.86499999999999999</v>
      </c>
      <c r="E29" s="110"/>
      <c r="F29" s="547"/>
      <c r="G29" s="548"/>
      <c r="H29" s="544"/>
      <c r="I29" s="544"/>
      <c r="J29" s="521"/>
      <c r="K29" s="522"/>
    </row>
    <row r="30" spans="1:12" s="3" customFormat="1" ht="17.25" customHeight="1" x14ac:dyDescent="0.35">
      <c r="A30" s="512"/>
      <c r="B30" s="156" t="s">
        <v>170</v>
      </c>
      <c r="C30" s="48" t="str">
        <f>G50</f>
        <v/>
      </c>
      <c r="D30" s="48" t="str">
        <f>G93</f>
        <v/>
      </c>
      <c r="E30" s="110"/>
      <c r="F30" s="549" t="s">
        <v>6</v>
      </c>
      <c r="G30" s="550"/>
      <c r="H30" s="543">
        <f>H51</f>
        <v>0</v>
      </c>
      <c r="I30" s="543">
        <f>H94</f>
        <v>0.89</v>
      </c>
      <c r="J30" s="519">
        <f>IFERROR(ROUND(I30-H30,2),"")</f>
        <v>0.89</v>
      </c>
      <c r="K30" s="520"/>
    </row>
    <row r="31" spans="1:12" ht="15.75" customHeight="1" x14ac:dyDescent="0.35">
      <c r="A31" s="77" t="s">
        <v>6</v>
      </c>
      <c r="B31" s="77" t="s">
        <v>7</v>
      </c>
      <c r="C31" s="48">
        <f>G51</f>
        <v>0</v>
      </c>
      <c r="D31" s="48">
        <f>G94</f>
        <v>0.88500000000000001</v>
      </c>
      <c r="E31" s="110"/>
      <c r="F31" s="551"/>
      <c r="G31" s="552"/>
      <c r="H31" s="544"/>
      <c r="I31" s="544"/>
      <c r="J31" s="521"/>
      <c r="K31" s="522"/>
    </row>
    <row r="32" spans="1:12" ht="15.75" customHeight="1" x14ac:dyDescent="0.35">
      <c r="A32" s="477" t="s">
        <v>23</v>
      </c>
      <c r="B32" s="78" t="s">
        <v>24</v>
      </c>
      <c r="C32" s="48">
        <f>G53</f>
        <v>0.37</v>
      </c>
      <c r="D32" s="48">
        <f>G96</f>
        <v>0.7</v>
      </c>
      <c r="E32" s="110"/>
      <c r="F32" s="553" t="s">
        <v>23</v>
      </c>
      <c r="G32" s="554"/>
      <c r="H32" s="543">
        <f>H53</f>
        <v>0.22</v>
      </c>
      <c r="I32" s="543">
        <f>H96</f>
        <v>0.78</v>
      </c>
      <c r="J32" s="519">
        <f>IFERROR(ROUND(I32-H32,2),"")</f>
        <v>0.56000000000000005</v>
      </c>
      <c r="K32" s="520"/>
    </row>
    <row r="33" spans="1:15" ht="15.75" customHeight="1" x14ac:dyDescent="0.35">
      <c r="A33" s="478"/>
      <c r="B33" s="78" t="s">
        <v>46</v>
      </c>
      <c r="C33" s="48">
        <f>G55</f>
        <v>0.20500000000000002</v>
      </c>
      <c r="D33" s="48">
        <f>G98</f>
        <v>0.85</v>
      </c>
      <c r="E33" s="110"/>
      <c r="F33" s="555"/>
      <c r="G33" s="556"/>
      <c r="H33" s="544"/>
      <c r="I33" s="544"/>
      <c r="J33" s="521"/>
      <c r="K33" s="522"/>
    </row>
    <row r="34" spans="1:15" ht="15.75" customHeight="1" x14ac:dyDescent="0.35">
      <c r="A34" s="478"/>
      <c r="B34" s="78" t="s">
        <v>48</v>
      </c>
      <c r="C34" s="48">
        <f>G58</f>
        <v>0.28153846153846157</v>
      </c>
      <c r="D34" s="48">
        <f>G101</f>
        <v>0.74923076923076926</v>
      </c>
      <c r="E34" s="110"/>
      <c r="F34" s="557" t="s">
        <v>58</v>
      </c>
      <c r="G34" s="558"/>
      <c r="H34" s="543">
        <f>H77</f>
        <v>0.47</v>
      </c>
      <c r="I34" s="543">
        <f>H120</f>
        <v>0.83</v>
      </c>
      <c r="J34" s="519">
        <f>IFERROR(ROUND(I34-H34,2),"")</f>
        <v>0.36</v>
      </c>
      <c r="K34" s="520"/>
    </row>
    <row r="35" spans="1:15" ht="15.75" customHeight="1" x14ac:dyDescent="0.35">
      <c r="A35" s="478"/>
      <c r="B35" s="78" t="s">
        <v>120</v>
      </c>
      <c r="C35" s="48" t="str">
        <f>G71</f>
        <v/>
      </c>
      <c r="D35" s="48" t="str">
        <f>G114</f>
        <v/>
      </c>
      <c r="E35" s="110"/>
      <c r="F35" s="559"/>
      <c r="G35" s="560"/>
      <c r="H35" s="544"/>
      <c r="I35" s="544"/>
      <c r="J35" s="521"/>
      <c r="K35" s="522"/>
    </row>
    <row r="36" spans="1:15" s="3" customFormat="1" ht="15.75" customHeight="1" x14ac:dyDescent="0.35">
      <c r="A36" s="478"/>
      <c r="B36" s="78" t="s">
        <v>49</v>
      </c>
      <c r="C36" s="48">
        <f>G72</f>
        <v>0.26333333333333336</v>
      </c>
      <c r="D36" s="48">
        <f>G115</f>
        <v>0.9</v>
      </c>
      <c r="E36" s="110"/>
      <c r="F36" s="539" t="s">
        <v>59</v>
      </c>
      <c r="G36" s="540"/>
      <c r="H36" s="543">
        <f>H80</f>
        <v>0.51</v>
      </c>
      <c r="I36" s="543">
        <f>H123</f>
        <v>0.95</v>
      </c>
      <c r="J36" s="519">
        <f>IFERROR(I36-H36,"")</f>
        <v>0.43999999999999995</v>
      </c>
      <c r="K36" s="520"/>
    </row>
    <row r="37" spans="1:15" ht="15.75" customHeight="1" x14ac:dyDescent="0.35">
      <c r="A37" s="479"/>
      <c r="B37" s="78" t="s">
        <v>54</v>
      </c>
      <c r="C37" s="48">
        <f>G76</f>
        <v>0</v>
      </c>
      <c r="D37" s="48">
        <f>G119</f>
        <v>0.7</v>
      </c>
      <c r="E37" s="110"/>
      <c r="F37" s="541"/>
      <c r="G37" s="542"/>
      <c r="H37" s="544"/>
      <c r="I37" s="544"/>
      <c r="J37" s="521"/>
      <c r="K37" s="522"/>
    </row>
    <row r="38" spans="1:15" ht="15.75" customHeight="1" x14ac:dyDescent="0.35">
      <c r="A38" s="511" t="s">
        <v>58</v>
      </c>
      <c r="B38" s="79" t="s">
        <v>93</v>
      </c>
      <c r="C38" s="48">
        <f>G77</f>
        <v>0.61</v>
      </c>
      <c r="D38" s="48">
        <f>G120</f>
        <v>0.87</v>
      </c>
      <c r="E38" s="110"/>
      <c r="F38" s="3"/>
      <c r="H38" s="3"/>
      <c r="J38" s="3"/>
      <c r="K38" s="3"/>
    </row>
    <row r="39" spans="1:15" ht="15.75" customHeight="1" x14ac:dyDescent="0.35">
      <c r="A39" s="511"/>
      <c r="B39" s="79" t="s">
        <v>297</v>
      </c>
      <c r="C39" s="48">
        <f>G79</f>
        <v>0.33</v>
      </c>
      <c r="D39" s="48">
        <f>G122</f>
        <v>0.79</v>
      </c>
      <c r="E39" s="110"/>
      <c r="L39" s="5"/>
    </row>
    <row r="40" spans="1:15" ht="15.75" customHeight="1" x14ac:dyDescent="0.35">
      <c r="A40" s="510" t="s">
        <v>59</v>
      </c>
      <c r="B40" s="80" t="s">
        <v>73</v>
      </c>
      <c r="C40" s="48">
        <f>G80</f>
        <v>0.53500000000000003</v>
      </c>
      <c r="D40" s="48">
        <f>G123</f>
        <v>0.89500000000000002</v>
      </c>
      <c r="E40" s="110"/>
      <c r="L40" s="7"/>
    </row>
    <row r="41" spans="1:15" ht="15.75" customHeight="1" x14ac:dyDescent="0.35">
      <c r="A41" s="510"/>
      <c r="B41" s="80" t="s">
        <v>85</v>
      </c>
      <c r="C41" s="48">
        <f>G82</f>
        <v>0.48499999999999999</v>
      </c>
      <c r="D41" s="48">
        <f>G125</f>
        <v>1</v>
      </c>
      <c r="E41" s="110"/>
    </row>
    <row r="42" spans="1:15" ht="15.65" customHeight="1" x14ac:dyDescent="0.35">
      <c r="A42" s="127"/>
      <c r="B42" s="165"/>
      <c r="C42" s="166"/>
      <c r="D42" s="166"/>
      <c r="E42" s="110"/>
      <c r="M42" s="3"/>
    </row>
    <row r="43" spans="1:15" s="3" customFormat="1" ht="15" customHeight="1" x14ac:dyDescent="0.35">
      <c r="A43" s="1"/>
      <c r="B43" s="2"/>
      <c r="C43" s="2"/>
      <c r="D43" s="2"/>
      <c r="E43" s="2"/>
      <c r="F43" s="2"/>
      <c r="G43" s="2"/>
      <c r="H43" s="37"/>
      <c r="I43" s="37"/>
      <c r="J43" s="37"/>
      <c r="K43" s="37"/>
      <c r="L43" s="7"/>
    </row>
    <row r="44" spans="1:15" ht="21" x14ac:dyDescent="0.5">
      <c r="A44" s="463" t="s">
        <v>55</v>
      </c>
      <c r="B44" s="464"/>
      <c r="C44" s="464"/>
      <c r="D44" s="464"/>
      <c r="E44" s="464"/>
      <c r="F44" s="465"/>
      <c r="G44" s="463" t="s">
        <v>16</v>
      </c>
      <c r="H44" s="464"/>
      <c r="I44" s="464"/>
      <c r="J44" s="464"/>
      <c r="K44" s="465"/>
      <c r="L44" s="7"/>
      <c r="N44" s="3"/>
      <c r="O44" s="3"/>
    </row>
    <row r="45" spans="1:15" ht="15.5" x14ac:dyDescent="0.35">
      <c r="A45" s="49" t="s">
        <v>1</v>
      </c>
      <c r="B45" s="49" t="s">
        <v>2</v>
      </c>
      <c r="C45" s="461" t="s">
        <v>3</v>
      </c>
      <c r="D45" s="462"/>
      <c r="E45" s="145" t="s">
        <v>14</v>
      </c>
      <c r="F45" s="144" t="s">
        <v>15</v>
      </c>
      <c r="G45" s="49" t="s">
        <v>17</v>
      </c>
      <c r="H45" s="49" t="s">
        <v>18</v>
      </c>
      <c r="I45" s="49" t="s">
        <v>18</v>
      </c>
      <c r="J45" s="49" t="s">
        <v>19</v>
      </c>
      <c r="K45" s="50" t="s">
        <v>19</v>
      </c>
      <c r="L45" s="7"/>
      <c r="N45" s="3"/>
      <c r="O45" s="3"/>
    </row>
    <row r="46" spans="1:15" ht="15.5" x14ac:dyDescent="0.35">
      <c r="A46" s="493" t="s">
        <v>63</v>
      </c>
      <c r="B46" s="51" t="s">
        <v>100</v>
      </c>
      <c r="C46" s="52" t="s">
        <v>101</v>
      </c>
      <c r="D46" s="52"/>
      <c r="E46" s="147" t="s">
        <v>455</v>
      </c>
      <c r="F46" s="53">
        <f>IF(E46="","",IF(E46="G1",0.8,IF(E46="G2",0.9,IF(E46="G3",1,IF(E46="F1",0.4,IF(E46="F2",0.5,IF(E46="F3",0.6,IF(E46="P1",0.1,IF(E46="P2",0.2,IF(E46="P3",0.3,))))))))))</f>
        <v>0.9</v>
      </c>
      <c r="G46" s="84">
        <f>IFERROR(AVERAGE(F46),"")</f>
        <v>0.9</v>
      </c>
      <c r="H46" s="499">
        <f>IFERROR(ROUND(AVERAGE(G46:G50),2),"")</f>
        <v>0.57999999999999996</v>
      </c>
      <c r="I46" s="459" t="str">
        <f>IF(H46="","",IF(H46&gt;0.69,"Functioning",IF(H46&gt;0.29,"Functioning At Risk",IF(H46&gt;-1,"Not Functioning"))))</f>
        <v>Functioning At Risk</v>
      </c>
      <c r="J46" s="460">
        <f>IF(AND(H46="",H51="",H53="",H77="",H80=""),"",ROUND((IF(H46="",0,H46)*0.2)+(IF(H51="",0,H51)*0.2)+(IF(H53="",0,H53)*0.3)+(IF(H77="",0,H77)*0.15)+(IF(H80="",0,H80)*0.15),2))</f>
        <v>0.33</v>
      </c>
      <c r="K46" s="460" t="str">
        <f>IF(J46="","",IF(J46&lt;0.3, "Not Functioning",IF(OR(H46&lt;0.7,H51&lt;0.7,H53&lt;0.7,H77&lt;0.7,H80&lt;0.7),"Functioning At Risk",IF(J46&lt;0.7,"Functioning At Risk","Functioning"))))</f>
        <v>Functioning At Risk</v>
      </c>
      <c r="L46" s="7"/>
      <c r="N46" s="6"/>
      <c r="O46" s="3"/>
    </row>
    <row r="47" spans="1:15" s="3" customFormat="1" ht="15.5" x14ac:dyDescent="0.35">
      <c r="A47" s="494"/>
      <c r="B47" s="493" t="s">
        <v>146</v>
      </c>
      <c r="C47" s="118" t="s">
        <v>147</v>
      </c>
      <c r="D47" s="117"/>
      <c r="E47" s="115">
        <v>80</v>
      </c>
      <c r="F47" s="121">
        <f>IF(E47="","",IF($B$20="Forested",IF(E47&gt;71,0,IF(E47&lt;=41,1,ROUND(E47^2*'Performance Standards'!$C$16+E47*'Performance Standards'!$C$17+'Performance Standards'!$C$18,2))),IF(B$20="Scrub-Shrub",IF(E47&gt;59.6,0,IF(E47&lt;=35,1,ROUND(E47^2*'Performance Standards'!$D$16+E47*'Performance Standards'!$D$17+'Performance Standards'!$D$18,2))),IF(B$20="Herbaceous",IF(E47&gt;85,0,IF(E47&lt;=62,1,ROUND(E47^2*'Performance Standards'!$E$16+E47*'Performance Standards'!$E$17+'Performance Standards'!$E$18,2)))))))</f>
        <v>0</v>
      </c>
      <c r="G47" s="470">
        <f>IFERROR(AVERAGE(F47:F49),"")</f>
        <v>0.25</v>
      </c>
      <c r="H47" s="500"/>
      <c r="I47" s="459"/>
      <c r="J47" s="460"/>
      <c r="K47" s="460"/>
      <c r="L47" s="7"/>
      <c r="N47" s="6"/>
    </row>
    <row r="48" spans="1:15" s="3" customFormat="1" ht="15.5" x14ac:dyDescent="0.35">
      <c r="A48" s="494"/>
      <c r="B48" s="494"/>
      <c r="C48" s="119" t="s">
        <v>148</v>
      </c>
      <c r="D48" s="52"/>
      <c r="E48" s="147">
        <v>2</v>
      </c>
      <c r="F48" s="53">
        <f>IF(E48="","",IF(E48&gt;3,0,IF(E48=0,1,ROUND('Performance Standards'!C$49*E48+'Performance Standards'!C$50,2))))</f>
        <v>0.5</v>
      </c>
      <c r="G48" s="471"/>
      <c r="H48" s="500"/>
      <c r="I48" s="459"/>
      <c r="J48" s="460"/>
      <c r="K48" s="460"/>
      <c r="L48" s="7"/>
      <c r="N48" s="6"/>
    </row>
    <row r="49" spans="1:15" s="3" customFormat="1" ht="15.5" x14ac:dyDescent="0.35">
      <c r="A49" s="494"/>
      <c r="B49" s="512"/>
      <c r="C49" s="120" t="s">
        <v>149</v>
      </c>
      <c r="D49" s="54"/>
      <c r="E49" s="148"/>
      <c r="F49" s="116" t="str">
        <f>IF(E49="","",IF(B$19="Sandy",IF(E49&gt;1.94,0,IF(E49&lt;1.45,1,ROUND(E49*'Performance Standards'!$C$85+'Performance Standards'!$C$86,2))),IF(B$19="Silty",IF(E49&gt;1.83,0,IF(E49&lt;1.21,1,ROUND(E49*'Performance Standards'!$D$85+'Performance Standards'!$D$86,2))),IF(B$19="Clayey",IF(E49&gt;1.74,0,IF(E49&lt;0.82,1,ROUND(E49*'Performance Standards'!$E$85+'Performance Standards'!$E$86,2)))))))</f>
        <v/>
      </c>
      <c r="G49" s="472"/>
      <c r="H49" s="500"/>
      <c r="I49" s="459"/>
      <c r="J49" s="460"/>
      <c r="K49" s="460"/>
      <c r="L49" s="7"/>
      <c r="N49" s="6"/>
    </row>
    <row r="50" spans="1:15" s="3" customFormat="1" ht="15.5" x14ac:dyDescent="0.35">
      <c r="A50" s="494"/>
      <c r="B50" s="156" t="s">
        <v>170</v>
      </c>
      <c r="C50" s="513" t="s">
        <v>285</v>
      </c>
      <c r="D50" s="514"/>
      <c r="E50" s="174"/>
      <c r="F50" s="116" t="str">
        <f>IF(E50="","",IF(OR(E50&gt;=2,E50&lt;=0.6),0,IF(AND(E50&gt;=1,E50&lt;=1.1),1,ROUND(IF(E50&lt;1,'Performance Standards'!$C$121*E50^2+'Performance Standards'!$C$122*E50+'Performance Standards'!$C$123,'Performance Standards'!$D$121*E50^2+'Performance Standards'!$D$122*E50+'Performance Standards'!$D$123),2))))</f>
        <v/>
      </c>
      <c r="G50" s="168" t="str">
        <f>IFERROR(F50,"")</f>
        <v/>
      </c>
      <c r="H50" s="500"/>
      <c r="I50" s="459"/>
      <c r="J50" s="460"/>
      <c r="K50" s="460"/>
      <c r="L50" s="7"/>
      <c r="N50" s="6"/>
      <c r="O50" s="6"/>
    </row>
    <row r="51" spans="1:15" s="3" customFormat="1" ht="15.5" x14ac:dyDescent="0.35">
      <c r="A51" s="524" t="s">
        <v>6</v>
      </c>
      <c r="B51" s="524" t="s">
        <v>7</v>
      </c>
      <c r="C51" s="55" t="s">
        <v>8</v>
      </c>
      <c r="D51" s="55"/>
      <c r="E51" s="147">
        <v>2</v>
      </c>
      <c r="F51" s="56">
        <f>IF(E51="","",ROUND(IF(E51&gt;1.6,0,IF(E51&lt;=1,1,E51^2*'Performance Standards'!K$14+E51*'Performance Standards'!K$15+'Performance Standards'!K$16)),2))</f>
        <v>0</v>
      </c>
      <c r="G51" s="526">
        <f>IFERROR(AVERAGE(F51:F52),"")</f>
        <v>0</v>
      </c>
      <c r="H51" s="526">
        <f>IFERROR(ROUND(AVERAGE(G51:G52),2),"")</f>
        <v>0</v>
      </c>
      <c r="I51" s="533" t="str">
        <f>IF(H51="","",IF(H51&gt;0.69,"Functioning",IF(H51&gt;0.29,"Functioning At Risk",IF(H51&gt;-1,"Not Functioning"))))</f>
        <v>Not Functioning</v>
      </c>
      <c r="J51" s="460"/>
      <c r="K51" s="460"/>
      <c r="L51" s="7"/>
      <c r="N51" s="6"/>
      <c r="O51" s="6"/>
    </row>
    <row r="52" spans="1:15" s="3" customFormat="1" ht="15.5" x14ac:dyDescent="0.35">
      <c r="A52" s="528"/>
      <c r="B52" s="525"/>
      <c r="C52" s="57" t="s">
        <v>9</v>
      </c>
      <c r="D52" s="57"/>
      <c r="E52" s="148">
        <v>1</v>
      </c>
      <c r="F52" s="58">
        <f>IF(E52="","",IF(OR(B$9="A",B$9="Ba",B$9="B", B$9="Bc"),IF(E52&lt;1.2,0,IF(E52&gt;=2.2,1,ROUND(IF(E52&lt;1.4,E52*'Performance Standards'!$K$84+'Performance Standards'!$K$85,E52*'Performance Standards'!$L$84+'Performance Standards'!$L$85),2))),IF(OR(B$9="C",B$9="Cb",B$9="E"),IF(E52&lt;2,0,IF(E52&gt;=5,1,ROUND(IF(E52&lt;2.4,E52*'Performance Standards'!$L$49+'Performance Standards'!$L$50,E52*'Performance Standards'!$K$49+'Performance Standards'!$K$50),2))))))</f>
        <v>0</v>
      </c>
      <c r="G52" s="527"/>
      <c r="H52" s="532"/>
      <c r="I52" s="534"/>
      <c r="J52" s="460"/>
      <c r="K52" s="460"/>
      <c r="L52" s="7"/>
      <c r="N52" s="6"/>
      <c r="O52" s="6"/>
    </row>
    <row r="53" spans="1:15" s="3" customFormat="1" ht="15.5" x14ac:dyDescent="0.35">
      <c r="A53" s="477" t="s">
        <v>23</v>
      </c>
      <c r="B53" s="477" t="s">
        <v>24</v>
      </c>
      <c r="C53" s="67" t="s">
        <v>22</v>
      </c>
      <c r="D53" s="67"/>
      <c r="E53" s="115">
        <v>220</v>
      </c>
      <c r="F53" s="242">
        <f>IF(E53="","",IF(E53&gt;600,1,IF(E53&lt;300,ROUND('Performance Standards'!$S$15*(E53^2)+'Performance Standards'!$S$16*E53+'Performance Standards'!$S$17,2),ROUND('Performance Standards'!$T$16*E53+'Performance Standards'!$T$17,2))))</f>
        <v>0.37</v>
      </c>
      <c r="G53" s="466">
        <f>IFERROR(AVERAGE(F53:F54),"")</f>
        <v>0.37</v>
      </c>
      <c r="H53" s="531">
        <f>IFERROR(ROUND(AVERAGE(G53:G76),2),"")</f>
        <v>0.22</v>
      </c>
      <c r="I53" s="460" t="str">
        <f>IF(H53="","",IF(H53&gt;0.69,"Functioning",IF(H53&gt;0.29,"Functioning At Risk",IF(H53&gt;-1,"Not Functioning"))))</f>
        <v>Not Functioning</v>
      </c>
      <c r="J53" s="460"/>
      <c r="K53" s="460"/>
      <c r="L53" s="7"/>
      <c r="N53" s="6"/>
      <c r="O53" s="6"/>
    </row>
    <row r="54" spans="1:15" s="3" customFormat="1" ht="15.5" x14ac:dyDescent="0.35">
      <c r="A54" s="478"/>
      <c r="B54" s="479"/>
      <c r="C54" s="66" t="s">
        <v>357</v>
      </c>
      <c r="D54" s="68"/>
      <c r="E54" s="148"/>
      <c r="F54" s="192" t="str">
        <f>IF(E54="","",IF(E54&lt;=0,0,IF(E54&gt;=30,1,ROUND(IF(E54&lt;=15,'Performance Standards'!$S$49*E54^2+'Performance Standards'!$S$50*E54,'Performance Standards'!$T$50*E54+'Performance Standards'!$T$51),2))))</f>
        <v/>
      </c>
      <c r="G54" s="468"/>
      <c r="H54" s="531"/>
      <c r="I54" s="460"/>
      <c r="J54" s="460"/>
      <c r="K54" s="460"/>
      <c r="L54" s="7"/>
      <c r="N54" s="6"/>
      <c r="O54" s="6"/>
    </row>
    <row r="55" spans="1:15" s="3" customFormat="1" ht="15.5" x14ac:dyDescent="0.35">
      <c r="A55" s="478"/>
      <c r="B55" s="477" t="s">
        <v>46</v>
      </c>
      <c r="C55" s="64" t="s">
        <v>91</v>
      </c>
      <c r="D55" s="239"/>
      <c r="E55" s="115"/>
      <c r="F55" s="238" t="str">
        <f>IF(E55="","",ROUND(IF(E55&gt;0.7,0,IF(E55&lt;=0.1,1,E55^3*'Performance Standards'!S$83+E55^2*'Performance Standards'!S$84+E55*'Performance Standards'!S$85+'Performance Standards'!S$86)),2))</f>
        <v/>
      </c>
      <c r="G55" s="466">
        <f>IFERROR(IF(E55="",AVERAGE(F56:F57),IF(E56="",F55,MAX(F55,AVERAGE(F56:F57)))),"")</f>
        <v>0.20500000000000002</v>
      </c>
      <c r="H55" s="531"/>
      <c r="I55" s="460"/>
      <c r="J55" s="460"/>
      <c r="K55" s="460"/>
      <c r="L55" s="7"/>
      <c r="N55" s="6"/>
      <c r="O55" s="6"/>
    </row>
    <row r="56" spans="1:15" s="3" customFormat="1" ht="15.5" x14ac:dyDescent="0.35">
      <c r="A56" s="478"/>
      <c r="B56" s="478"/>
      <c r="C56" s="65" t="s">
        <v>47</v>
      </c>
      <c r="D56" s="240"/>
      <c r="E56" s="147" t="s">
        <v>37</v>
      </c>
      <c r="F56" s="62">
        <f>IF(E56="","",IF(OR(E56="Ex/Ex",E56="Ex/VH"),0, IF(OR(E56="Ex/H",E56="VH/Ex",E56="VH/VH", E56="H/Ex",E56="H/VH",E56="M/Ex"),0.1,IF(OR(E56="Ex/M",E56="VH/H",E56="H/H", E56="M/VH"),0.2, IF(OR(E56="Ex/L",E56="VH/M",E56="H/M", E56="M/H",E56="L/Ex"),0.3, IF(OR(E56="Ex/VL",E56="VH/L",E56="H/L"),0.4, IF(OR(E56="VH/VL",E56="H/VL",E56="M/M", E56="L/VH"),0.5, IF(OR(E56="M/L",E56="L/H"),0.6, IF(OR(E56="M/VL",E56="L/M"),0.7, IF(OR(E56="L/L",E56="L/VL"),1))))))))))</f>
        <v>0.2</v>
      </c>
      <c r="G56" s="467"/>
      <c r="H56" s="531"/>
      <c r="I56" s="460"/>
      <c r="J56" s="460"/>
      <c r="K56" s="460"/>
      <c r="L56" s="7"/>
      <c r="N56" s="6"/>
      <c r="O56" s="6"/>
    </row>
    <row r="57" spans="1:15" s="3" customFormat="1" ht="15.5" x14ac:dyDescent="0.35">
      <c r="A57" s="478"/>
      <c r="B57" s="479"/>
      <c r="C57" s="241" t="s">
        <v>102</v>
      </c>
      <c r="D57" s="190"/>
      <c r="E57" s="148">
        <v>30</v>
      </c>
      <c r="F57" s="70">
        <f>IF(E57="","",ROUND(IF(E57&gt;50,0,IF(E57&lt;5,1,IF(E57&gt;9,E57^2*'Performance Standards'!S$119+E57*'Performance Standards'!S$120+'Performance Standards'!S$121,'Performance Standards'!$T$120*E57+'Performance Standards'!$T$121))),2))</f>
        <v>0.21</v>
      </c>
      <c r="G57" s="468"/>
      <c r="H57" s="531"/>
      <c r="I57" s="460"/>
      <c r="J57" s="460"/>
      <c r="K57" s="460"/>
      <c r="L57" s="7"/>
      <c r="N57" s="6"/>
      <c r="O57" s="6"/>
    </row>
    <row r="58" spans="1:15" s="3" customFormat="1" ht="15.5" x14ac:dyDescent="0.35">
      <c r="A58" s="478"/>
      <c r="B58" s="477" t="s">
        <v>48</v>
      </c>
      <c r="C58" s="67" t="s">
        <v>447</v>
      </c>
      <c r="D58" s="67"/>
      <c r="E58" s="147">
        <v>5</v>
      </c>
      <c r="F58" s="62">
        <f>IF(E58="","",IF($B$22="Unconfined Alluvial",IF(E58&gt;=100,1,IF(E58&lt;30,0,ROUND('Performance Standards'!$S$155*E58^2+'Performance Standards'!$S$156*E58+'Performance Standards'!$S$157,2))),IF($B$22="Confined Alluvial",(IF(E58&gt;=100,1,IF(E58&lt;60,0,ROUND('Performance Standards'!$T$155*E58^2+'Performance Standards'!$T$156*E58+'Performance Standards'!$T$157,2)))),IF($B$22="Colluvial/V-Shaped",(IF(E58&gt;=100,1,IF(E58&lt;80,0,ROUND('Performance Standards'!$U$155*E58^2+'Performance Standards'!$U$156*E58+'Performance Standards'!$U$157,2))))))))</f>
        <v>0</v>
      </c>
      <c r="G58" s="466">
        <f>IFERROR(AVERAGE(F58:F70),"")</f>
        <v>0.28153846153846157</v>
      </c>
      <c r="H58" s="531"/>
      <c r="I58" s="460"/>
      <c r="J58" s="460"/>
      <c r="K58" s="460"/>
      <c r="L58" s="7"/>
      <c r="N58" s="6"/>
      <c r="O58" s="6"/>
    </row>
    <row r="59" spans="1:15" s="3" customFormat="1" ht="15.5" x14ac:dyDescent="0.35">
      <c r="A59" s="478"/>
      <c r="B59" s="478"/>
      <c r="C59" s="61" t="s">
        <v>448</v>
      </c>
      <c r="D59" s="61"/>
      <c r="E59" s="147">
        <v>30</v>
      </c>
      <c r="F59" s="62">
        <f>IF(E59="","",IF($B$22="Unconfined Alluvial",IF(E59&gt;=100,1,IF(E59&lt;30,0,ROUND('Performance Standards'!$S$155*E59^2+'Performance Standards'!$S$156*E59+'Performance Standards'!$S$157,2))),IF($B$22="Confined Alluvial",(IF(E59&gt;=100,1,IF(E59&lt;60,0,ROUND('Performance Standards'!$T$155*E59^2+'Performance Standards'!$T$156*E59+'Performance Standards'!$T$157,2)))),IF($B$22="Colluvial/V-Shaped",(IF(E59&gt;=100,1,IF(E59&lt;80,0,ROUND('Performance Standards'!$U$155*E59^2+'Performance Standards'!$U$156*E59+'Performance Standards'!$U$157,2))))))))</f>
        <v>0</v>
      </c>
      <c r="G59" s="467"/>
      <c r="H59" s="531"/>
      <c r="I59" s="460"/>
      <c r="J59" s="460"/>
      <c r="K59" s="460"/>
      <c r="L59" s="7"/>
      <c r="N59" s="6"/>
      <c r="O59" s="6"/>
    </row>
    <row r="60" spans="1:15" s="3" customFormat="1" ht="15.5" x14ac:dyDescent="0.35">
      <c r="A60" s="478"/>
      <c r="B60" s="478"/>
      <c r="C60" s="61" t="s">
        <v>299</v>
      </c>
      <c r="D60" s="61"/>
      <c r="E60" s="147">
        <v>0</v>
      </c>
      <c r="F60" s="62">
        <f>IF(E60="","",IF($B$20="Herbaceous","",IF(E60="","",IF($B$10="Mountains",(IF(E60&gt;=90,1,ROUND('Performance Standards'!$S$191*E60^3+'Performance Standards'!$S$192*E60^2+'Performance Standards'!$S$193*E60+'Performance Standards'!$S$194,2))),IF($B$10="Basin",(IF(E60&gt;=90,1,ROUND('Performance Standards'!$T$191*E60^3+'Performance Standards'!$T$192*E60^2+'Performance Standards'!$T$193*E60+'Performance Standards'!$T$194,2))),(IF($B$10="Plains",(IF(E60&gt;=75,1,ROUND('Performance Standards'!$U$191*E60^3+'Performance Standards'!$U$192*E60^2+'Performance Standards'!$U$193*E60+'Performance Standards'!$U$194,2))))))))))</f>
        <v>0</v>
      </c>
      <c r="G60" s="467"/>
      <c r="H60" s="531"/>
      <c r="I60" s="460"/>
      <c r="J60" s="460"/>
      <c r="K60" s="460"/>
      <c r="L60" s="7"/>
      <c r="N60" s="6"/>
      <c r="O60" s="6"/>
    </row>
    <row r="61" spans="1:15" s="3" customFormat="1" ht="15.5" x14ac:dyDescent="0.35">
      <c r="A61" s="478"/>
      <c r="B61" s="478"/>
      <c r="C61" s="61" t="s">
        <v>300</v>
      </c>
      <c r="D61" s="61"/>
      <c r="E61" s="147">
        <v>25</v>
      </c>
      <c r="F61" s="62">
        <f>IF(E61="","",IF($B$20="Herbaceous","",IF(E61="","",IF($B$10="Mountains",(IF(E61&gt;=90,1,ROUND('Performance Standards'!$S$191*E61^3+'Performance Standards'!$S$192*E61^2+'Performance Standards'!$S$193*E61+'Performance Standards'!$S$194,2))),IF($B$10="Basin",(IF(E61&gt;=90,1,ROUND('Performance Standards'!$T$191*E61^3+'Performance Standards'!$T$192*E61^2+'Performance Standards'!$T$193*E61+'Performance Standards'!$T$194,2))),(IF($B$10="Plains",(IF(E61&gt;=75,1,ROUND('Performance Standards'!$U$191*E61^3+'Performance Standards'!$U$192*E61^2+'Performance Standards'!$U$193*E61+'Performance Standards'!$U$194,2))))))))))</f>
        <v>0.18</v>
      </c>
      <c r="G61" s="467"/>
      <c r="H61" s="531"/>
      <c r="I61" s="460"/>
      <c r="J61" s="460"/>
      <c r="K61" s="460"/>
      <c r="L61" s="7"/>
      <c r="N61" s="6"/>
      <c r="O61" s="6"/>
    </row>
    <row r="62" spans="1:15" s="3" customFormat="1" ht="15.5" x14ac:dyDescent="0.35">
      <c r="A62" s="478"/>
      <c r="B62" s="478"/>
      <c r="C62" s="61" t="s">
        <v>301</v>
      </c>
      <c r="D62" s="61"/>
      <c r="E62" s="147">
        <v>15</v>
      </c>
      <c r="F62" s="62">
        <f>IF(E62="","",IF($B$20="Herbaceous",IF(E62&lt;30,0,IF(E62&gt;=100,1,ROUND(E62^2*'Performance Standards'!$S$225+E62*'Performance Standards'!$S$226+'Performance Standards'!$S$227,2))),IF($B$22="Colluvial/V-Shaped",IF(E62&gt;=100,0,IF(AND(E62&gt;=0,E62&lt;=15),ROUND(E62*'Performance Standards'!$S$259+'Performance Standards'!$S$260,2),IF(AND(E62&gt;=15,E62&lt;=55),ROUND(E62*'Performance Standards'!$T$259+'Performance Standards'!$T$260,2),IF(AND(E62&gt;=56,E62&lt;=100),ROUND(E62^2*'Performance Standards'!$U$259+E62*'Performance Standards'!$U$260+'Performance Standards'!$U$261,2))))),IF(OR(E62&gt;=100,E62&lt;=0),0,IF(AND(E62&gt;0,E62&lt;=70),ROUND(E62^2*'Performance Standards'!$S$292+E62*'Performance Standards'!$S$293+'Performance Standards'!$S$294,2),IF(AND(E62&gt;70,E62&lt;100),ROUND(E62^2*'Performance Standards'!$T$292+E62*'Performance Standards'!$T$293+'Performance Standards'!$T$294,2)))))))</f>
        <v>0.39</v>
      </c>
      <c r="G62" s="467"/>
      <c r="H62" s="531"/>
      <c r="I62" s="460"/>
      <c r="J62" s="460"/>
      <c r="K62" s="460"/>
      <c r="L62" s="7"/>
      <c r="N62" s="6"/>
      <c r="O62" s="6"/>
    </row>
    <row r="63" spans="1:15" s="3" customFormat="1" ht="15.5" x14ac:dyDescent="0.35">
      <c r="A63" s="478"/>
      <c r="B63" s="478"/>
      <c r="C63" s="61" t="s">
        <v>302</v>
      </c>
      <c r="D63" s="61"/>
      <c r="E63" s="147">
        <v>50</v>
      </c>
      <c r="F63" s="62">
        <f>IF(E63="","",IF($B$20="Herbaceous",IF(E63&lt;30,0,IF(E63&gt;=100,1,ROUND(E63^2*'Performance Standards'!$S$225+E63*'Performance Standards'!$S$226+'Performance Standards'!$S$227,2))),IF($B$22="Colluvial/V-Shaped",IF(E63&gt;=100,0,IF(AND(E63&gt;=0,E63&lt;=15),ROUND(E63*'Performance Standards'!$S$259+'Performance Standards'!$S$260,2),IF(AND(E63&gt;=15,E63&lt;=55),ROUND(E63*'Performance Standards'!$T$259+'Performance Standards'!$T$260,2),IF(AND(E63&gt;=56,E63&lt;=100),ROUND(E63^2*'Performance Standards'!$U$259+E63*'Performance Standards'!$U$260+'Performance Standards'!$U$261,2))))),IF(OR(E63&gt;=100,E63&lt;=0),0,IF(AND(E63&gt;0,E63&lt;=70),ROUND(E63^2*'Performance Standards'!$S$292+E63*'Performance Standards'!$S$293+'Performance Standards'!$S$294,2),IF(AND(E63&gt;70,E63&lt;100),ROUND(E63^2*'Performance Standards'!$T$292+E63*'Performance Standards'!$T$293+'Performance Standards'!$T$294,2)))))))</f>
        <v>0.93</v>
      </c>
      <c r="G63" s="467"/>
      <c r="H63" s="531"/>
      <c r="I63" s="460"/>
      <c r="J63" s="460"/>
      <c r="K63" s="460"/>
      <c r="L63" s="7"/>
      <c r="N63" s="6"/>
      <c r="O63" s="6"/>
    </row>
    <row r="64" spans="1:15" s="3" customFormat="1" ht="15.5" x14ac:dyDescent="0.35">
      <c r="A64" s="478"/>
      <c r="B64" s="478"/>
      <c r="C64" s="61" t="s">
        <v>304</v>
      </c>
      <c r="D64" s="61"/>
      <c r="E64" s="147">
        <v>25</v>
      </c>
      <c r="F64" s="62">
        <f>IF(E64="","",ROUND(IF(E64&gt;=100,0,E64^2*'Performance Standards'!$S$324+E64*'Performance Standards'!$S$325+'Performance Standards'!$S$326),2))</f>
        <v>0.6</v>
      </c>
      <c r="G64" s="467"/>
      <c r="H64" s="531"/>
      <c r="I64" s="460"/>
      <c r="J64" s="460"/>
      <c r="K64" s="460"/>
      <c r="L64" s="7"/>
      <c r="N64" s="6"/>
      <c r="O64" s="6"/>
    </row>
    <row r="65" spans="1:15" s="3" customFormat="1" ht="15.5" x14ac:dyDescent="0.35">
      <c r="A65" s="478"/>
      <c r="B65" s="478"/>
      <c r="C65" s="61" t="s">
        <v>305</v>
      </c>
      <c r="D65" s="61"/>
      <c r="E65" s="147">
        <v>10</v>
      </c>
      <c r="F65" s="62">
        <f>IF(E65="","",ROUND(IF(E65&gt;=100,0,E65^2*'Performance Standards'!$S$324+E65*'Performance Standards'!$S$325+'Performance Standards'!$S$326),2))</f>
        <v>0.83</v>
      </c>
      <c r="G65" s="467"/>
      <c r="H65" s="531"/>
      <c r="I65" s="460"/>
      <c r="J65" s="460"/>
      <c r="K65" s="460"/>
      <c r="L65" s="7"/>
      <c r="N65" s="6"/>
      <c r="O65" s="6"/>
    </row>
    <row r="66" spans="1:15" s="3" customFormat="1" ht="15.5" x14ac:dyDescent="0.35">
      <c r="A66" s="478"/>
      <c r="B66" s="478"/>
      <c r="C66" s="61" t="s">
        <v>307</v>
      </c>
      <c r="D66" s="61"/>
      <c r="E66" s="147">
        <v>0</v>
      </c>
      <c r="F66" s="62">
        <f>IF(E66="","",ROUND(IF(E66&gt;=100,1,E66^3*'Performance Standards'!$S$357+E66^2*'Performance Standards'!$S$358+E66*'Performance Standards'!$S$359+$S$124),2))</f>
        <v>0</v>
      </c>
      <c r="G66" s="467"/>
      <c r="H66" s="531"/>
      <c r="I66" s="460"/>
      <c r="J66" s="460"/>
      <c r="K66" s="460"/>
      <c r="L66" s="7"/>
      <c r="N66" s="6"/>
      <c r="O66" s="6"/>
    </row>
    <row r="67" spans="1:15" s="3" customFormat="1" ht="15.5" x14ac:dyDescent="0.35">
      <c r="A67" s="478"/>
      <c r="B67" s="478"/>
      <c r="C67" s="61" t="s">
        <v>308</v>
      </c>
      <c r="D67" s="61"/>
      <c r="E67" s="147">
        <v>0</v>
      </c>
      <c r="F67" s="62">
        <f>IF(E67="","",ROUND(IF(E67&gt;=100,1,E67^3*'Performance Standards'!$S$357+E67^2*'Performance Standards'!$S$358+E67*'Performance Standards'!$S$359+$S$124),2))</f>
        <v>0</v>
      </c>
      <c r="G67" s="467"/>
      <c r="H67" s="531"/>
      <c r="I67" s="460"/>
      <c r="J67" s="460"/>
      <c r="K67" s="460"/>
      <c r="L67" s="7"/>
      <c r="N67" s="6"/>
      <c r="O67" s="6"/>
    </row>
    <row r="68" spans="1:15" s="3" customFormat="1" ht="15.5" x14ac:dyDescent="0.35">
      <c r="A68" s="478"/>
      <c r="B68" s="478"/>
      <c r="C68" s="61" t="s">
        <v>158</v>
      </c>
      <c r="D68" s="61"/>
      <c r="E68" s="159">
        <v>5</v>
      </c>
      <c r="F68" s="192">
        <f>IF(E68="","",IF(OR(E68&gt;=50,E68&lt;=0),0,IF(AND(E68&gt;=25,E68&lt;=36),1,ROUND(IF(E68&lt;25,'Performance Standards'!$S$394*E68^3+'Performance Standards'!$S$395*E68^2+'Performance Standards'!$S$396*E68+'Performance Standards'!$S$397,'Performance Standards'!$T$394*E68^3+'Performance Standards'!$T$395*E68^2+'Performance Standards'!$T$396*E68+'Performance Standards'!$T$397),2))))</f>
        <v>0.14000000000000001</v>
      </c>
      <c r="G68" s="515"/>
      <c r="H68" s="531"/>
      <c r="I68" s="460"/>
      <c r="J68" s="460"/>
      <c r="K68" s="460"/>
      <c r="L68" s="7"/>
      <c r="N68" s="6"/>
      <c r="O68" s="6"/>
    </row>
    <row r="69" spans="1:15" s="3" customFormat="1" ht="15.5" x14ac:dyDescent="0.35">
      <c r="A69" s="478"/>
      <c r="B69" s="478"/>
      <c r="C69" s="61" t="s">
        <v>159</v>
      </c>
      <c r="D69" s="61"/>
      <c r="E69" s="147">
        <v>10</v>
      </c>
      <c r="F69" s="192">
        <f>IF(E69="","",IF(OR(E69&gt;=50,E69&lt;=0),0,IF(AND(E69&gt;=25,E69&lt;=36),1,ROUND(IF(E69&lt;25,'Performance Standards'!$S$394*E69^3+'Performance Standards'!$S$395*E69^2+'Performance Standards'!$S$396*E69+'Performance Standards'!$S$397,'Performance Standards'!$T$394*E69^3+'Performance Standards'!$T$395*E69^2+'Performance Standards'!$T$396*E69+'Performance Standards'!$T$397),2))))</f>
        <v>0.28999999999999998</v>
      </c>
      <c r="G69" s="467"/>
      <c r="H69" s="531"/>
      <c r="I69" s="460"/>
      <c r="J69" s="460"/>
      <c r="K69" s="460"/>
      <c r="L69" s="7"/>
      <c r="N69" s="6"/>
      <c r="O69" s="6"/>
    </row>
    <row r="70" spans="1:15" s="3" customFormat="1" ht="15.5" x14ac:dyDescent="0.35">
      <c r="A70" s="478"/>
      <c r="B70" s="479"/>
      <c r="C70" s="61" t="s">
        <v>298</v>
      </c>
      <c r="D70" s="190"/>
      <c r="E70" s="148">
        <v>5</v>
      </c>
      <c r="F70" s="62">
        <f>IF(E70="","",ROUND(IF(E70&lt;=2,0,IF(E70&gt;=9,1,E70^3*'Performance Standards'!S$430+E70^2*'Performance Standards'!$S$431+E70*'Performance Standards'!$S$432+'Performance Standards'!$S$433)),2))</f>
        <v>0.3</v>
      </c>
      <c r="G70" s="468"/>
      <c r="H70" s="531"/>
      <c r="I70" s="460"/>
      <c r="J70" s="460"/>
      <c r="K70" s="460"/>
      <c r="L70" s="7"/>
      <c r="N70" s="6"/>
      <c r="O70" s="6"/>
    </row>
    <row r="71" spans="1:15" s="3" customFormat="1" ht="15.5" x14ac:dyDescent="0.35">
      <c r="A71" s="478"/>
      <c r="B71" s="59" t="s">
        <v>121</v>
      </c>
      <c r="C71" s="74" t="s">
        <v>160</v>
      </c>
      <c r="D71" s="61"/>
      <c r="E71" s="43"/>
      <c r="F71" s="191" t="str">
        <f>IF(E71="","",IF(B$13="Sand","NA",IF(E71&gt;0.1,1,IF(E71&lt;=0.01,0,ROUND(E71*'Performance Standards'!$S$464+'Performance Standards'!$S$465,2)))))</f>
        <v/>
      </c>
      <c r="G71" s="83" t="str">
        <f>IFERROR(AVERAGE(F71),"")</f>
        <v/>
      </c>
      <c r="H71" s="531"/>
      <c r="I71" s="460"/>
      <c r="J71" s="460"/>
      <c r="K71" s="460"/>
      <c r="L71" s="7"/>
      <c r="N71" s="6"/>
      <c r="O71" s="6"/>
    </row>
    <row r="72" spans="1:15" s="3" customFormat="1" ht="15.5" x14ac:dyDescent="0.35">
      <c r="A72" s="478"/>
      <c r="B72" s="477" t="s">
        <v>49</v>
      </c>
      <c r="C72" s="67" t="s">
        <v>50</v>
      </c>
      <c r="D72" s="67"/>
      <c r="E72" s="160">
        <v>8</v>
      </c>
      <c r="F72" s="161">
        <f>IF(E72="","",IF($B$9="Bc",IF(OR(E72&gt;9.2,E72&lt;=0.1),0,IF(E72&lt;=4,1,ROUND('Performance Standards'!$S$598*E72^2+'Performance Standards'!$S$599*E72+'Performance Standards'!$S$600,2))),IF(OR($B$9="B",$B$9="Ba"),IF(OR(E72&gt;7.5,E72&lt;=0.1),0,IF(E72&lt;=3,1,ROUND(IF(E72&gt;4,'Performance Standards'!$S$567*E72+'Performance Standards'!$S$568,'Performance Standards'!$T$567*E72+'Performance Standards'!$T$568),2))),IF($B$9="Cb",IF(OR(E72&gt;=7.6,E72&lt;=2.4),0,IF(AND(E72&gt;=3.7,E72&lt;=5),1,ROUND(IF(E72&lt;4,'Performance Standards'!$S$534*E72^2+'Performance Standards'!$S$535*E72+'Performance Standards'!$S$536,'Performance Standards'!$T$534*E72^2+'Performance Standards'!$T$535*E72+'Performance Standards'!$T$536),2))),IF($B$9="C",IF(OR(E72&gt;9.3,E72&lt;=3),0,IF(AND(E72&gt;=4,E72&lt;=6),1,ROUND(IF(E72&lt;4,'Performance Standards'!$S$500*E72+'Performance Standards'!$S$501,'Performance Standards'!$T$500*E72+'Performance Standards'!$T$501),2))))))))</f>
        <v>0.4</v>
      </c>
      <c r="G72" s="529">
        <f>IFERROR(AVERAGE(F72:F75),"")</f>
        <v>0.26333333333333336</v>
      </c>
      <c r="H72" s="531"/>
      <c r="I72" s="460"/>
      <c r="J72" s="460"/>
      <c r="K72" s="460"/>
      <c r="L72" s="7"/>
      <c r="N72" s="6"/>
      <c r="O72" s="6"/>
    </row>
    <row r="73" spans="1:15" s="3" customFormat="1" ht="15.5" x14ac:dyDescent="0.35">
      <c r="A73" s="478"/>
      <c r="B73" s="478"/>
      <c r="C73" s="61" t="s">
        <v>51</v>
      </c>
      <c r="D73" s="61"/>
      <c r="E73" s="159">
        <v>1.5</v>
      </c>
      <c r="F73" s="85">
        <f>IF(E73="","",IF(E73&lt;=1.1,0,IF(E73&gt;=2.5,1,ROUND(IF(E73&lt;1.2,'Performance Standards'!$S$632*E73+'Performance Standards'!$S$633,'Performance Standards'!$T$631*E73^2+'Performance Standards'!$T$632*E73+'Performance Standards'!$T$633),2))))</f>
        <v>0.39</v>
      </c>
      <c r="G73" s="515"/>
      <c r="H73" s="531"/>
      <c r="I73" s="460"/>
      <c r="J73" s="460"/>
      <c r="K73" s="460"/>
      <c r="L73" s="7"/>
      <c r="N73" s="6"/>
      <c r="O73" s="6"/>
    </row>
    <row r="74" spans="1:15" s="3" customFormat="1" ht="15.5" x14ac:dyDescent="0.35">
      <c r="A74" s="478"/>
      <c r="B74" s="478"/>
      <c r="C74" s="61" t="s">
        <v>52</v>
      </c>
      <c r="D74" s="61"/>
      <c r="E74" s="159">
        <v>85</v>
      </c>
      <c r="F74" s="212">
        <f>IF(E74="","",IF($B$11="Volcanic Mountains &amp; Valleys", IF(OR(E74&gt;95,E74&lt;58),0,IF(AND(E74&gt;=73,E74&lt;=80),1, ROUND(IF(E74&lt;73,'Performance Standards'!$S$665*E74^2+'Performance Standards'!$S$666*E74+'Performance Standards'!$S$667, 'Performance Standards'!$T$665*E74^2+'Performance Standards'!$T$666*E74+'Performance Standards'!$T$667),2))), IF(B$16="","Need Slope",IF(B$16&lt;3,IF( OR(E74&gt;73,E74&lt;37),0, IF(AND(E74&gt;=50,E74&lt;= 60), 1, ROUND(IF(E74&lt;50,'Performance Standards'!$S$699*E74^2+'Performance Standards'!$S$700*E74+'Performance Standards'!$S$701, IF(E74&gt;60,'Performance Standards'!$T$699*E74^2+'Performance Standards'!$T$700*E74+'Performance Standards'!$T$701)),2))), IF(B$16&gt;=3,IF(OR(E74&gt;88,E74&lt;57),0, IF(AND(E74 &gt;=70, E74&lt;=76),1, ROUND(IF(E74&lt;70,'Performance Standards'!$S$734*E74^2+'Performance Standards'!$S$735*E74+'Performance Standards'!$S$736,'Performance Standards'!$T$734*E74^2+'Performance Standards'!$T$735*E74+'Performance Standards'!$T$736),2) )))))))</f>
        <v>0</v>
      </c>
      <c r="G74" s="515"/>
      <c r="H74" s="531"/>
      <c r="I74" s="460"/>
      <c r="J74" s="460"/>
      <c r="K74" s="460"/>
      <c r="L74" s="7"/>
      <c r="N74" s="6"/>
      <c r="O74" s="6"/>
    </row>
    <row r="75" spans="1:15" ht="15.5" x14ac:dyDescent="0.35">
      <c r="A75" s="478"/>
      <c r="B75" s="479"/>
      <c r="C75" s="68" t="s">
        <v>248</v>
      </c>
      <c r="D75" s="68"/>
      <c r="E75" s="154"/>
      <c r="F75" s="158" t="str">
        <f>IF(E75="","",IF(E75&gt;=1.6,0,IF(E75&lt;=1,1,ROUND('Performance Standards'!$S$766*E75^3+'Performance Standards'!$S$767*E75^2+'Performance Standards'!$S$768*E75+'Performance Standards'!$S$769,2))))</f>
        <v/>
      </c>
      <c r="G75" s="530"/>
      <c r="H75" s="531"/>
      <c r="I75" s="460"/>
      <c r="J75" s="460"/>
      <c r="K75" s="460"/>
      <c r="L75" s="7"/>
      <c r="N75" s="6"/>
      <c r="O75" s="6"/>
    </row>
    <row r="76" spans="1:15" ht="15.5" x14ac:dyDescent="0.35">
      <c r="A76" s="479"/>
      <c r="B76" s="69" t="s">
        <v>54</v>
      </c>
      <c r="C76" s="68" t="s">
        <v>53</v>
      </c>
      <c r="D76" s="68"/>
      <c r="E76" s="148">
        <v>1</v>
      </c>
      <c r="F76" s="70">
        <f>IF(E76="","",IF(B$9="E",IF(OR(E76&gt;2,E76&lt;1.2),0, IF(AND(E76&gt;=1.6, E76&lt;=1.7),1, ROUND(IF(E76&lt;1.3,E76*'Performance Standards'!S$803+'Performance Standards'!S$804,IF(E76&lt;=1.6,E76*'Performance Standards'!T$803+'Performance Standards'!T$804, E76^2*'Performance Standards'!U$802+E76*'Performance Standards'!U$803+'Performance Standards'!$U$804)),2))),IF(LEFT(B$9,1)="C",IF(OR(E76&lt;1.15, E76&gt;1.5),0, IF(AND(E76&lt;=1.35,E76&gt;=1.25),1,ROUND(IF(E76&lt;1.25,E76^2*'Performance Standards'!$S$836+E76*'Performance Standards'!$S$837+'Performance Standards'!$S$838, E76^2*'Performance Standards'!$T$836+E76*'Performance Standards'!$T$837+'Performance Standards'!$T$838),2))),IF(LEFT(B$9,1)="B",IF(OR(E76&gt;1.4,E76&lt;1),0, IF(AND(E76&gt;=1.15,E76&lt;=1.25),1, ROUND(IF(E76&lt;=1.15,E76^2*'Performance Standards'!$S$867+E76*'Performance Standards'!$S$868+'Performance Standards'!$S$869,E76^2*'Performance Standards'!$T$867+E76*'Performance Standards'!$T$868+'Performance Standards'!$T$869),2)))))))</f>
        <v>0</v>
      </c>
      <c r="G76" s="85">
        <f>IFERROR(AVERAGE(F76),"")</f>
        <v>0</v>
      </c>
      <c r="H76" s="531"/>
      <c r="I76" s="460"/>
      <c r="J76" s="460"/>
      <c r="K76" s="460"/>
      <c r="L76" s="7"/>
      <c r="N76" s="6"/>
      <c r="O76" s="6"/>
    </row>
    <row r="77" spans="1:15" ht="15.5" x14ac:dyDescent="0.35">
      <c r="A77" s="453" t="s">
        <v>58</v>
      </c>
      <c r="B77" s="453" t="s">
        <v>93</v>
      </c>
      <c r="C77" s="182" t="s">
        <v>272</v>
      </c>
      <c r="D77" s="175"/>
      <c r="E77" s="147"/>
      <c r="F77" s="178" t="str">
        <f>IF(E77="","",IF($B$18="","Enter Stream Temperature",IF($B$18="Tier I (Cold) ",IF(E77&gt;=24.6,0,IF(E77&lt;=15.5,1,ROUND(E77*'Performance Standards'!$AB$19+'Performance Standards'!$AB$20,2))),IF($B$18="Tier II (Cold-Cool)",IF(E77&gt;=27.8,0,IF(E77&lt;=15.6,1,ROUND(E77*'Performance Standards'!$AC$19+'Performance Standards'!$AC$20,2))),IF($B$18="Tier III (Cool) ",IF(E77&gt;=32.4,0,IF(E77&lt;=17.8,1,ROUND(E77*'Performance Standards'!$AD$19+'Performance Standards'!$AD$20,2))),IF($B$18="Tier IV (Cool-Warm)",IF(E77&gt;=34.6,0,IF(E77&lt;=20,1,ROUND(E77*'Performance Standards'!$AE$19+'Performance Standards'!$AE$20,2))),IF($B$18="Tier V (Warm)",IF(E77&gt;35.4,0,IF(E77&lt;=24.6,1,ROUND(E77*'Performance Standards'!$AF$19+'Performance Standards'!$AF$20,2))))))))))</f>
        <v/>
      </c>
      <c r="G77" s="455">
        <f>IFERROR(IF(E77="",F78,IF(E78="",F77,MIN(F77:F78))),"")</f>
        <v>0.61</v>
      </c>
      <c r="H77" s="455">
        <f>IFERROR(ROUND(AVERAGE(G77:G79),2),"")</f>
        <v>0.47</v>
      </c>
      <c r="I77" s="459" t="str">
        <f>IF(H77="","",IF(H77&gt;0.69,"Functioning",IF(H77&gt;0.29,"Functioning At Risk",IF(H77&gt;-1,"Not Functioning"))))</f>
        <v>Functioning At Risk</v>
      </c>
      <c r="J77" s="460"/>
      <c r="K77" s="460"/>
      <c r="L77" s="7"/>
      <c r="N77" s="6"/>
      <c r="O77" s="6"/>
    </row>
    <row r="78" spans="1:15" s="3" customFormat="1" ht="15.5" x14ac:dyDescent="0.35">
      <c r="A78" s="469"/>
      <c r="B78" s="454"/>
      <c r="C78" s="183" t="s">
        <v>362</v>
      </c>
      <c r="D78" s="176"/>
      <c r="E78" s="147">
        <v>17</v>
      </c>
      <c r="F78" s="179">
        <f>IF(E78="","",IF($B$18="","Enter Stream Temperature",IF($B$18="Tier I (Cold) ",IF(E78&gt;=19.3,0,IF(E78&lt;=15.5,1,ROUND(E78*'Performance Standards'!$AB$55+'Performance Standards'!$AB$56,2))),IF($B$18="Tier II (Cold-Cool)",IF(E78&gt;=21,0,IF(E78&lt;=15.6,1,ROUND(E78*'Performance Standards'!$AC$55+'Performance Standards'!$AC$56,2))),IF($B$18="Tier III (Cool) ",IF(E78&gt;=24,0,IF(E78&lt;=17.8,1,ROUND(E78*'Performance Standards'!$AD$55+'Performance Standards'!$AD$56,2))),IF($B$18="Tier IV (Cool-Warm)",IF(E78&gt;=28.8,0,IF(E78&lt;=20,1,ROUND(E78*'Performance Standards'!$AE$55+'Performance Standards'!$AE$56,2))),IF($B$18="Tier V (Warm)",IF(E78&gt;=31,0,IF(E78&lt;=24.5,1,ROUND(E78*'Performance Standards'!$AF$55+'Performance Standards'!$AF$56,2))))))))))</f>
        <v>0.61</v>
      </c>
      <c r="G78" s="456"/>
      <c r="H78" s="535"/>
      <c r="I78" s="459"/>
      <c r="J78" s="460"/>
      <c r="K78" s="460"/>
      <c r="L78" s="7"/>
      <c r="N78" s="6"/>
      <c r="O78" s="6"/>
    </row>
    <row r="79" spans="1:15" ht="15.5" x14ac:dyDescent="0.35">
      <c r="A79" s="454"/>
      <c r="B79" s="162" t="s">
        <v>297</v>
      </c>
      <c r="C79" s="75" t="s">
        <v>238</v>
      </c>
      <c r="D79" s="157"/>
      <c r="E79" s="43">
        <v>50</v>
      </c>
      <c r="F79" s="163">
        <f>IF(E79="","",IF(OR($B$10="Basin",$B$10="Plains"),IF(E79&gt;=150,0,IF(E79&lt;21,1,ROUND('Performance Standards'!$AB$87*LN(E79)+'Performance Standards'!$AB$88,2))),IF(E79&gt;=97,0,IF(E79&lt;=13,1,ROUND('Performance Standards'!$AB$120*LN(E79)+'Performance Standards'!$AB$121,2)))))</f>
        <v>0.33</v>
      </c>
      <c r="G79" s="86">
        <f>IFERROR(AVERAGE(F79),"")</f>
        <v>0.33</v>
      </c>
      <c r="H79" s="456"/>
      <c r="I79" s="459"/>
      <c r="J79" s="460"/>
      <c r="K79" s="460"/>
      <c r="L79" s="7"/>
      <c r="N79" s="3"/>
      <c r="O79" s="6"/>
    </row>
    <row r="80" spans="1:15" ht="15.5" x14ac:dyDescent="0.35">
      <c r="A80" s="482" t="s">
        <v>59</v>
      </c>
      <c r="B80" s="457" t="s">
        <v>221</v>
      </c>
      <c r="C80" s="112" t="s">
        <v>217</v>
      </c>
      <c r="D80" s="113"/>
      <c r="E80" s="115">
        <v>0.6</v>
      </c>
      <c r="F80" s="153">
        <f>IF(E80="","",IF($B$11="","Enter Bioregion",IF($B$11="Wyoming Basin",IF(E80&lt;0.26,0,IF(E80&gt;0.94,1,ROUND('Performance Standards'!$AK$18*E80+'Performance Standards'!$AK$19,2))), IF($B$11="Black Hills",IF(E80&lt;0.2,0,IF(E80&gt;0.98,1,ROUND('Performance Standards'!$AL$18*E80+'Performance Standards'!$AL$19,2))), IF($B$11="High Valleys",IF(E80&lt;0.23,0,IF(E80&gt;0.95,1,ROUND('Performance Standards'!$AM$18*E80+'Performance Standards'!$AM$19,2))), IF($B$11="Sedimentary Mountains",IF(E80&lt;=0.23,0,IF(E80&gt;=1,1,ROUND('Performance Standards'!$AN$18*E80+'Performance Standards'!$AN$19,2))), IF($B$11="Southern Rockies",IF(E80&lt;0.07,0,IF(E80&gt;0.96,1,ROUND('Performance Standards'!$AK$54*E80+'Performance Standards'!$AK$55,2))), IF($B$11="SE Plains",IF(E80&lt;0.2,0,IF(E80&gt;0.95,1,ROUND('Performance Standards'!$AL$54*E80+'Performance Standards'!$AL$55,2))), IF($B$11="NE Plains",IF(E80&lt;0.2,0,IF(E80&gt;0.94,1,ROUND('Performance Standards'!$AM$54*E80+'Performance Standards'!$AM$55,2))),IF($B$11="Granitic Mountains",IF(E80&lt;0.45,0,IF(E80&gt;=1,1,ROUND('Performance Standards'!$AK$92*E80+'Performance Standards'!$AK$93,2))),IF($B$11="Bighorn Basin Foothills",IF(E80&lt;=0.1,0,IF(E80&gt;=1,1,ROUND('Performance Standards'!$AL$92*E80+'Performance Standards'!$AL$93,2))),IF($B$11="Volcanic Mountains &amp; Valleys",IF(E80&lt;0.35,0,IF(E80&gt;=1,1,ROUND('Performance Standards'!$AN$92*E80+'Performance Standards'!$AN$93,2))), IF($B$11="Southern Foothills &amp; Laramie Range",IF(E80&lt;0.3,0,IF(E80&gt;=1,1,ROUND('Performance Standards'!$AM$92*E80+'Performance Standards'!$AM$93,2))) )))))))))))))</f>
        <v>0.54</v>
      </c>
      <c r="G80" s="473">
        <f>IFERROR(IF(AND(F80="",F81=""),"",IF(OR(F80="",F81=""),AVERAGE(F80:F81),IF(OR(F80&lt;0.3,F81&lt;0.3),IF(OR(F80&gt;=0.7,F81&gt;=0.7),MIN(0.69,AVERAGE(F80:F81)),MIN(0.29,AVERAGE(F80:F81))), IF(OR(F80&gt;=0.7,F81&gt;=0.7),IF(AVERAGE(F80:F81)&lt;0.7,0.7,AVERAGE(F80:F81)),AVERAGE(F80:F81))))),"")</f>
        <v>0.53500000000000003</v>
      </c>
      <c r="H80" s="485">
        <f>IFERROR(ROUND(AVERAGE(G80:G84),2),"")</f>
        <v>0.51</v>
      </c>
      <c r="I80" s="459" t="str">
        <f>IF(H80="","",IF(H80&gt;0.69,"Functioning",IF(H80&gt;0.29,"Functioning At Risk",IF(H80&gt;-1,"Not Functioning"))))</f>
        <v>Functioning At Risk</v>
      </c>
      <c r="J80" s="460"/>
      <c r="K80" s="460"/>
      <c r="L80" s="7"/>
      <c r="N80" s="3"/>
      <c r="O80" s="6"/>
    </row>
    <row r="81" spans="1:15" s="3" customFormat="1" ht="15.5" x14ac:dyDescent="0.35">
      <c r="A81" s="483"/>
      <c r="B81" s="458"/>
      <c r="C81" s="114" t="s">
        <v>218</v>
      </c>
      <c r="D81" s="73"/>
      <c r="E81" s="154">
        <v>0.7</v>
      </c>
      <c r="F81" s="88">
        <f>IF(E81="","",IF($B$11="","Enter Bioregion",IF($B$11="Wyoming Basin",IF(E81&lt;0.34,0,IF(E81&gt;0.96,1,ROUND('Performance Standards'!$AK$128*E81+'Performance Standards'!$AK$129,2))), IF($B$11="Black Hills",IF(E81&lt;0.36,0,IF(E81&gt;=1,1,ROUND('Performance Standards'!$AL$128*E81+'Performance Standards'!$AL$129,2))), IF($B$11="High Valleys",IF(E81&lt;0.38,0,IF(E81&gt;0.98,1,ROUND('Performance Standards'!$AM$128*E81+'Performance Standards'!$AM$129,2))), IF($B$11="Sedimentary Mountains",IF(E81&lt;0.36,0,IF(E81&gt;0.97,1,ROUND('Performance Standards'!$AN$128*E81+'Performance Standards'!$AN$129,2))), IF($B$11="Southern Rockies",IF(E81&lt;0.25,0,IF(E81&gt;=1,1,ROUND('Performance Standards'!$AK$165*E81+'Performance Standards'!$AK$166,2))), IF($B$11="SE Plains",IF(E81&lt;0.33,0,IF(E81&gt;0.95,1,ROUND('Performance Standards'!$AL$165*E81+'Performance Standards'!$AL$166,2))), IF($B$11="NE Plains",IF(E81&lt;0.35,0,IF(E81&gt;0.98,1,ROUND('Performance Standards'!$AM$165*E81+'Performance Standards'!$AM$166,2))),IF($B$11="Granitic Mountains",IF(E81&lt;0.5,0,IF(E81&gt;0.98,1,ROUND('Performance Standards'!$AK$202*E81+'Performance Standards'!$AK$203,2))),IF($B$11="Bighorn Basin Foothills",IF(E81&lt;0.48,0,IF(E81&gt;=1,1,ROUND('Performance Standards'!$AL$202*E81+'Performance Standards'!$AL$203,2))),IF($B$11="Volcanic Mountains &amp; Valleys",IF(E81&lt;=0.2,0,IF(E81&gt;=1,1,ROUND('Performance Standards'!$AN$202*E81+'Performance Standards'!$AN$203,2))), IF($B$11="Southern Foothills &amp; Laramie Range",IF(E81&lt;0.28,0,IF(E81&gt;=1,1,ROUND('Performance Standards'!$AM$202*E81+'Performance Standards'!$AM$203,2))) )))))))))))))</f>
        <v>0.53</v>
      </c>
      <c r="G81" s="475"/>
      <c r="H81" s="485"/>
      <c r="I81" s="459"/>
      <c r="J81" s="460"/>
      <c r="K81" s="460"/>
      <c r="L81" s="7"/>
      <c r="O81" s="6"/>
    </row>
    <row r="82" spans="1:15" s="3" customFormat="1" ht="15.5" x14ac:dyDescent="0.35">
      <c r="A82" s="483"/>
      <c r="B82" s="457" t="s">
        <v>85</v>
      </c>
      <c r="C82" s="180" t="s">
        <v>264</v>
      </c>
      <c r="D82" s="169"/>
      <c r="E82" s="160">
        <v>75</v>
      </c>
      <c r="F82" s="172">
        <f>IF(E82="","",IF(E82&lt;58,0,IF(E82&gt;=100,1,ROUND(E82*'Performance Standards'!$AK$240+'Performance Standards'!$AK$241,2))))</f>
        <v>0.28000000000000003</v>
      </c>
      <c r="G82" s="473">
        <f>IFERROR(AVERAGE(F82:F84),"")</f>
        <v>0.48499999999999999</v>
      </c>
      <c r="H82" s="485"/>
      <c r="I82" s="459"/>
      <c r="J82" s="460"/>
      <c r="K82" s="460"/>
      <c r="L82" s="7"/>
      <c r="O82" s="6"/>
    </row>
    <row r="83" spans="1:15" s="3" customFormat="1" ht="15.5" x14ac:dyDescent="0.35">
      <c r="A83" s="483"/>
      <c r="B83" s="476"/>
      <c r="C83" s="181" t="s">
        <v>265</v>
      </c>
      <c r="D83" s="170"/>
      <c r="E83" s="159">
        <v>2</v>
      </c>
      <c r="F83" s="172">
        <f>IF(E83="","",ROUND(IF(E83&gt;=3,0,IF(E83&lt;=1,1,0.69)),2))</f>
        <v>0.69</v>
      </c>
      <c r="G83" s="474"/>
      <c r="H83" s="485"/>
      <c r="I83" s="459"/>
      <c r="J83" s="460"/>
      <c r="K83" s="460"/>
      <c r="L83" s="7"/>
      <c r="O83" s="6"/>
    </row>
    <row r="84" spans="1:15" ht="15.5" x14ac:dyDescent="0.35">
      <c r="A84" s="484"/>
      <c r="B84" s="458"/>
      <c r="C84" s="114" t="s">
        <v>266</v>
      </c>
      <c r="D84" s="171"/>
      <c r="E84" s="154"/>
      <c r="F84" s="88" t="str">
        <f>IF(E84="","",IF($B$21="","Enter Stream Producitvity Rating",IF($B$21="Blue Ribbon and non-trout",IF(E84&lt;5,0,IF(E84&gt;=40,1,ROUND(E84*'Performance Standards'!$AK$316+'Performance Standards'!$AK$317,2))),IF($B$21="Red Ribbon",IF(E84&lt;10,0,IF(E84&gt;=80,1,ROUND(E84*'Performance Standards'!$AL$316+'Performance Standards'!$AL$317,2))),IF($B$21="Yellow Ribbon",IF(E84&lt;15,0,IF(E84&gt;=119,1,ROUND(E84*'Performance Standards'!$AM$316+'Performance Standards'!$AM$317,2))),IF($B$21="Green Ribbon",IF(E84&lt;20,0,IF(E84&gt;=160,1,ROUND(E84*'Performance Standards'!$AN$316+'Performance Standards'!$AN$317,2)))))))))</f>
        <v/>
      </c>
      <c r="G84" s="475"/>
      <c r="H84" s="485"/>
      <c r="I84" s="459"/>
      <c r="J84" s="460"/>
      <c r="K84" s="460"/>
      <c r="L84" s="7"/>
      <c r="N84" s="3"/>
    </row>
    <row r="85" spans="1:15" x14ac:dyDescent="0.35">
      <c r="J85" s="2"/>
      <c r="K85" s="2"/>
      <c r="L85" s="7"/>
    </row>
    <row r="86" spans="1:15" s="3" customFormat="1" x14ac:dyDescent="0.35">
      <c r="J86" s="2"/>
      <c r="K86" s="2"/>
      <c r="L86" s="7"/>
    </row>
    <row r="87" spans="1:15" ht="21" x14ac:dyDescent="0.5">
      <c r="A87" s="463" t="s">
        <v>56</v>
      </c>
      <c r="B87" s="464"/>
      <c r="C87" s="464"/>
      <c r="D87" s="464"/>
      <c r="E87" s="464"/>
      <c r="F87" s="465"/>
      <c r="G87" s="463" t="s">
        <v>16</v>
      </c>
      <c r="H87" s="464"/>
      <c r="I87" s="464"/>
      <c r="J87" s="464"/>
      <c r="K87" s="465"/>
      <c r="L87" s="7"/>
    </row>
    <row r="88" spans="1:15" ht="15.5" x14ac:dyDescent="0.35">
      <c r="A88" s="49" t="s">
        <v>1</v>
      </c>
      <c r="B88" s="49" t="s">
        <v>2</v>
      </c>
      <c r="C88" s="461" t="s">
        <v>3</v>
      </c>
      <c r="D88" s="462"/>
      <c r="E88" s="145" t="s">
        <v>14</v>
      </c>
      <c r="F88" s="144" t="s">
        <v>15</v>
      </c>
      <c r="G88" s="49" t="s">
        <v>17</v>
      </c>
      <c r="H88" s="49" t="s">
        <v>18</v>
      </c>
      <c r="I88" s="49" t="s">
        <v>18</v>
      </c>
      <c r="J88" s="49" t="s">
        <v>19</v>
      </c>
      <c r="K88" s="50" t="s">
        <v>19</v>
      </c>
    </row>
    <row r="89" spans="1:15" ht="15.5" x14ac:dyDescent="0.35">
      <c r="A89" s="493" t="s">
        <v>63</v>
      </c>
      <c r="B89" s="51" t="s">
        <v>100</v>
      </c>
      <c r="C89" s="52" t="s">
        <v>101</v>
      </c>
      <c r="D89" s="52"/>
      <c r="E89" s="147" t="s">
        <v>455</v>
      </c>
      <c r="F89" s="53">
        <f>IF(E89="","",IF(E89="G1",0.8,IF(E89="G2",0.9,IF(E89="G3",1,IF(E89="F1",0.4,IF(E89="F2",0.5,IF(E89="F3",0.6,IF(E89="P1",0.1,IF(E89="P2",0.2,IF(E89="P3",0.3,))))))))))</f>
        <v>0.9</v>
      </c>
      <c r="G89" s="84">
        <f>IFERROR(AVERAGE(F89),"")</f>
        <v>0.9</v>
      </c>
      <c r="H89" s="499">
        <f>IFERROR(ROUND(AVERAGE(G89:G93),2),"")</f>
        <v>0.88</v>
      </c>
      <c r="I89" s="459" t="str">
        <f>IF(H89="","",IF(H89&gt;0.69,"Functioning",IF(H89&gt;0.29,"Functioning At Risk",IF(H89&gt;-1,"Not Functioning"))))</f>
        <v>Functioning</v>
      </c>
      <c r="J89" s="460">
        <f>IF(AND(H89="",H94="",H96="",H120="",H123=""),"",ROUND((IF(H89="",0,H89)*0.2)+(IF(H94="",0,H94)*0.2)+(IF(H96="",0,H96)*0.3)+(IF(H120="",0,H120)*0.15)+(IF(H123="",0,H123)*0.15),2))</f>
        <v>0.86</v>
      </c>
      <c r="K89" s="460" t="str">
        <f>IF(J89="","",IF(J89&lt;0.3, "Not Functioning",IF(OR(H89&lt;0.7,H94&lt;0.7,H96&lt;0.7,H120&lt;0.7,H123&lt;0.7),"Functioning At Risk",IF(J89&lt;0.7,"Functioning At Risk","Functioning"))))</f>
        <v>Functioning</v>
      </c>
      <c r="N89" s="3"/>
    </row>
    <row r="90" spans="1:15" s="3" customFormat="1" ht="15.5" x14ac:dyDescent="0.35">
      <c r="A90" s="494"/>
      <c r="B90" s="493" t="s">
        <v>146</v>
      </c>
      <c r="C90" s="118" t="s">
        <v>147</v>
      </c>
      <c r="D90" s="117"/>
      <c r="E90" s="115">
        <v>60</v>
      </c>
      <c r="F90" s="121">
        <f>IF(E90="","",IF($B$20="Forested",IF(E90&gt;71,0,IF(E90&lt;=41,1,ROUND(E90^2*'Performance Standards'!$C$16+E90*'Performance Standards'!$C$17+'Performance Standards'!$C$18,2))),IF(B$20="Scrub-Shrub",IF(E90&gt;59.6,0,IF(E90&lt;=35,1,ROUND(E90^2*'Performance Standards'!$D$16+E90*'Performance Standards'!$D$17+'Performance Standards'!$D$18,2))),IF(B$20="Herbaceous",IF(E90&gt;85,0,IF(E90&lt;=62,1,ROUND(E90^2*'Performance Standards'!$E$16+E90*'Performance Standards'!$E$17+'Performance Standards'!$E$18,2)))))))</f>
        <v>0.73</v>
      </c>
      <c r="G90" s="470">
        <f>IFERROR(AVERAGE(F90:F92),"")</f>
        <v>0.86499999999999999</v>
      </c>
      <c r="H90" s="500"/>
      <c r="I90" s="459"/>
      <c r="J90" s="460"/>
      <c r="K90" s="460"/>
    </row>
    <row r="91" spans="1:15" s="3" customFormat="1" ht="15.5" x14ac:dyDescent="0.35">
      <c r="A91" s="494"/>
      <c r="B91" s="494"/>
      <c r="C91" s="119" t="s">
        <v>148</v>
      </c>
      <c r="D91" s="52"/>
      <c r="E91" s="147">
        <v>0</v>
      </c>
      <c r="F91" s="53">
        <f>IF(E91="","",IF(E91&gt;3,0,IF(E91=0,1,ROUND('Performance Standards'!C$49*E91+'Performance Standards'!C$50,2))))</f>
        <v>1</v>
      </c>
      <c r="G91" s="471"/>
      <c r="H91" s="500"/>
      <c r="I91" s="459"/>
      <c r="J91" s="460"/>
      <c r="K91" s="460"/>
    </row>
    <row r="92" spans="1:15" s="3" customFormat="1" ht="15.5" x14ac:dyDescent="0.35">
      <c r="A92" s="494"/>
      <c r="B92" s="512"/>
      <c r="C92" s="120" t="s">
        <v>149</v>
      </c>
      <c r="D92" s="54"/>
      <c r="E92" s="148"/>
      <c r="F92" s="116" t="str">
        <f>IF(E92="","",IF(B$19="Sandy",IF(E92&gt;1.94,0,IF(E92&lt;1.45,1,ROUND(E92*'Performance Standards'!$C$85+'Performance Standards'!$C$86,2))),IF(B$19="Silty",IF(E92&gt;1.83,0,IF(E92&lt;1.21,1,ROUND(E92*'Performance Standards'!$D$85+'Performance Standards'!$D$86,2))),IF(B$19="Clayey",IF(E92&gt;1.74,0,IF(E92&lt;0.82,1,ROUND(E92*'Performance Standards'!$E$85+'Performance Standards'!$E$86,2)))))))</f>
        <v/>
      </c>
      <c r="G92" s="472"/>
      <c r="H92" s="500"/>
      <c r="I92" s="459"/>
      <c r="J92" s="460"/>
      <c r="K92" s="460"/>
    </row>
    <row r="93" spans="1:15" s="3" customFormat="1" ht="15.5" x14ac:dyDescent="0.35">
      <c r="A93" s="494"/>
      <c r="B93" s="156" t="s">
        <v>170</v>
      </c>
      <c r="C93" s="185" t="s">
        <v>285</v>
      </c>
      <c r="D93" s="54"/>
      <c r="E93" s="174"/>
      <c r="F93" s="116" t="str">
        <f>IF(E93="","",IF(OR(E93&gt;=2,E93&lt;=0.6),0,IF(AND(E93&gt;=1,E93&lt;=1.1),1,ROUND(IF(E93&lt;1,'Performance Standards'!$C$121*E93^2+'Performance Standards'!$C$122*E93+'Performance Standards'!$C$123,'Performance Standards'!$D$121*E93^2+'Performance Standards'!$D$122*E93+'Performance Standards'!$D$123),2))))</f>
        <v/>
      </c>
      <c r="G93" s="247" t="str">
        <f>IFERROR(F93,"")</f>
        <v/>
      </c>
      <c r="H93" s="500"/>
      <c r="I93" s="459"/>
      <c r="J93" s="460"/>
      <c r="K93" s="460"/>
    </row>
    <row r="94" spans="1:15" s="3" customFormat="1" ht="15.5" x14ac:dyDescent="0.35">
      <c r="A94" s="524" t="s">
        <v>6</v>
      </c>
      <c r="B94" s="524" t="s">
        <v>7</v>
      </c>
      <c r="C94" s="55" t="s">
        <v>8</v>
      </c>
      <c r="D94" s="55"/>
      <c r="E94" s="147">
        <v>1</v>
      </c>
      <c r="F94" s="56">
        <f>IF(E94="","",ROUND(IF(E94&gt;1.6,0,IF(E94&lt;=1,1,E94^2*'Performance Standards'!K$14+E94*'Performance Standards'!K$15+'Performance Standards'!K$16)),2))</f>
        <v>1</v>
      </c>
      <c r="G94" s="526">
        <f>IFERROR(AVERAGE(F94:F95),"")</f>
        <v>0.88500000000000001</v>
      </c>
      <c r="H94" s="526">
        <f>IFERROR(ROUND(AVERAGE(G94:G95),2),"")</f>
        <v>0.89</v>
      </c>
      <c r="I94" s="533" t="str">
        <f>IF(H94="","",IF(H94&gt;0.69,"Functioning",IF(H94&gt;0.29,"Functioning At Risk",IF(H94&gt;-1,"Not Functioning"))))</f>
        <v>Functioning</v>
      </c>
      <c r="J94" s="460"/>
      <c r="K94" s="460"/>
    </row>
    <row r="95" spans="1:15" s="3" customFormat="1" ht="15.5" x14ac:dyDescent="0.35">
      <c r="A95" s="528"/>
      <c r="B95" s="525"/>
      <c r="C95" s="57" t="s">
        <v>9</v>
      </c>
      <c r="D95" s="57"/>
      <c r="E95" s="148">
        <v>3</v>
      </c>
      <c r="F95" s="58">
        <f>IF(E95="","",IF(OR(B$9="A",B$9="Ba",B$9="B", B$9="Bc"),IF(E95&lt;1.2,0,IF(E95&gt;=2.2,1,ROUND(IF(E95&lt;1.4,E95*'Performance Standards'!$K$84+'Performance Standards'!$K$85,E95*'Performance Standards'!$L$84+'Performance Standards'!$L$85),2))),IF(OR(B$9="C",B$9="Cb",B$9="E"),IF(E95&lt;2,0,IF(E95&gt;=5,1,ROUND(IF(E95&lt;2.4,E95*'Performance Standards'!$L$49+'Performance Standards'!$L$50,E95*'Performance Standards'!$K$49+'Performance Standards'!$K$50),2))))))</f>
        <v>0.77</v>
      </c>
      <c r="G95" s="527"/>
      <c r="H95" s="532"/>
      <c r="I95" s="534"/>
      <c r="J95" s="460"/>
      <c r="K95" s="460"/>
    </row>
    <row r="96" spans="1:15" s="3" customFormat="1" ht="15.5" x14ac:dyDescent="0.35">
      <c r="A96" s="477" t="s">
        <v>23</v>
      </c>
      <c r="B96" s="477" t="s">
        <v>24</v>
      </c>
      <c r="C96" s="64" t="s">
        <v>22</v>
      </c>
      <c r="D96" s="67"/>
      <c r="E96" s="115">
        <v>300</v>
      </c>
      <c r="F96" s="242">
        <f>IF(E96="","",IF(E96&gt;600,1,IF(E96&lt;300,ROUND('Performance Standards'!$S$15*(E96^2)+'Performance Standards'!$S$16*E96+'Performance Standards'!$S$17,2),ROUND('Performance Standards'!$T$16*E96+'Performance Standards'!$T$17,2))))</f>
        <v>0.7</v>
      </c>
      <c r="G96" s="480">
        <f>IFERROR(AVERAGE(F96:F97),"")</f>
        <v>0.7</v>
      </c>
      <c r="H96" s="531">
        <f>IFERROR(ROUND(AVERAGE(G96:G119),2),"")</f>
        <v>0.78</v>
      </c>
      <c r="I96" s="460" t="str">
        <f>IF(H96="","",IF(H96&gt;0.69,"Functioning",IF(H96&gt;0.29,"Functioning At Risk",IF(H96&gt;-1,"Not Functioning"))))</f>
        <v>Functioning</v>
      </c>
      <c r="J96" s="460"/>
      <c r="K96" s="460"/>
    </row>
    <row r="97" spans="1:14" s="3" customFormat="1" ht="15.5" x14ac:dyDescent="0.35">
      <c r="A97" s="478"/>
      <c r="B97" s="479"/>
      <c r="C97" s="66" t="s">
        <v>357</v>
      </c>
      <c r="D97" s="68"/>
      <c r="E97" s="148"/>
      <c r="F97" s="192" t="str">
        <f>IF(E97="","",IF(E97&lt;=0,0,IF(E97&gt;=30,1,ROUND(IF(E97&lt;=15,'Performance Standards'!$S$49*E97^2+'Performance Standards'!$S$50*E97,'Performance Standards'!$T$50*E97+'Performance Standards'!$T$51),2))))</f>
        <v/>
      </c>
      <c r="G97" s="481"/>
      <c r="H97" s="531"/>
      <c r="I97" s="460"/>
      <c r="J97" s="460"/>
      <c r="K97" s="460"/>
    </row>
    <row r="98" spans="1:14" ht="15.5" x14ac:dyDescent="0.35">
      <c r="A98" s="478"/>
      <c r="B98" s="478" t="s">
        <v>46</v>
      </c>
      <c r="C98" s="64" t="s">
        <v>91</v>
      </c>
      <c r="D98" s="67"/>
      <c r="E98" s="115"/>
      <c r="F98" s="238" t="str">
        <f>IF(E98="","",ROUND(IF(E98&gt;0.7,0,IF(E98&lt;=0.1,1,E98^3*'Performance Standards'!S$83+E98^2*'Performance Standards'!S$84+E98*'Performance Standards'!S$85+'Performance Standards'!S$86)),2))</f>
        <v/>
      </c>
      <c r="G98" s="466">
        <f>IFERROR(IF(E98="",AVERAGE(F99:F100),IF(E99="",F98,MIN(F98,AVERAGE(F99:F100)))),"")</f>
        <v>0.85</v>
      </c>
      <c r="H98" s="531"/>
      <c r="I98" s="460"/>
      <c r="J98" s="460"/>
      <c r="K98" s="460"/>
      <c r="N98" s="3"/>
    </row>
    <row r="99" spans="1:14" ht="15.5" x14ac:dyDescent="0.35">
      <c r="A99" s="478"/>
      <c r="B99" s="478"/>
      <c r="C99" s="65" t="s">
        <v>47</v>
      </c>
      <c r="D99" s="61"/>
      <c r="E99" s="147" t="s">
        <v>27</v>
      </c>
      <c r="F99" s="62">
        <f>IF(E99="","",IF(OR(E99="Ex/Ex",E99="Ex/VH"),0, IF(OR(E99="Ex/H",E99="VH/Ex",E99="VH/VH", E99="H/Ex",E99="H/VH",E99="M/Ex"),0.1,IF(OR(E99="Ex/M",E99="VH/H",E99="H/H", E99="M/VH"),0.2, IF(OR(E99="Ex/L",E99="VH/M",E99="H/M", E99="M/H",E99="L/Ex"),0.3, IF(OR(E99="Ex/VL",E99="VH/L",E99="H/L"),0.4, IF(OR(E99="VH/VL",E99="H/VL",E99="M/M", E99="L/VH"),0.5, IF(OR(E99="M/L",E99="L/H"),0.6, IF(OR(E99="M/VL",E99="L/M"),0.7, IF(OR(E99="L/L",E99="L/VL"),1))))))))))</f>
        <v>0.7</v>
      </c>
      <c r="G99" s="467"/>
      <c r="H99" s="531"/>
      <c r="I99" s="460"/>
      <c r="J99" s="460"/>
      <c r="K99" s="460"/>
      <c r="N99" s="3"/>
    </row>
    <row r="100" spans="1:14" ht="15.5" x14ac:dyDescent="0.35">
      <c r="A100" s="478"/>
      <c r="B100" s="479"/>
      <c r="C100" s="66" t="s">
        <v>102</v>
      </c>
      <c r="D100" s="68"/>
      <c r="E100" s="148">
        <v>5</v>
      </c>
      <c r="F100" s="70">
        <f>IF(E100="","",ROUND(IF(E100&gt;50,0,IF(E100&lt;5,1,IF(E100&gt;9,E100^2*'Performance Standards'!S$119+E100*'Performance Standards'!S$120+'Performance Standards'!S$121,'Performance Standards'!$T$120*E100+'Performance Standards'!$T$121))),2))</f>
        <v>1</v>
      </c>
      <c r="G100" s="468"/>
      <c r="H100" s="531"/>
      <c r="I100" s="460"/>
      <c r="J100" s="460"/>
      <c r="K100" s="460"/>
    </row>
    <row r="101" spans="1:14" s="3" customFormat="1" ht="15.5" x14ac:dyDescent="0.35">
      <c r="A101" s="478"/>
      <c r="B101" s="477" t="s">
        <v>48</v>
      </c>
      <c r="C101" s="67" t="s">
        <v>447</v>
      </c>
      <c r="D101" s="67"/>
      <c r="E101" s="147">
        <v>100</v>
      </c>
      <c r="F101" s="62">
        <f>IF(E101="","",IF($B$22="Unconfined Alluvial",IF(E101&gt;=100,1,IF(E101&lt;30,0,ROUND('Performance Standards'!$S$155*E101^2+'Performance Standards'!$S$156*E101+'Performance Standards'!$S$157,2))),IF($B$22="Confined Alluvial",(IF(E101&gt;=100,1,IF(E101&lt;60,0,ROUND('Performance Standards'!$T$155*E101^2+'Performance Standards'!$T$156*E101+'Performance Standards'!$T$157,2)))),IF($B$22="Colluvial/V-Shaped",(IF(E101&gt;=100,1,IF(E101&lt;80,0,ROUND('Performance Standards'!$U$155*E101^2+'Performance Standards'!$U$156*E101+'Performance Standards'!$U$157,2))))))))</f>
        <v>1</v>
      </c>
      <c r="G101" s="466">
        <f>IFERROR(AVERAGE(F101:F113),"")</f>
        <v>0.74923076923076926</v>
      </c>
      <c r="H101" s="531"/>
      <c r="I101" s="460"/>
      <c r="J101" s="460"/>
      <c r="K101" s="460"/>
      <c r="N101"/>
    </row>
    <row r="102" spans="1:14" s="3" customFormat="1" ht="15.5" x14ac:dyDescent="0.35">
      <c r="A102" s="478"/>
      <c r="B102" s="478"/>
      <c r="C102" s="61" t="s">
        <v>448</v>
      </c>
      <c r="D102" s="61"/>
      <c r="E102" s="147">
        <v>100</v>
      </c>
      <c r="F102" s="62">
        <f>IF(E102="","",IF($B$22="Unconfined Alluvial",IF(E102&gt;=100,1,IF(E102&lt;30,0,ROUND('Performance Standards'!$S$155*E102^2+'Performance Standards'!$S$156*E102+'Performance Standards'!$S$157,2))),IF($B$22="Confined Alluvial",(IF(E102&gt;=100,1,IF(E102&lt;60,0,ROUND('Performance Standards'!$T$155*E102^2+'Performance Standards'!$T$156*E102+'Performance Standards'!$T$157,2)))),IF($B$22="Colluvial/V-Shaped",(IF(E102&gt;=100,1,IF(E102&lt;80,0,ROUND('Performance Standards'!$U$155*E102^2+'Performance Standards'!$U$156*E102+'Performance Standards'!$U$157,2))))))))</f>
        <v>1</v>
      </c>
      <c r="G102" s="467"/>
      <c r="H102" s="531"/>
      <c r="I102" s="460"/>
      <c r="J102" s="460"/>
      <c r="K102" s="460"/>
    </row>
    <row r="103" spans="1:14" s="3" customFormat="1" ht="15.5" x14ac:dyDescent="0.35">
      <c r="A103" s="478"/>
      <c r="B103" s="478"/>
      <c r="C103" s="61" t="s">
        <v>299</v>
      </c>
      <c r="D103" s="61"/>
      <c r="E103" s="147">
        <v>50</v>
      </c>
      <c r="F103" s="62">
        <f>IF(E103="","",IF($B$20="Herbaceous","",IF(E103="","",IF($B$10="Mountains",(IF(E103&gt;=90,1,ROUND('Performance Standards'!$S$191*E103^3+'Performance Standards'!$S$192*E103^2+'Performance Standards'!$S$193*E103+'Performance Standards'!$S$194,2))),IF($B$10="Basin",(IF(E103&gt;=90,1,ROUND('Performance Standards'!$T$191*E103^3+'Performance Standards'!$T$192*E103^2+'Performance Standards'!$T$193*E103+'Performance Standards'!$T$194,2))),(IF($B$10="Plains",(IF(E103&gt;=75,1,ROUND('Performance Standards'!$U$191*E103^3+'Performance Standards'!$U$192*E103^2+'Performance Standards'!$U$193*E103+'Performance Standards'!$U$194,2))))))))))</f>
        <v>0.48</v>
      </c>
      <c r="G103" s="467"/>
      <c r="H103" s="531"/>
      <c r="I103" s="460"/>
      <c r="J103" s="460"/>
      <c r="K103" s="460"/>
    </row>
    <row r="104" spans="1:14" s="3" customFormat="1" ht="15.5" x14ac:dyDescent="0.35">
      <c r="A104" s="478"/>
      <c r="B104" s="478"/>
      <c r="C104" s="61" t="s">
        <v>300</v>
      </c>
      <c r="D104" s="61"/>
      <c r="E104" s="147">
        <v>50</v>
      </c>
      <c r="F104" s="62">
        <f>IF(E104="","",IF($B$20="Herbaceous","",IF(E104="","",IF($B$10="Mountains",(IF(E104&gt;=90,1,ROUND('Performance Standards'!$S$191*E104^3+'Performance Standards'!$S$192*E104^2+'Performance Standards'!$S$193*E104+'Performance Standards'!$S$194,2))),IF($B$10="Basin",(IF(E104&gt;=90,1,ROUND('Performance Standards'!$T$191*E104^3+'Performance Standards'!$T$192*E104^2+'Performance Standards'!$T$193*E104+'Performance Standards'!$T$194,2))),(IF($B$10="Plains",(IF(E104&gt;=75,1,ROUND('Performance Standards'!$U$191*E104^3+'Performance Standards'!$U$192*E104^2+'Performance Standards'!$U$193*E104+'Performance Standards'!$U$194,2))))))))))</f>
        <v>0.48</v>
      </c>
      <c r="G104" s="467"/>
      <c r="H104" s="531"/>
      <c r="I104" s="460"/>
      <c r="J104" s="460"/>
      <c r="K104" s="460"/>
    </row>
    <row r="105" spans="1:14" s="3" customFormat="1" ht="15.5" x14ac:dyDescent="0.35">
      <c r="A105" s="478"/>
      <c r="B105" s="478"/>
      <c r="C105" s="61" t="s">
        <v>301</v>
      </c>
      <c r="D105" s="61"/>
      <c r="E105" s="147">
        <v>60</v>
      </c>
      <c r="F105" s="62">
        <f>IF(E105="","",IF($B$20="Herbaceous",IF(E105&lt;30,0,IF(E105&gt;=100,1,ROUND(E105^2*'Performance Standards'!$S$225+E105*'Performance Standards'!$S$226+'Performance Standards'!$S$227,2))),IF($B$22="Colluvial/V-Shaped",IF(E105&gt;=100,0,IF(AND(E105&gt;=0,E105&lt;=15),ROUND(E105*'Performance Standards'!$S$259+'Performance Standards'!$S$260,2),IF(AND(E105&gt;=15,E105&lt;=55),ROUND(E105*'Performance Standards'!$T$259+'Performance Standards'!$T$260,2),IF(AND(E105&gt;=56,E105&lt;=100),ROUND(E105^2*'Performance Standards'!$U$259+E105*'Performance Standards'!$U$260+'Performance Standards'!$U$261,2))))),IF(OR(E105&gt;=100,E105&lt;=0),0,IF(AND(E105&gt;0,E105&lt;=70),ROUND(E105^2*'Performance Standards'!$S$292+E105*'Performance Standards'!$S$293+'Performance Standards'!$S$294,2),IF(AND(E105&gt;70,E105&lt;100),ROUND(E105^2*'Performance Standards'!$T$292+E105*'Performance Standards'!$T$293+'Performance Standards'!$T$294,2)))))))</f>
        <v>0.99</v>
      </c>
      <c r="G105" s="467"/>
      <c r="H105" s="531"/>
      <c r="I105" s="460"/>
      <c r="J105" s="460"/>
      <c r="K105" s="460"/>
    </row>
    <row r="106" spans="1:14" s="3" customFormat="1" ht="15.5" x14ac:dyDescent="0.35">
      <c r="A106" s="478"/>
      <c r="B106" s="478"/>
      <c r="C106" s="61" t="s">
        <v>302</v>
      </c>
      <c r="D106" s="61"/>
      <c r="E106" s="147">
        <v>60</v>
      </c>
      <c r="F106" s="62">
        <f>IF(E106="","",IF($B$20="Herbaceous",IF(E106&lt;30,0,IF(E106&gt;=100,1,ROUND(E106^2*'Performance Standards'!$S$225+E106*'Performance Standards'!$S$226+'Performance Standards'!$S$227,2))),IF($B$22="Colluvial/V-Shaped",IF(E106&gt;=100,0,IF(AND(E106&gt;=0,E106&lt;=15),ROUND(E106*'Performance Standards'!$S$259+'Performance Standards'!$S$260,2),IF(AND(E106&gt;=15,E106&lt;=55),ROUND(E106*'Performance Standards'!$T$259+'Performance Standards'!$T$260,2),IF(AND(E106&gt;=56,E106&lt;=100),ROUND(E106^2*'Performance Standards'!$U$259+E106*'Performance Standards'!$U$260+'Performance Standards'!$U$261,2))))),IF(OR(E106&gt;=100,E106&lt;=0),0,IF(AND(E106&gt;0,E106&lt;=70),ROUND(E106^2*'Performance Standards'!$S$292+E106*'Performance Standards'!$S$293+'Performance Standards'!$S$294,2),IF(AND(E106&gt;70,E106&lt;100),ROUND(E106^2*'Performance Standards'!$T$292+E106*'Performance Standards'!$T$293+'Performance Standards'!$T$294,2)))))))</f>
        <v>0.99</v>
      </c>
      <c r="G106" s="467"/>
      <c r="H106" s="531"/>
      <c r="I106" s="460"/>
      <c r="J106" s="460"/>
      <c r="K106" s="460"/>
    </row>
    <row r="107" spans="1:14" s="3" customFormat="1" ht="15.5" x14ac:dyDescent="0.35">
      <c r="A107" s="478"/>
      <c r="B107" s="478"/>
      <c r="C107" s="61" t="s">
        <v>304</v>
      </c>
      <c r="D107" s="61"/>
      <c r="E107" s="147">
        <v>5</v>
      </c>
      <c r="F107" s="62">
        <f>IF(E107="","",ROUND(IF(E107&gt;=100,0,E107^2*'Performance Standards'!$S$324+E107*'Performance Standards'!$S$325+'Performance Standards'!$S$326),2))</f>
        <v>0.91</v>
      </c>
      <c r="G107" s="467"/>
      <c r="H107" s="531"/>
      <c r="I107" s="460"/>
      <c r="J107" s="460"/>
      <c r="K107" s="460"/>
    </row>
    <row r="108" spans="1:14" s="3" customFormat="1" ht="15.5" x14ac:dyDescent="0.35">
      <c r="A108" s="478"/>
      <c r="B108" s="478"/>
      <c r="C108" s="61" t="s">
        <v>305</v>
      </c>
      <c r="D108" s="61"/>
      <c r="E108" s="147">
        <v>5</v>
      </c>
      <c r="F108" s="62">
        <f>IF(E108="","",ROUND(IF(E108&gt;=100,0,E108^2*'Performance Standards'!$S$324+E108*'Performance Standards'!$S$325+'Performance Standards'!$S$326),2))</f>
        <v>0.91</v>
      </c>
      <c r="G108" s="467"/>
      <c r="H108" s="531"/>
      <c r="I108" s="460"/>
      <c r="J108" s="460"/>
      <c r="K108" s="460"/>
    </row>
    <row r="109" spans="1:14" s="3" customFormat="1" ht="15.5" x14ac:dyDescent="0.35">
      <c r="A109" s="478"/>
      <c r="B109" s="478"/>
      <c r="C109" s="61" t="s">
        <v>307</v>
      </c>
      <c r="D109" s="61"/>
      <c r="E109" s="147">
        <v>40</v>
      </c>
      <c r="F109" s="62">
        <f>IF(E109="","",ROUND(IF(E109&gt;=100,1,E109^3*'Performance Standards'!$S$357+E109^2*'Performance Standards'!$S$358+E109*'Performance Standards'!$S$359+$S$124),2))</f>
        <v>0.44</v>
      </c>
      <c r="G109" s="467"/>
      <c r="H109" s="531"/>
      <c r="I109" s="460"/>
      <c r="J109" s="460"/>
      <c r="K109" s="460"/>
      <c r="N109"/>
    </row>
    <row r="110" spans="1:14" s="3" customFormat="1" ht="15.5" x14ac:dyDescent="0.35">
      <c r="A110" s="478"/>
      <c r="B110" s="478"/>
      <c r="C110" s="61" t="s">
        <v>308</v>
      </c>
      <c r="D110" s="61"/>
      <c r="E110" s="147">
        <v>40</v>
      </c>
      <c r="F110" s="62">
        <f>IF(E110="","",ROUND(IF(E110&gt;=100,1,E110^3*'Performance Standards'!$S$357+E110^2*'Performance Standards'!$S$358+E110*'Performance Standards'!$S$359+$S$124),2))</f>
        <v>0.44</v>
      </c>
      <c r="G110" s="467"/>
      <c r="H110" s="531"/>
      <c r="I110" s="460"/>
      <c r="J110" s="460"/>
      <c r="K110" s="460"/>
    </row>
    <row r="111" spans="1:14" s="3" customFormat="1" ht="15.5" x14ac:dyDescent="0.35">
      <c r="A111" s="478"/>
      <c r="B111" s="478"/>
      <c r="C111" s="61" t="s">
        <v>158</v>
      </c>
      <c r="D111" s="61"/>
      <c r="E111" s="159">
        <v>20</v>
      </c>
      <c r="F111" s="192">
        <f>IF(E111="","",IF(OR(E111&gt;=50,E111&lt;=0),0,IF(AND(E111&gt;=25,E111&lt;=36),1,ROUND(IF(E111&lt;25,'Performance Standards'!$S$394*E111^3+'Performance Standards'!$S$395*E111^2+'Performance Standards'!$S$396*E111+'Performance Standards'!$S$397,'Performance Standards'!$T$394*E111^3+'Performance Standards'!$T$395*E111^2+'Performance Standards'!$T$396*E111+'Performance Standards'!$T$397),2))))</f>
        <v>0.7</v>
      </c>
      <c r="G111" s="467"/>
      <c r="H111" s="531"/>
      <c r="I111" s="460"/>
      <c r="J111" s="460"/>
      <c r="K111" s="460"/>
    </row>
    <row r="112" spans="1:14" s="3" customFormat="1" ht="15.5" x14ac:dyDescent="0.35">
      <c r="A112" s="478"/>
      <c r="B112" s="478"/>
      <c r="C112" s="61" t="s">
        <v>159</v>
      </c>
      <c r="D112" s="61"/>
      <c r="E112" s="147">
        <v>20</v>
      </c>
      <c r="F112" s="192">
        <f>IF(E112="","",IF(OR(E112&gt;=50,E112&lt;=0),0,IF(AND(E112&gt;=25,E112&lt;=36),1,ROUND(IF(E112&lt;25,'Performance Standards'!$S$394*E112^3+'Performance Standards'!$S$395*E112^2+'Performance Standards'!$S$396*E112+'Performance Standards'!$S$397,'Performance Standards'!$T$394*E112^3+'Performance Standards'!$T$395*E112^2+'Performance Standards'!$T$396*E112+'Performance Standards'!$T$397),2))))</f>
        <v>0.7</v>
      </c>
      <c r="G112" s="467"/>
      <c r="H112" s="531"/>
      <c r="I112" s="460"/>
      <c r="J112" s="460"/>
      <c r="K112" s="460"/>
      <c r="M112" s="7"/>
      <c r="N112"/>
    </row>
    <row r="113" spans="1:14" s="3" customFormat="1" ht="15.5" x14ac:dyDescent="0.35">
      <c r="A113" s="478"/>
      <c r="B113" s="479"/>
      <c r="C113" s="61" t="s">
        <v>298</v>
      </c>
      <c r="D113" s="61"/>
      <c r="E113" s="148">
        <v>7</v>
      </c>
      <c r="F113" s="213">
        <f>IF(E113="","",ROUND(IF(E113&lt;=2,0,IF(E113&gt;=9,1,E113^3*'Performance Standards'!S$430+E113^2*'Performance Standards'!$S$431+E113*'Performance Standards'!$S$432+'Performance Standards'!$S$433)),2))</f>
        <v>0.7</v>
      </c>
      <c r="G113" s="468"/>
      <c r="H113" s="531"/>
      <c r="I113" s="460"/>
      <c r="J113" s="460"/>
      <c r="K113" s="460"/>
      <c r="N113"/>
    </row>
    <row r="114" spans="1:14" s="3" customFormat="1" ht="15.5" x14ac:dyDescent="0.35">
      <c r="A114" s="478"/>
      <c r="B114" s="59" t="s">
        <v>121</v>
      </c>
      <c r="C114" s="74" t="s">
        <v>160</v>
      </c>
      <c r="D114" s="60"/>
      <c r="E114" s="43"/>
      <c r="F114" s="62" t="str">
        <f>IF(E114="","",IF(B$13="Sand","NA",IF(E114&gt;0.1,1,IF(E114&lt;=0.01,0,ROUND(E114*'Performance Standards'!$S$464+'Performance Standards'!$S$465,2)))))</f>
        <v/>
      </c>
      <c r="G114" s="83" t="str">
        <f>IFERROR(AVERAGE(F114),"")</f>
        <v/>
      </c>
      <c r="H114" s="531"/>
      <c r="I114" s="460"/>
      <c r="J114" s="460"/>
      <c r="K114" s="460"/>
    </row>
    <row r="115" spans="1:14" s="3" customFormat="1" ht="15.5" x14ac:dyDescent="0.35">
      <c r="A115" s="478"/>
      <c r="B115" s="536" t="s">
        <v>49</v>
      </c>
      <c r="C115" s="64" t="s">
        <v>50</v>
      </c>
      <c r="D115" s="67"/>
      <c r="E115" s="160">
        <v>7</v>
      </c>
      <c r="F115" s="161">
        <f>IF(E115="","",IF($B$9="Bc",IF(OR(E115&gt;9.2,E115&lt;=0.1),0,IF(E115&lt;=4,1,ROUND('Performance Standards'!$S$598*E115^2+'Performance Standards'!$S$599*E115+'Performance Standards'!$S$600,2))),IF(OR($B$9="B",$B$9="Ba"),IF(OR(E115&gt;7.5,E115&lt;=0.1),0,IF(E115&lt;=3,1,ROUND(IF(E115&gt;4,'Performance Standards'!$S$567*E115+'Performance Standards'!$S$568,'Performance Standards'!$T$567*E115+'Performance Standards'!$T$568),2))),IF($B$9="Cb",IF(OR(E115&gt;=7.6,E115&lt;=2.4),0,IF(AND(E115&gt;=3.7,E115&lt;=5),1,ROUND(IF(E115&lt;4,'Performance Standards'!$S$534*E115^2+'Performance Standards'!$S$535*E115+'Performance Standards'!$S$536,'Performance Standards'!$T$534*E115^2+'Performance Standards'!$T$535*E115+'Performance Standards'!$T$536),2))),IF($B$9="C",IF(OR(E115&gt;9.3,E115&lt;=3),0,IF(AND(E115&gt;=4,E115&lt;=6),1,ROUND(IF(E115&lt;4,'Performance Standards'!$S$500*E115+'Performance Standards'!$S$501,'Performance Standards'!$T$500*E115+'Performance Standards'!$T$501),2))))))))</f>
        <v>0.7</v>
      </c>
      <c r="G115" s="529">
        <f>IFERROR(AVERAGE(F115:F118),"")</f>
        <v>0.9</v>
      </c>
      <c r="H115" s="531"/>
      <c r="I115" s="460"/>
      <c r="J115" s="460"/>
      <c r="K115" s="460"/>
    </row>
    <row r="116" spans="1:14" s="3" customFormat="1" ht="15.5" x14ac:dyDescent="0.35">
      <c r="A116" s="478"/>
      <c r="B116" s="537"/>
      <c r="C116" s="65" t="s">
        <v>51</v>
      </c>
      <c r="D116" s="61"/>
      <c r="E116" s="159">
        <v>3</v>
      </c>
      <c r="F116" s="85">
        <f>IF(E116="","",IF(E116&lt;=1.1,0,IF(E116&gt;=2.5,1,ROUND(IF(E116&lt;1.2,'Performance Standards'!$S$632*E116+'Performance Standards'!$S$633,'Performance Standards'!$T$631*E116^2+'Performance Standards'!$T$632*E116+'Performance Standards'!$T$633),2))))</f>
        <v>1</v>
      </c>
      <c r="G116" s="515"/>
      <c r="H116" s="531"/>
      <c r="I116" s="460"/>
      <c r="J116" s="460"/>
      <c r="K116" s="460"/>
    </row>
    <row r="117" spans="1:14" s="3" customFormat="1" ht="15.5" x14ac:dyDescent="0.35">
      <c r="A117" s="478"/>
      <c r="B117" s="537"/>
      <c r="C117" s="65" t="s">
        <v>52</v>
      </c>
      <c r="D117" s="61"/>
      <c r="E117" s="159">
        <v>50</v>
      </c>
      <c r="F117" s="167">
        <f>IF(E117="","",IF($B$11="Volcanic Mountains &amp; Valleys", IF(OR(E117&gt;95,E117&lt;58),0,IF(AND(E117&gt;=73,E117&lt;=80),1, ROUND(IF(E117&lt;73,'Performance Standards'!$S$665*E117^2+'Performance Standards'!$S$666*E117+'Performance Standards'!$S$667, 'Performance Standards'!$T$665*E117^2+'Performance Standards'!$T$666*E117+'Performance Standards'!$T$667),2))), IF(B$16="","Need Slope",IF(B$16&lt;3,IF( OR(E117&gt;73,E117&lt;37),0, IF(AND(E117&gt;=50,E117&lt;= 60), 1, ROUND(IF(E117&lt;50,'Performance Standards'!$S$699*E117^2+'Performance Standards'!$S$700*E117+'Performance Standards'!$S$701, IF(E117&gt;60,'Performance Standards'!$T$699*E117^2+'Performance Standards'!$T$700*E117+'Performance Standards'!$T$701)),2))), IF(B$16&gt;=3,IF(OR(E117&gt;88,E117&lt;57),0, IF(AND(E117 &gt;=70, E117&lt;=76),1, ROUND(IF(E117&lt;70,'Performance Standards'!$S$734*E117^2+'Performance Standards'!$S$735*E117+'Performance Standards'!$S$736,'Performance Standards'!$T$734*E117^2+'Performance Standards'!$T$735*E117+'Performance Standards'!$T$736),2) )))))))</f>
        <v>1</v>
      </c>
      <c r="G117" s="515"/>
      <c r="H117" s="531"/>
      <c r="I117" s="460"/>
      <c r="J117" s="460"/>
      <c r="K117" s="460"/>
    </row>
    <row r="118" spans="1:14" s="3" customFormat="1" ht="15.5" x14ac:dyDescent="0.35">
      <c r="A118" s="478"/>
      <c r="B118" s="538"/>
      <c r="C118" s="66" t="s">
        <v>248</v>
      </c>
      <c r="D118" s="68"/>
      <c r="E118" s="154"/>
      <c r="F118" s="248" t="str">
        <f>IF(E118="","",IF(E118&gt;=1.6,0,IF(E118&lt;=1,1,ROUND('Performance Standards'!$S$766*E118^3+'Performance Standards'!$S$767*E118^2+'Performance Standards'!$S$768*E118+'Performance Standards'!$S$769,2))))</f>
        <v/>
      </c>
      <c r="G118" s="530"/>
      <c r="H118" s="531"/>
      <c r="I118" s="460"/>
      <c r="J118" s="460"/>
      <c r="K118" s="460"/>
    </row>
    <row r="119" spans="1:14" ht="15.5" x14ac:dyDescent="0.35">
      <c r="A119" s="479"/>
      <c r="B119" s="424" t="s">
        <v>54</v>
      </c>
      <c r="C119" s="68" t="s">
        <v>53</v>
      </c>
      <c r="D119" s="68"/>
      <c r="E119" s="148">
        <v>1.2</v>
      </c>
      <c r="F119" s="70">
        <f>IF(E119="","",IF(B$9="E",IF(OR(E119&gt;2,E119&lt;1.2),0, IF(AND(E119&gt;=1.6, E119&lt;=1.7),1, ROUND(IF(E119&lt;1.3,E119*'Performance Standards'!S$803+'Performance Standards'!S$804,IF(E119&lt;=1.6,E119*'Performance Standards'!T$803+'Performance Standards'!T$804, E119^2*'Performance Standards'!U$802+E119*'Performance Standards'!U$803+'Performance Standards'!$U$804)),2))),IF(LEFT(B$9,1)="C",IF(OR(E119&lt;1.15, E119&gt;1.5),0, IF(AND(E119&lt;=1.35,E119&gt;=1.25),1,ROUND(IF(E119&lt;1.25,E119^2*'Performance Standards'!$S$836+E119*'Performance Standards'!$S$837+'Performance Standards'!$S$838, E119^2*'Performance Standards'!$T$836+E119*'Performance Standards'!$T$837+'Performance Standards'!$T$838),2))),IF(LEFT(B$9,1)="B",IF(OR(E119&gt;1.4,E119&lt;1),0, IF(AND(E119&gt;=1.15,E119&lt;=1.25),1, ROUND(IF(E119&lt;=1.15,E119^2*'Performance Standards'!$S$867+E119*'Performance Standards'!$S$868+'Performance Standards'!$S$869,E119^2*'Performance Standards'!$T$867+E119*'Performance Standards'!$T$868+'Performance Standards'!$T$869),2)))))))</f>
        <v>0.7</v>
      </c>
      <c r="G119" s="85">
        <f>IFERROR(AVERAGE(F119),"")</f>
        <v>0.7</v>
      </c>
      <c r="H119" s="531"/>
      <c r="I119" s="460"/>
      <c r="J119" s="460"/>
      <c r="K119" s="460"/>
      <c r="L119" s="2"/>
    </row>
    <row r="120" spans="1:14" ht="15.5" x14ac:dyDescent="0.35">
      <c r="A120" s="453" t="s">
        <v>58</v>
      </c>
      <c r="B120" s="453" t="s">
        <v>93</v>
      </c>
      <c r="C120" s="182" t="s">
        <v>272</v>
      </c>
      <c r="D120" s="111"/>
      <c r="E120" s="147"/>
      <c r="F120" s="178" t="str">
        <f>IF(E120="","",IF($B$18="","Enter Stream Temperature",IF($B$18="Tier I (Cold) ",IF(E120&gt;=24.6,0,IF(E120&lt;=15.5,1,ROUND(E120*'Performance Standards'!$AB$19+'Performance Standards'!$AB$20,2))),IF($B$18="Tier II (Cold-Cool)",IF(E120&gt;=27.8,0,IF(E120&lt;=15.6,1,ROUND(E120*'Performance Standards'!$AC$19+'Performance Standards'!$AC$20,2))),IF($B$18="Tier III (Cool) ",IF(E120&gt;=32.4,0,IF(E120&lt;=17.8,1,ROUND(E120*'Performance Standards'!$AD$19+'Performance Standards'!$AD$20,2))),IF($B$18="Tier IV (Cool-Warm)",IF(E120&gt;=34.6,0,IF(E120&lt;=20,1,ROUND(E120*'Performance Standards'!$AE$19+'Performance Standards'!$AE$20,2))),IF($B$18="Tier V (Warm)",IF(E120&gt;35.4,0,IF(E120&lt;=24.6,1,ROUND(E120*'Performance Standards'!$AF$19+'Performance Standards'!$AF$20,2))))))))))</f>
        <v/>
      </c>
      <c r="G120" s="455">
        <f>IFERROR(IF(E120="",F121,IF(E121="",F120,MIN(F120:F121))),"")</f>
        <v>0.87</v>
      </c>
      <c r="H120" s="523">
        <f>IFERROR(ROUND(AVERAGE(G120:G122),2),"")</f>
        <v>0.83</v>
      </c>
      <c r="I120" s="459" t="str">
        <f>IF(H120="","",IF(H120&gt;0.69,"Functioning",IF(H120&gt;0.29,"Functioning At Risk",IF(H120&gt;-1,"Not Functioning"))))</f>
        <v>Functioning</v>
      </c>
      <c r="J120" s="460"/>
      <c r="K120" s="460"/>
      <c r="L120" s="2"/>
      <c r="N120" s="3"/>
    </row>
    <row r="121" spans="1:14" s="3" customFormat="1" ht="15.5" x14ac:dyDescent="0.35">
      <c r="A121" s="469"/>
      <c r="B121" s="454"/>
      <c r="C121" s="187" t="s">
        <v>273</v>
      </c>
      <c r="D121" s="186"/>
      <c r="E121" s="147">
        <v>16</v>
      </c>
      <c r="F121" s="179">
        <f>IF(E121="","",IF($B$18="","Enter Stream Temperature",IF($B$18="Tier I (Cold) ",IF(E121&gt;=19.3,0,IF(E121&lt;=15.5,1,ROUND(E121*'Performance Standards'!$AB$55+'Performance Standards'!$AB$56,2))),IF($B$18="Tier II (Cold-Cool)",IF(E121&gt;=21,0,IF(E121&lt;=15.6,1,ROUND(E121*'Performance Standards'!$AC$55+'Performance Standards'!$AC$56,2))),IF($B$18="Tier III (Cool) ",IF(E121&gt;=24,0,IF(E121&lt;=17.8,1,ROUND(E121*'Performance Standards'!$AD$55+'Performance Standards'!$AD$56,2))),IF($B$18="Tier IV (Cool-Warm)",IF(E121&gt;=28.8,0,IF(E121&lt;=20,1,ROUND(E121*'Performance Standards'!$AE$55+'Performance Standards'!$AE$56,2))),IF($B$18="Tier V (Warm)",IF(E121&gt;=31,0,IF(E121&lt;=24.5,1,ROUND(E121*'Performance Standards'!$AF$55+'Performance Standards'!$AF$56,2))))))))))</f>
        <v>0.87</v>
      </c>
      <c r="G121" s="456"/>
      <c r="H121" s="523"/>
      <c r="I121" s="459"/>
      <c r="J121" s="460"/>
      <c r="K121" s="460"/>
      <c r="L121" s="2"/>
    </row>
    <row r="122" spans="1:14" s="3" customFormat="1" ht="15.5" x14ac:dyDescent="0.35">
      <c r="A122" s="454"/>
      <c r="B122" s="188" t="s">
        <v>297</v>
      </c>
      <c r="C122" s="75" t="s">
        <v>238</v>
      </c>
      <c r="D122" s="71"/>
      <c r="E122" s="43">
        <v>20</v>
      </c>
      <c r="F122" s="163">
        <f>IF(E122="","",IF(OR($B$10="Basin",$B$10="Plains"),IF(E122&gt;=150,0,IF(E122&lt;21,1,ROUND('Performance Standards'!$AB$87*LN(E122)+'Performance Standards'!$AB$88,2))),IF(E122&gt;=97,0,IF(E122&lt;=13,1,ROUND('Performance Standards'!$AB$120*LN(E122)+'Performance Standards'!$AB$121,2)))))</f>
        <v>0.79</v>
      </c>
      <c r="G122" s="87">
        <f>IFERROR(AVERAGE(F122),"")</f>
        <v>0.79</v>
      </c>
      <c r="H122" s="523"/>
      <c r="I122" s="459"/>
      <c r="J122" s="460"/>
      <c r="K122" s="460"/>
      <c r="L122" s="7"/>
      <c r="N122"/>
    </row>
    <row r="123" spans="1:14" ht="15.5" x14ac:dyDescent="0.35">
      <c r="A123" s="482" t="s">
        <v>59</v>
      </c>
      <c r="B123" s="457" t="s">
        <v>221</v>
      </c>
      <c r="C123" s="112" t="s">
        <v>217</v>
      </c>
      <c r="D123" s="113"/>
      <c r="E123" s="115">
        <v>0.9</v>
      </c>
      <c r="F123" s="153">
        <f>IF(E123="","",IF($B$11="","Enter Bioregion",IF($B$11="Wyoming Basin",IF(E123&lt;0.26,0,IF(E123&gt;0.94,1,ROUND('Performance Standards'!$AK$18*E123+'Performance Standards'!$AK$19,2))), IF($B$11="Black Hills",IF(E123&lt;0.2,0,IF(E123&gt;0.98,1,ROUND('Performance Standards'!$AL$18*E123+'Performance Standards'!$AL$19,2))), IF($B$11="High Valleys",IF(E123&lt;0.23,0,IF(E123&gt;0.95,1,ROUND('Performance Standards'!$AM$18*E123+'Performance Standards'!$AM$19,2))), IF($B$11="Sedimentary Mountains",IF(E123&lt;=0.24,0,IF(E123&gt;0.97,1,ROUND('Performance Standards'!$AN$18*E123+'Performance Standards'!$AN$19,2))), IF($B$11="Southern Rockies",IF(E123&lt;0.07,0,IF(E123&gt;0.96,1,ROUND('Performance Standards'!$AK$54*E123+'Performance Standards'!$AK$55,2))), IF($B$11="SE Plains",IF(E123&lt;0.2,0,IF(E123&gt;0.95,1,ROUND('Performance Standards'!$AL$54*E123+'Performance Standards'!$AL$55,2))), IF($B$11="NE Plains",IF(E123&lt;0.2,0,IF(E123&gt;0.94,1,ROUND('Performance Standards'!$AM$54*E123+'Performance Standards'!$AM$55,2))),IF($B$11="Granitic Mountains",IF(E123&lt;0.45,0,IF(E123&gt;=1,1,ROUND('Performance Standards'!$AK$92*E123+'Performance Standards'!$AK$93,2))),IF($B$11="Bighorn Basin Foothills",IF(E123&lt;=0.1,0,IF(E123&gt;=1,1,ROUND('Performance Standards'!$AL$92*E123+'Performance Standards'!$AL$93,2))),IF($B$11="Volcanic Mountains &amp; Valleys",IF(E123&lt;0.35,0,IF(E123&gt;=1,1,ROUND('Performance Standards'!$AN$92*E123+'Performance Standards'!$AN$93,2))), IF($B$11="Southern Foothills &amp; Laramie Range",IF(E123&lt;0.3,0,IF(E123&gt;=1,1,ROUND('Performance Standards'!$AM$92*E123+'Performance Standards'!$AM$93,2))) )))))))))))))</f>
        <v>0.93</v>
      </c>
      <c r="G123" s="473">
        <f>IFERROR(IF(AND(F123="",F124=""),"",IF(OR(F123="",F124=""),AVERAGE(F123:F124),IF(OR(F123&lt;0.3,F124&lt;0.3),IF(OR(F123&gt;=0.7,F124&gt;=0.7),MIN(0.69,AVERAGE(F123:F124)),MIN(0.29,AVERAGE(F123:F124))), IF(OR(F123&gt;=0.7,F124&gt;=0.7),IF(AVERAGE(F123:F124)&lt;0.7,0.7,AVERAGE(F123:F124)),AVERAGE(F123:F124))))),"")</f>
        <v>0.89500000000000002</v>
      </c>
      <c r="H123" s="485">
        <f>IFERROR(ROUND(AVERAGE(G123:G126),2),"")</f>
        <v>0.95</v>
      </c>
      <c r="I123" s="459" t="str">
        <f>IF(H123="","",IF(H123&gt;0.69,"Functioning",IF(H123&gt;0.29,"Functioning At Risk",IF(H123&gt;-1,"Not Functioning"))))</f>
        <v>Functioning</v>
      </c>
      <c r="J123" s="460"/>
      <c r="K123" s="460"/>
      <c r="L123" s="7"/>
    </row>
    <row r="124" spans="1:14" s="3" customFormat="1" ht="15.5" x14ac:dyDescent="0.35">
      <c r="A124" s="483"/>
      <c r="B124" s="458"/>
      <c r="C124" s="114" t="s">
        <v>218</v>
      </c>
      <c r="D124" s="73"/>
      <c r="E124" s="154">
        <v>0.9</v>
      </c>
      <c r="F124" s="88">
        <f>IF(E124="","",IF($B$11="","Enter Bioregion",IF($B$11="Wyoming Basin",IF(E124&lt;0.34,0,IF(E124&gt;0.96,1,ROUND('Performance Standards'!$AK$128*E124+'Performance Standards'!$AK$129,2))), IF($B$11="Black Hills",IF(E124&lt;0.36,0,IF(E124&gt;=1,1,ROUND('Performance Standards'!$AL$128*E124+'Performance Standards'!$AL$129,2))), IF($B$11="High Valleys",IF(E124&lt;0.38,0,IF(E124&gt;0.98,1,ROUND('Performance Standards'!$AM$128*E124+'Performance Standards'!$AM$129,2))), IF($B$11="Sedimentary Mountains",IF(E124&lt;0.36,0,IF(E124&gt;0.97,1,ROUND('Performance Standards'!$AN$128*E124+'Performance Standards'!$AN$129,2))), IF($B$11="Southern Rockies",IF(E124&lt;0.25,0,IF(E124&gt;=1,1,ROUND('Performance Standards'!$AK$165*E124+'Performance Standards'!$AK$166,2))), IF($B$11="SE Plains",IF(E124&lt;0.33,0,IF(E124&gt;0.95,1,ROUND('Performance Standards'!$AL$165*E124+'Performance Standards'!$AL$166,2))), IF($B$11="NE Plains",IF(E124&lt;0.35,0,IF(E124&gt;0.98,1,ROUND('Performance Standards'!$AM$165*E124+'Performance Standards'!$AM$166,2))),IF($B$11="Granitic Mountains",IF(E124&lt;0.5,0,IF(E124&gt;0.98,1,ROUND('Performance Standards'!$AK$202*E124+'Performance Standards'!$AK$203,2))),IF($B$11="Bighorn Basin Foothills",IF(E124&lt;0.48,0,IF(E124&gt;=1,1,ROUND('Performance Standards'!$AL$202*E124+'Performance Standards'!$AL$203,2))),IF($B$11="Volcanic Mountains &amp; Valleys",IF(E124&lt;=0.2,0,IF(E124&gt;=1,1,ROUND('Performance Standards'!$AN$202*E124+'Performance Standards'!$AN$203,2))), IF($B$11="Southern Foothills &amp; Laramie Range",IF(E124&lt;0.28,0,IF(E124&gt;=1,1,ROUND('Performance Standards'!$AM$202*E124+'Performance Standards'!$AM$203,2))) )))))))))))))</f>
        <v>0.86</v>
      </c>
      <c r="G124" s="475"/>
      <c r="H124" s="485"/>
      <c r="I124" s="459"/>
      <c r="J124" s="460"/>
      <c r="K124" s="460"/>
      <c r="L124" s="7"/>
    </row>
    <row r="125" spans="1:14" s="3" customFormat="1" ht="15.5" x14ac:dyDescent="0.35">
      <c r="A125" s="483"/>
      <c r="B125" s="457" t="s">
        <v>85</v>
      </c>
      <c r="C125" s="180" t="s">
        <v>264</v>
      </c>
      <c r="D125" s="169"/>
      <c r="E125" s="160">
        <v>100</v>
      </c>
      <c r="F125" s="172">
        <f>IF(E125="","",IF(E125&lt;58,0,IF(E125=100,1,ROUND(E125*'Performance Standards'!$AK$240+'Performance Standards'!$AK$241,2))))</f>
        <v>1</v>
      </c>
      <c r="G125" s="473">
        <f>IFERROR(AVERAGE(F125:F127),"")</f>
        <v>1</v>
      </c>
      <c r="H125" s="485"/>
      <c r="I125" s="459"/>
      <c r="J125" s="460"/>
      <c r="K125" s="460"/>
      <c r="L125" s="7"/>
    </row>
    <row r="126" spans="1:14" s="3" customFormat="1" ht="15.5" x14ac:dyDescent="0.35">
      <c r="A126" s="483"/>
      <c r="B126" s="476"/>
      <c r="C126" s="181" t="s">
        <v>265</v>
      </c>
      <c r="D126" s="170"/>
      <c r="E126" s="159">
        <v>0</v>
      </c>
      <c r="F126" s="172">
        <f>IF(E126="","",ROUND(IF(E126&gt;=3,0,IF(E126&lt;=1,1,0.69)),2))</f>
        <v>1</v>
      </c>
      <c r="G126" s="474"/>
      <c r="H126" s="485"/>
      <c r="I126" s="459"/>
      <c r="J126" s="460"/>
      <c r="K126" s="460"/>
      <c r="L126" s="7"/>
    </row>
    <row r="127" spans="1:14" ht="15.5" x14ac:dyDescent="0.35">
      <c r="A127" s="484"/>
      <c r="B127" s="458"/>
      <c r="C127" s="114" t="s">
        <v>266</v>
      </c>
      <c r="D127" s="171"/>
      <c r="E127" s="154"/>
      <c r="F127" s="88" t="str">
        <f>IF(E127="","",IF($B$21="","Enter Stream Producitvity Rating",IF($B$21="Blue Ribbon and non-trout",IF(E127&lt;5,0,IF(E127&gt;=40,1,ROUND(E127*'Performance Standards'!$AK$316+'Performance Standards'!$AK$317,2))),IF($B$21="Red Ribbon",IF(E127&lt;10,0,IF(E127&gt;=80,1,ROUND(E127*'Performance Standards'!$AL$316+'Performance Standards'!$AL$317,2))),IF($B$21="Yellow Ribbon",IF(E127&lt;15,0,IF(E127&gt;=119,1,ROUND(E127*'Performance Standards'!$AM$316+'Performance Standards'!$AM$317,2))),IF($B$21="Green Ribbon",IF(E127&lt;20,0,IF(E127&gt;=160,1,ROUND(E127*'Performance Standards'!$AN$316+'Performance Standards'!$AN$317,2)))))))))</f>
        <v/>
      </c>
      <c r="G127" s="475"/>
      <c r="H127" s="485"/>
      <c r="I127" s="459"/>
      <c r="J127" s="460"/>
      <c r="K127" s="460"/>
      <c r="L127" s="7"/>
    </row>
    <row r="128" spans="1:14" x14ac:dyDescent="0.35">
      <c r="H128" s="3"/>
      <c r="J128" s="3"/>
      <c r="K128" s="3"/>
      <c r="L128" s="7"/>
    </row>
    <row r="129" spans="12:12" s="3" customFormat="1" x14ac:dyDescent="0.35">
      <c r="L129" s="7"/>
    </row>
  </sheetData>
  <sheetProtection algorithmName="SHA-512" hashValue="ovuzD1XruJQa76vfbDOESKXkpIR0vM2WaLdpIvOSzDelALePDn9GTyTglEIdPVt623xUGWfQYS/BYpAWh/2QdQ==" saltValue="lxIftSemQ6VIq4HYtp0eww==" spinCount="100000" sheet="1" objects="1" scenarios="1"/>
  <dataConsolidate link="1"/>
  <mergeCells count="119">
    <mergeCell ref="D8:F8"/>
    <mergeCell ref="H8:J8"/>
    <mergeCell ref="F28:G29"/>
    <mergeCell ref="F30:G31"/>
    <mergeCell ref="F32:G33"/>
    <mergeCell ref="F34:G35"/>
    <mergeCell ref="H28:H29"/>
    <mergeCell ref="I28:I29"/>
    <mergeCell ref="H30:H31"/>
    <mergeCell ref="I30:I31"/>
    <mergeCell ref="H32:H33"/>
    <mergeCell ref="I32:I33"/>
    <mergeCell ref="H34:H35"/>
    <mergeCell ref="I34:I35"/>
    <mergeCell ref="A80:A84"/>
    <mergeCell ref="B51:B52"/>
    <mergeCell ref="A28:A30"/>
    <mergeCell ref="H94:H95"/>
    <mergeCell ref="I94:I95"/>
    <mergeCell ref="B72:B75"/>
    <mergeCell ref="A26:A27"/>
    <mergeCell ref="H77:H79"/>
    <mergeCell ref="B115:B118"/>
    <mergeCell ref="I51:I52"/>
    <mergeCell ref="H51:H52"/>
    <mergeCell ref="F36:G37"/>
    <mergeCell ref="H36:H37"/>
    <mergeCell ref="I36:I37"/>
    <mergeCell ref="A53:A76"/>
    <mergeCell ref="A51:A52"/>
    <mergeCell ref="B58:B70"/>
    <mergeCell ref="B55:B57"/>
    <mergeCell ref="B53:B54"/>
    <mergeCell ref="G72:G75"/>
    <mergeCell ref="G51:G52"/>
    <mergeCell ref="G55:G57"/>
    <mergeCell ref="H53:H76"/>
    <mergeCell ref="C45:D45"/>
    <mergeCell ref="H120:H122"/>
    <mergeCell ref="B94:B95"/>
    <mergeCell ref="A89:A93"/>
    <mergeCell ref="G94:G95"/>
    <mergeCell ref="A96:A119"/>
    <mergeCell ref="A94:A95"/>
    <mergeCell ref="G115:G118"/>
    <mergeCell ref="H96:H119"/>
    <mergeCell ref="G98:G100"/>
    <mergeCell ref="G58:G70"/>
    <mergeCell ref="G44:K44"/>
    <mergeCell ref="K46:K84"/>
    <mergeCell ref="B26:B27"/>
    <mergeCell ref="D20:K20"/>
    <mergeCell ref="G123:G124"/>
    <mergeCell ref="J36:K37"/>
    <mergeCell ref="J34:K35"/>
    <mergeCell ref="J32:K33"/>
    <mergeCell ref="J30:K31"/>
    <mergeCell ref="J28:K29"/>
    <mergeCell ref="I53:I76"/>
    <mergeCell ref="H80:H84"/>
    <mergeCell ref="G82:G84"/>
    <mergeCell ref="I80:I84"/>
    <mergeCell ref="I77:I79"/>
    <mergeCell ref="G53:G54"/>
    <mergeCell ref="H89:H93"/>
    <mergeCell ref="I89:I93"/>
    <mergeCell ref="B90:B92"/>
    <mergeCell ref="G87:K87"/>
    <mergeCell ref="B123:B124"/>
    <mergeCell ref="K89:K127"/>
    <mergeCell ref="B82:B84"/>
    <mergeCell ref="D4:J4"/>
    <mergeCell ref="D5:J5"/>
    <mergeCell ref="F26:G27"/>
    <mergeCell ref="A44:F44"/>
    <mergeCell ref="A46:A50"/>
    <mergeCell ref="I26:I27"/>
    <mergeCell ref="H26:H27"/>
    <mergeCell ref="A3:B4"/>
    <mergeCell ref="D3:J3"/>
    <mergeCell ref="H46:H50"/>
    <mergeCell ref="I46:I50"/>
    <mergeCell ref="A32:A37"/>
    <mergeCell ref="D6:J6"/>
    <mergeCell ref="A25:D25"/>
    <mergeCell ref="F25:K25"/>
    <mergeCell ref="J26:K27"/>
    <mergeCell ref="D26:D27"/>
    <mergeCell ref="C26:C27"/>
    <mergeCell ref="A40:A41"/>
    <mergeCell ref="A38:A39"/>
    <mergeCell ref="B47:B49"/>
    <mergeCell ref="G47:G49"/>
    <mergeCell ref="C50:D50"/>
    <mergeCell ref="J46:J84"/>
    <mergeCell ref="B77:B78"/>
    <mergeCell ref="G77:G78"/>
    <mergeCell ref="B80:B81"/>
    <mergeCell ref="I120:I122"/>
    <mergeCell ref="J89:J127"/>
    <mergeCell ref="C88:D88"/>
    <mergeCell ref="A87:F87"/>
    <mergeCell ref="G101:G113"/>
    <mergeCell ref="A77:A79"/>
    <mergeCell ref="G90:G92"/>
    <mergeCell ref="B120:B121"/>
    <mergeCell ref="G120:G121"/>
    <mergeCell ref="G125:G127"/>
    <mergeCell ref="B125:B127"/>
    <mergeCell ref="B101:B113"/>
    <mergeCell ref="B98:B100"/>
    <mergeCell ref="B96:B97"/>
    <mergeCell ref="G96:G97"/>
    <mergeCell ref="G80:G81"/>
    <mergeCell ref="A120:A122"/>
    <mergeCell ref="A123:A127"/>
    <mergeCell ref="I96:I119"/>
    <mergeCell ref="H123:H127"/>
    <mergeCell ref="I123:I127"/>
  </mergeCells>
  <conditionalFormatting sqref="I46:I51 I89:I93 K46 K89 I96:I127 I53:I84">
    <cfRule type="containsText" dxfId="93" priority="11" stopIfTrue="1" operator="containsText" text="Functioning At Risk">
      <formula>NOT(ISERROR(SEARCH("Functioning At Risk",I46)))</formula>
    </cfRule>
    <cfRule type="containsText" dxfId="92" priority="13" stopIfTrue="1" operator="containsText" text="Not Functioning">
      <formula>NOT(ISERROR(SEARCH("Not Functioning",I46)))</formula>
    </cfRule>
    <cfRule type="containsText" dxfId="91" priority="14" operator="containsText" text="Functioning">
      <formula>NOT(ISERROR(SEARCH("Functioning",I46)))</formula>
    </cfRule>
  </conditionalFormatting>
  <conditionalFormatting sqref="J89 J46 C28:D41 H28:I28 H30:I30 H32:I32 H34:I34 H36:I36">
    <cfRule type="cellIs" dxfId="90" priority="8" operator="between">
      <formula>0.7</formula>
      <formula>1</formula>
    </cfRule>
    <cfRule type="cellIs" dxfId="89" priority="9" operator="between">
      <formula>0.6999999</formula>
      <formula>0.3</formula>
    </cfRule>
    <cfRule type="cellIs" dxfId="88" priority="10" operator="between">
      <formula>0</formula>
      <formula>0.299999</formula>
    </cfRule>
  </conditionalFormatting>
  <conditionalFormatting sqref="I3:K9 I11:K39 J10:K10">
    <cfRule type="containsText" dxfId="87" priority="6" stopIfTrue="1" operator="containsText" text="Not Functioning">
      <formula>NOT(ISERROR(SEARCH("Not Functioning",I3)))</formula>
    </cfRule>
    <cfRule type="containsText" dxfId="86" priority="7" operator="containsText" text="Functioning">
      <formula>NOT(ISERROR(SEARCH("Functioning",I3)))</formula>
    </cfRule>
  </conditionalFormatting>
  <conditionalFormatting sqref="I94">
    <cfRule type="containsText" dxfId="85" priority="2" stopIfTrue="1" operator="containsText" text="Functioning At Risk">
      <formula>NOT(ISERROR(SEARCH("Functioning At Risk",I94)))</formula>
    </cfRule>
    <cfRule type="containsText" dxfId="84" priority="3" stopIfTrue="1" operator="containsText" text="Not Functioning">
      <formula>NOT(ISERROR(SEARCH("Not Functioning",I94)))</formula>
    </cfRule>
    <cfRule type="containsText" dxfId="83" priority="4" operator="containsText" text="Functioning">
      <formula>NOT(ISERROR(SEARCH("Functioning",I94)))</formula>
    </cfRule>
  </conditionalFormatting>
  <dataValidations xWindow="656" yWindow="505" count="16">
    <dataValidation allowBlank="1" showErrorMessage="1" sqref="B12 E50 E71 E93 E114"/>
    <dataValidation type="list" allowBlank="1" showErrorMessage="1" sqref="B13">
      <formula1>BedMaterial</formula1>
    </dataValidation>
    <dataValidation type="list" allowBlank="1" showInputMessage="1" showErrorMessage="1" prompt="Select the dominant BEHI/NBS.  _x000a_If erosion rate was measured select blank. The user should only input a value for either BEHI/NBS or Erosion Rate, not both. " sqref="E56 E99">
      <formula1>BEHI.NBS</formula1>
    </dataValidation>
    <dataValidation type="list" allowBlank="1" showErrorMessage="1" sqref="B7">
      <formula1>Level</formula1>
    </dataValidation>
    <dataValidation type="list" allowBlank="1" showErrorMessage="1" sqref="B11">
      <formula1>Region</formula1>
    </dataValidation>
    <dataValidation type="list" allowBlank="1" showInputMessage="1" showErrorMessage="1" sqref="B17">
      <formula1>RiverBasins</formula1>
    </dataValidation>
    <dataValidation type="list" allowBlank="1" showErrorMessage="1" prompt="If coldwater stream enter stream temperature in field value. If not a coldwater stream leave blank." sqref="B18">
      <formula1>WaterTypes</formula1>
    </dataValidation>
    <dataValidation allowBlank="1" showErrorMessage="1" prompt="Leave field value blank if not a coldwater stream." sqref="F84 F77:F78 F127 F120:F121"/>
    <dataValidation type="list" allowBlank="1" showInputMessage="1" showErrorMessage="1" prompt="Select catchment conditon level from the completed catchment assessment form. " sqref="E46 E89">
      <formula1>CatchmentAssessmentQuat</formula1>
    </dataValidation>
    <dataValidation allowBlank="1" showInputMessage="1" showErrorMessage="1" prompt="The user should input a value for either BEHI/NBS or Erosion Rate, not both. " sqref="E55 E98"/>
    <dataValidation allowBlank="1" showInputMessage="1" showErrorMessage="1" prompt="This measurement method should be used in combination with either Erosion Rate or Dominant BEHI/NBS." sqref="E57 E100"/>
    <dataValidation type="decimal" allowBlank="1" showInputMessage="1" showErrorMessage="1" sqref="E58:E61 E101:E104">
      <formula1>0</formula1>
      <formula2>5280</formula2>
    </dataValidation>
    <dataValidation allowBlank="1" showErrorMessage="1" prompt="Select catchment conditon level from the completed catchment assessment form. " sqref="E47:E49 E90:E92"/>
    <dataValidation allowBlank="1" showInputMessage="1" showErrorMessage="1" prompt="If values for both RIVPACS and WSII are provided, cell does not necessarily average scores to determine parameter score." sqref="G80:G81 G123:G124"/>
    <dataValidation type="decimal" allowBlank="1" showErrorMessage="1" prompt="The user should input a value for either basal area or density, not both. " sqref="E62:E67 E105:E110">
      <formula1>0</formula1>
      <formula2>5280</formula2>
    </dataValidation>
    <dataValidation allowBlank="1" showErrorMessage="1" prompt="The user should input a value for either basal area or density, not both. " sqref="E68:E69 E111:E112"/>
  </dataValidations>
  <pageMargins left="0.25" right="0.25" top="0.75" bottom="0.75" header="0.3" footer="0.3"/>
  <pageSetup scale="52" fitToHeight="0" orientation="landscape" r:id="rId1"/>
  <rowBreaks count="2" manualBreakCount="2">
    <brk id="42" max="16383" man="1"/>
    <brk id="85" max="16383" man="1"/>
  </rowBreaks>
  <ignoredErrors>
    <ignoredError sqref="F48" formula="1"/>
  </ignoredErrors>
  <legacyDrawing r:id="rId2"/>
  <extLst>
    <ext xmlns:x14="http://schemas.microsoft.com/office/spreadsheetml/2009/9/main" uri="{78C0D931-6437-407d-A8EE-F0AAD7539E65}">
      <x14:conditionalFormattings>
        <x14:conditionalFormatting xmlns:xm="http://schemas.microsoft.com/office/excel/2006/main">
          <x14:cfRule type="containsText" priority="5" stopIfTrue="1" operator="containsText" text="Functioning At Risk" id="{0ECA20A0-4989-4885-BB38-82282DB98CC2}">
            <xm:f>NOT(ISERROR(SEARCH("Functioning At Risk",'Monitoring Data'!I24)))</xm:f>
            <x14:dxf>
              <fill>
                <patternFill>
                  <bgColor rgb="FFFFFF00"/>
                </patternFill>
              </fill>
            </x14:dxf>
          </x14:cfRule>
          <xm:sqref>I44:K82 I22:K39 I94:I95</xm:sqref>
        </x14:conditionalFormatting>
        <x14:conditionalFormatting xmlns:xm="http://schemas.microsoft.com/office/excel/2006/main">
          <x14:cfRule type="containsText" priority="82" stopIfTrue="1" operator="containsText" text="Functioning At Risk" id="{0ECA20A0-4989-4885-BB38-82282DB98CC2}">
            <xm:f>NOT(ISERROR(SEARCH("Functioning At Risk",'Monitoring Data'!I3)))</xm:f>
            <x14:dxf>
              <fill>
                <patternFill>
                  <bgColor rgb="FFFFFF00"/>
                </patternFill>
              </fill>
            </x14:dxf>
          </x14:cfRule>
          <xm:sqref>I3:K9 I11:K20 J10:K10</xm:sqref>
        </x14:conditionalFormatting>
        <x14:conditionalFormatting xmlns:xm="http://schemas.microsoft.com/office/excel/2006/main">
          <x14:cfRule type="containsText" priority="87" stopIfTrue="1" operator="containsText" text="Functioning At Risk" id="{0ECA20A0-4989-4885-BB38-82282DB98CC2}">
            <xm:f>NOT(ISERROR(SEARCH("Functioning At Risk",'Monitoring Data'!I22)))</xm:f>
            <x14:dxf>
              <fill>
                <patternFill>
                  <bgColor rgb="FFFFFF00"/>
                </patternFill>
              </fill>
            </x14:dxf>
          </x14:cfRule>
          <xm:sqref>I21:K21</xm:sqref>
        </x14:conditionalFormatting>
      </x14:conditionalFormattings>
    </ext>
    <ext xmlns:x14="http://schemas.microsoft.com/office/spreadsheetml/2009/9/main" uri="{CCE6A557-97BC-4b89-ADB6-D9C93CAAB3DF}">
      <x14:dataValidations xmlns:xm="http://schemas.microsoft.com/office/excel/2006/main" xWindow="656" yWindow="505" count="6">
        <x14:dataValidation type="list" allowBlank="1" showInputMessage="1" showErrorMessage="1">
          <x14:formula1>
            <xm:f>'Pull Down Notes'!$B$120:$B$123</xm:f>
          </x14:formula1>
          <xm:sqref>B19</xm:sqref>
        </x14:dataValidation>
        <x14:dataValidation type="list" allowBlank="1" showInputMessage="1" showErrorMessage="1">
          <x14:formula1>
            <xm:f>'Pull Down Notes'!$B$55:$B$58</xm:f>
          </x14:formula1>
          <xm:sqref>B10</xm:sqref>
        </x14:dataValidation>
        <x14:dataValidation type="list" allowBlank="1" showInputMessage="1" showErrorMessage="1">
          <x14:formula1>
            <xm:f>'Pull Down Notes'!$B$136:$B$139</xm:f>
          </x14:formula1>
          <xm:sqref>B22</xm:sqref>
        </x14:dataValidation>
        <x14:dataValidation type="list" allowBlank="1" showInputMessage="1" showErrorMessage="1">
          <x14:formula1>
            <xm:f>'Pull Down Notes'!$B$131:$B$134</xm:f>
          </x14:formula1>
          <xm:sqref>B20</xm:sqref>
        </x14:dataValidation>
        <x14:dataValidation type="list" allowBlank="1" showInputMessage="1" showErrorMessage="1">
          <x14:formula1>
            <xm:f>'Pull Down Notes'!$B$125:$B$129</xm:f>
          </x14:formula1>
          <xm:sqref>B21</xm:sqref>
        </x14:dataValidation>
        <x14:dataValidation type="list" allowBlank="1" showErrorMessage="1">
          <x14:formula1>
            <xm:f>'Pull Down Notes'!$B$2:$B$11</xm:f>
          </x14:formula1>
          <xm:sqref>B8:B9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zoomScaleSheetLayoutView="70" zoomScalePageLayoutView="55" workbookViewId="0">
      <selection activeCell="F16" sqref="F16"/>
    </sheetView>
  </sheetViews>
  <sheetFormatPr defaultColWidth="8.90625" defaultRowHeight="14.5" x14ac:dyDescent="0.35"/>
  <cols>
    <col min="1" max="1" width="32.453125" style="3" customWidth="1"/>
    <col min="2" max="2" width="22.453125" style="3" customWidth="1"/>
    <col min="3" max="3" width="6.6328125" style="3" customWidth="1"/>
    <col min="4" max="4" width="44.6328125" style="3" customWidth="1"/>
    <col min="5" max="5" width="15.6328125" style="3" customWidth="1"/>
    <col min="6" max="6" width="11.90625" style="3" customWidth="1"/>
    <col min="7" max="7" width="60.1796875" style="3" customWidth="1"/>
    <col min="8" max="8" width="13.08984375" style="3" customWidth="1"/>
    <col min="9" max="9" width="60.453125" style="3" bestFit="1" customWidth="1"/>
    <col min="10" max="16384" width="8.90625" style="3"/>
  </cols>
  <sheetData>
    <row r="1" spans="1:9" x14ac:dyDescent="0.35">
      <c r="A1" s="214" t="s">
        <v>355</v>
      </c>
      <c r="B1" s="151"/>
      <c r="C1" s="151"/>
      <c r="D1" s="151"/>
      <c r="E1" s="2"/>
      <c r="F1" s="2"/>
      <c r="G1" s="2"/>
    </row>
    <row r="2" spans="1:9" s="2" customFormat="1" x14ac:dyDescent="0.35">
      <c r="A2" s="215"/>
    </row>
    <row r="3" spans="1:9" ht="18.5" x14ac:dyDescent="0.45">
      <c r="A3" s="572" t="s">
        <v>311</v>
      </c>
      <c r="B3" s="573"/>
      <c r="C3" s="39"/>
      <c r="D3" s="561" t="s">
        <v>68</v>
      </c>
      <c r="E3" s="561"/>
      <c r="G3" s="561" t="s">
        <v>356</v>
      </c>
      <c r="H3" s="561"/>
      <c r="I3" s="39"/>
    </row>
    <row r="4" spans="1:9" ht="21.65" customHeight="1" x14ac:dyDescent="0.35">
      <c r="A4" s="42" t="s">
        <v>123</v>
      </c>
      <c r="B4" s="43" t="s">
        <v>454</v>
      </c>
      <c r="C4" s="39"/>
      <c r="D4" s="564" t="s">
        <v>332</v>
      </c>
      <c r="E4" s="564"/>
      <c r="G4" s="562" t="s">
        <v>416</v>
      </c>
      <c r="H4" s="563"/>
      <c r="I4" s="39"/>
    </row>
    <row r="5" spans="1:9" ht="15.5" x14ac:dyDescent="0.35">
      <c r="A5" s="42" t="s">
        <v>114</v>
      </c>
      <c r="B5" s="43">
        <v>1</v>
      </c>
      <c r="C5" s="39"/>
      <c r="D5" s="565" t="s">
        <v>169</v>
      </c>
      <c r="E5" s="565"/>
      <c r="G5" s="227" t="s">
        <v>100</v>
      </c>
      <c r="H5" s="260">
        <f>IF('Quantification Tool'!G46="",1,'Quantification Tool'!G46)</f>
        <v>0.9</v>
      </c>
      <c r="I5" s="39"/>
    </row>
    <row r="6" spans="1:9" ht="20.399999999999999" customHeight="1" x14ac:dyDescent="0.35">
      <c r="A6" s="193" t="s">
        <v>67</v>
      </c>
      <c r="B6" s="43">
        <v>1000</v>
      </c>
      <c r="C6" s="194"/>
      <c r="D6" s="566" t="s">
        <v>331</v>
      </c>
      <c r="E6" s="566"/>
      <c r="G6" s="562" t="s">
        <v>1</v>
      </c>
      <c r="H6" s="563"/>
      <c r="I6" s="39"/>
    </row>
    <row r="7" spans="1:9" ht="15.5" x14ac:dyDescent="0.35">
      <c r="A7" s="193" t="s">
        <v>66</v>
      </c>
      <c r="B7" s="43">
        <v>950</v>
      </c>
      <c r="C7" s="194"/>
      <c r="G7" s="227" t="str">
        <f>'Quantification Tool'!F28</f>
        <v>Hydrology</v>
      </c>
      <c r="H7" s="260">
        <f>IF('Quantification Tool'!H28="",1,'Quantification Tool'!H28)</f>
        <v>0.57999999999999996</v>
      </c>
      <c r="I7" s="39"/>
    </row>
    <row r="8" spans="1:9" s="2" customFormat="1" ht="15.5" x14ac:dyDescent="0.35">
      <c r="C8" s="194"/>
      <c r="D8" s="38"/>
      <c r="G8" s="228" t="str">
        <f>'Quantification Tool'!F30</f>
        <v>Hydraulics</v>
      </c>
      <c r="H8" s="260">
        <f>IF('Quantification Tool'!H30="",1,'Quantification Tool'!H30)</f>
        <v>0</v>
      </c>
      <c r="I8" s="39"/>
    </row>
    <row r="9" spans="1:9" s="2" customFormat="1" ht="15.65" customHeight="1" x14ac:dyDescent="0.35">
      <c r="A9" s="569" t="s">
        <v>312</v>
      </c>
      <c r="B9" s="570" t="s">
        <v>324</v>
      </c>
      <c r="C9" s="571" t="s">
        <v>314</v>
      </c>
      <c r="D9" s="571"/>
      <c r="E9" s="3"/>
      <c r="G9" s="229" t="str">
        <f>'Quantification Tool'!F32</f>
        <v>Geomorphology</v>
      </c>
      <c r="H9" s="260">
        <f>IF('Quantification Tool'!H32="",1,'Quantification Tool'!H32)</f>
        <v>0.22</v>
      </c>
      <c r="I9" s="39"/>
    </row>
    <row r="10" spans="1:9" s="2" customFormat="1" ht="15.65" customHeight="1" x14ac:dyDescent="0.35">
      <c r="A10" s="569"/>
      <c r="B10" s="570"/>
      <c r="C10" s="571"/>
      <c r="D10" s="571"/>
      <c r="E10" s="3"/>
      <c r="G10" s="230" t="str">
        <f>'Quantification Tool'!F34</f>
        <v>Physicochemical</v>
      </c>
      <c r="H10" s="260">
        <f>IF('Quantification Tool'!H34="",1,'Quantification Tool'!H34)</f>
        <v>0.47</v>
      </c>
      <c r="I10" s="38"/>
    </row>
    <row r="11" spans="1:9" ht="15.65" customHeight="1" x14ac:dyDescent="0.35">
      <c r="A11" s="569"/>
      <c r="B11" s="570"/>
      <c r="C11" s="571"/>
      <c r="D11" s="571"/>
      <c r="G11" s="231" t="str">
        <f>'Quantification Tool'!F36</f>
        <v>Biology</v>
      </c>
      <c r="H11" s="260">
        <f>IF('Quantification Tool'!H36="",1,'Quantification Tool'!H36)</f>
        <v>0.51</v>
      </c>
      <c r="I11" s="39"/>
    </row>
    <row r="12" spans="1:9" ht="21" customHeight="1" x14ac:dyDescent="0.35">
      <c r="A12" s="569"/>
      <c r="B12" s="570"/>
      <c r="C12" s="571"/>
      <c r="D12" s="571"/>
      <c r="G12" s="562" t="s">
        <v>415</v>
      </c>
      <c r="H12" s="563"/>
      <c r="I12" s="39"/>
    </row>
    <row r="13" spans="1:9" ht="29" x14ac:dyDescent="0.35">
      <c r="A13" s="196"/>
      <c r="B13" s="197"/>
      <c r="C13" s="198"/>
      <c r="D13" s="198"/>
      <c r="G13" s="421" t="s">
        <v>413</v>
      </c>
      <c r="H13" s="208">
        <f>ROUND(0.2*H7+0.2*H8+0.3*H9,2)</f>
        <v>0.18</v>
      </c>
      <c r="I13" s="39"/>
    </row>
    <row r="14" spans="1:9" ht="29" x14ac:dyDescent="0.35">
      <c r="A14" s="574" t="s">
        <v>315</v>
      </c>
      <c r="B14" s="574"/>
      <c r="C14" s="199"/>
      <c r="D14" s="575" t="s">
        <v>316</v>
      </c>
      <c r="E14" s="575"/>
      <c r="G14" s="421" t="s">
        <v>414</v>
      </c>
      <c r="H14" s="208">
        <f>ROUND(0.2*H7+0.2*H8+0.3*H9+0.15*H10+0.15*H11,2)</f>
        <v>0.33</v>
      </c>
      <c r="I14" s="39"/>
    </row>
    <row r="15" spans="1:9" ht="16" thickBot="1" x14ac:dyDescent="0.4">
      <c r="A15" s="200" t="s">
        <v>124</v>
      </c>
      <c r="B15" s="201" t="s">
        <v>119</v>
      </c>
      <c r="C15" s="39"/>
      <c r="D15" s="422" t="s">
        <v>131</v>
      </c>
      <c r="E15" s="223">
        <f>IF(H13="","",IF(OR(B9="Tier 1",B9="Tier 2",B9="Tier 3"),H13,H14))</f>
        <v>0.18</v>
      </c>
      <c r="G15" s="39"/>
      <c r="H15" s="39"/>
      <c r="I15" s="39"/>
    </row>
    <row r="16" spans="1:9" ht="31.5" thickTop="1" x14ac:dyDescent="0.35">
      <c r="A16" s="202">
        <f>IF(B9="",0,IF(B9="Tier 6",B19,IF(B9="Tier 5",B20,IF(B9="Tier 4",B21,IF(B9="Tier 3",B22,IF(B9="Tier 2",B23,IF(B9="Tier 1",B24,IF(B9="Tier 0",B25,0))))))))</f>
        <v>0.37</v>
      </c>
      <c r="B16" s="203">
        <f>IFERROR(ROUND(E15*A16,2), ROUND(0.2*AVERAGE(0,H5),2))</f>
        <v>7.0000000000000007E-2</v>
      </c>
      <c r="C16" s="39"/>
      <c r="D16" s="422" t="s">
        <v>132</v>
      </c>
      <c r="E16" s="223">
        <f>IF(B16="","",ROUND(B16,2))</f>
        <v>7.0000000000000007E-2</v>
      </c>
      <c r="G16" s="232" t="s">
        <v>333</v>
      </c>
      <c r="H16" s="233" t="s">
        <v>318</v>
      </c>
    </row>
    <row r="17" spans="1:9" ht="45" customHeight="1" x14ac:dyDescent="0.35">
      <c r="A17" s="567"/>
      <c r="B17" s="568"/>
      <c r="C17" s="194"/>
      <c r="D17" s="422" t="s">
        <v>317</v>
      </c>
      <c r="E17" s="223">
        <f>IFERROR(E16-E15,"")</f>
        <v>-0.10999999999999999</v>
      </c>
      <c r="G17" s="235" t="s">
        <v>334</v>
      </c>
      <c r="H17" s="234">
        <v>0</v>
      </c>
    </row>
    <row r="18" spans="1:9" ht="16.25" customHeight="1" thickBot="1" x14ac:dyDescent="0.4">
      <c r="A18" s="205" t="s">
        <v>318</v>
      </c>
      <c r="B18" s="205" t="s">
        <v>352</v>
      </c>
      <c r="C18" s="38"/>
      <c r="D18" s="422" t="s">
        <v>70</v>
      </c>
      <c r="E18" s="224">
        <f>IF(B6="","",B6)</f>
        <v>1000</v>
      </c>
      <c r="G18" s="237" t="s">
        <v>335</v>
      </c>
      <c r="H18" s="236">
        <v>1</v>
      </c>
    </row>
    <row r="19" spans="1:9" ht="16" thickTop="1" x14ac:dyDescent="0.35">
      <c r="A19" s="206">
        <v>6</v>
      </c>
      <c r="B19" s="207">
        <v>0</v>
      </c>
      <c r="C19" s="38"/>
      <c r="D19" s="422" t="s">
        <v>95</v>
      </c>
      <c r="E19" s="224">
        <f>IF(B7="","",B7)</f>
        <v>950</v>
      </c>
      <c r="G19" s="237" t="s">
        <v>336</v>
      </c>
      <c r="H19" s="236">
        <v>2</v>
      </c>
    </row>
    <row r="20" spans="1:9" s="2" customFormat="1" ht="26" x14ac:dyDescent="0.35">
      <c r="A20" s="258">
        <v>5</v>
      </c>
      <c r="B20" s="259" t="s">
        <v>319</v>
      </c>
      <c r="C20" s="38"/>
      <c r="D20" s="422" t="s">
        <v>320</v>
      </c>
      <c r="E20" s="224">
        <f>IFERROR(E19-E18,"")</f>
        <v>-50</v>
      </c>
      <c r="G20" s="237" t="s">
        <v>337</v>
      </c>
      <c r="H20" s="236">
        <v>3</v>
      </c>
    </row>
    <row r="21" spans="1:9" s="2" customFormat="1" ht="39" x14ac:dyDescent="0.35">
      <c r="A21" s="208">
        <v>4</v>
      </c>
      <c r="B21" s="209">
        <v>0.27</v>
      </c>
      <c r="C21" s="38"/>
      <c r="D21" s="422" t="s">
        <v>411</v>
      </c>
      <c r="E21" s="224">
        <f>IFERROR(E18*E15,"")</f>
        <v>180</v>
      </c>
      <c r="G21" s="237" t="s">
        <v>338</v>
      </c>
      <c r="H21" s="236">
        <v>4</v>
      </c>
    </row>
    <row r="22" spans="1:9" s="2" customFormat="1" ht="39" x14ac:dyDescent="0.35">
      <c r="A22" s="208">
        <v>3</v>
      </c>
      <c r="B22" s="209">
        <v>0.37</v>
      </c>
      <c r="C22" s="38"/>
      <c r="D22" s="422" t="s">
        <v>412</v>
      </c>
      <c r="E22" s="224">
        <f>IFERROR(E19*E16,"")</f>
        <v>66.5</v>
      </c>
      <c r="G22" s="237" t="s">
        <v>417</v>
      </c>
      <c r="H22" s="236">
        <v>5</v>
      </c>
    </row>
    <row r="23" spans="1:9" s="2" customFormat="1" ht="26" x14ac:dyDescent="0.35">
      <c r="A23" s="208">
        <v>2</v>
      </c>
      <c r="B23" s="209">
        <v>0.65</v>
      </c>
      <c r="C23" s="38"/>
      <c r="D23" s="422" t="s">
        <v>408</v>
      </c>
      <c r="E23" s="225">
        <f>IFERROR(E22-E21,"")</f>
        <v>-113.5</v>
      </c>
      <c r="G23" s="235" t="s">
        <v>418</v>
      </c>
      <c r="H23" s="236">
        <v>6</v>
      </c>
    </row>
    <row r="24" spans="1:9" s="2" customFormat="1" ht="15.5" x14ac:dyDescent="0.35">
      <c r="A24" s="208">
        <v>1</v>
      </c>
      <c r="B24" s="209">
        <v>0.83</v>
      </c>
      <c r="C24" s="38"/>
      <c r="D24" s="423" t="s">
        <v>321</v>
      </c>
      <c r="E24" s="226">
        <f>IFERROR(E23/E21,"")</f>
        <v>-0.63055555555555554</v>
      </c>
    </row>
    <row r="25" spans="1:9" s="2" customFormat="1" x14ac:dyDescent="0.35">
      <c r="A25" s="208">
        <v>0</v>
      </c>
      <c r="B25" s="210">
        <v>1</v>
      </c>
      <c r="C25" s="38"/>
    </row>
    <row r="26" spans="1:9" s="2" customFormat="1" x14ac:dyDescent="0.35">
      <c r="A26" s="38"/>
      <c r="B26" s="38"/>
      <c r="C26" s="38"/>
      <c r="D26" s="38"/>
      <c r="E26" s="38"/>
    </row>
    <row r="27" spans="1:9" s="2" customFormat="1" x14ac:dyDescent="0.35">
      <c r="D27" s="38"/>
    </row>
    <row r="28" spans="1:9" s="2" customFormat="1" x14ac:dyDescent="0.35">
      <c r="D28" s="38"/>
    </row>
    <row r="29" spans="1:9" s="2" customFormat="1" x14ac:dyDescent="0.35">
      <c r="D29" s="38"/>
    </row>
    <row r="30" spans="1:9" s="2" customFormat="1" ht="15.5" x14ac:dyDescent="0.35">
      <c r="A30" s="195"/>
      <c r="B30" s="204"/>
      <c r="C30" s="194"/>
      <c r="D30" s="38"/>
    </row>
    <row r="31" spans="1:9" s="2" customFormat="1" x14ac:dyDescent="0.35">
      <c r="A31" s="211"/>
      <c r="B31" s="211"/>
      <c r="C31" s="211"/>
      <c r="D31" s="211"/>
      <c r="E31" s="3"/>
    </row>
    <row r="32" spans="1:9" s="2" customFormat="1" x14ac:dyDescent="0.35">
      <c r="A32" s="3"/>
      <c r="B32" s="3"/>
      <c r="C32" s="39"/>
      <c r="D32" s="39"/>
      <c r="E32" s="3"/>
      <c r="G32" s="3"/>
      <c r="H32" s="3"/>
      <c r="I32" s="3"/>
    </row>
    <row r="33" spans="1:9" s="2" customFormat="1" ht="41.4" customHeight="1" x14ac:dyDescent="0.35">
      <c r="A33" s="3"/>
      <c r="B33" s="3"/>
      <c r="C33" s="39"/>
      <c r="D33" s="39"/>
      <c r="E33" s="3"/>
      <c r="G33" s="3"/>
      <c r="H33" s="3"/>
      <c r="I33" s="3"/>
    </row>
    <row r="34" spans="1:9" x14ac:dyDescent="0.35">
      <c r="C34" s="39"/>
      <c r="D34" s="39"/>
    </row>
    <row r="35" spans="1:9" x14ac:dyDescent="0.35">
      <c r="C35" s="39"/>
      <c r="D35" s="39"/>
    </row>
    <row r="36" spans="1:9" x14ac:dyDescent="0.35">
      <c r="C36" s="39"/>
      <c r="D36" s="39"/>
    </row>
    <row r="37" spans="1:9" x14ac:dyDescent="0.35">
      <c r="C37" s="39"/>
      <c r="D37" s="39"/>
    </row>
    <row r="38" spans="1:9" x14ac:dyDescent="0.35">
      <c r="C38" s="39"/>
      <c r="D38" s="39"/>
    </row>
    <row r="39" spans="1:9" x14ac:dyDescent="0.35">
      <c r="C39" s="39"/>
      <c r="D39" s="39"/>
    </row>
    <row r="40" spans="1:9" x14ac:dyDescent="0.35">
      <c r="C40" s="39"/>
      <c r="D40" s="39"/>
    </row>
    <row r="41" spans="1:9" x14ac:dyDescent="0.35">
      <c r="A41" s="39"/>
      <c r="B41" s="39"/>
      <c r="C41" s="39"/>
      <c r="D41" s="39"/>
    </row>
    <row r="42" spans="1:9" x14ac:dyDescent="0.35">
      <c r="A42" s="39"/>
      <c r="B42" s="39"/>
      <c r="C42" s="39"/>
      <c r="D42" s="39"/>
    </row>
    <row r="43" spans="1:9" x14ac:dyDescent="0.35">
      <c r="A43" s="39"/>
      <c r="B43" s="39"/>
      <c r="C43" s="39"/>
      <c r="D43" s="39"/>
    </row>
    <row r="44" spans="1:9" x14ac:dyDescent="0.35">
      <c r="A44" s="39"/>
      <c r="B44" s="39"/>
      <c r="C44" s="39"/>
      <c r="D44" s="39"/>
    </row>
    <row r="45" spans="1:9" x14ac:dyDescent="0.35">
      <c r="A45" s="39"/>
      <c r="B45" s="39"/>
      <c r="C45" s="39"/>
      <c r="D45" s="39"/>
    </row>
    <row r="46" spans="1:9" x14ac:dyDescent="0.35">
      <c r="A46" s="39"/>
      <c r="B46" s="39"/>
      <c r="C46" s="39"/>
      <c r="D46" s="39"/>
    </row>
    <row r="47" spans="1:9" x14ac:dyDescent="0.35">
      <c r="A47" s="39"/>
      <c r="B47" s="39"/>
      <c r="C47" s="39"/>
      <c r="D47" s="39"/>
    </row>
    <row r="48" spans="1:9" x14ac:dyDescent="0.35">
      <c r="A48" s="39"/>
      <c r="B48" s="39"/>
      <c r="C48" s="39"/>
      <c r="D48" s="39"/>
    </row>
    <row r="49" spans="1:4" x14ac:dyDescent="0.35">
      <c r="A49" s="39"/>
      <c r="B49" s="39"/>
      <c r="C49" s="39"/>
      <c r="D49" s="39"/>
    </row>
    <row r="50" spans="1:4" x14ac:dyDescent="0.35">
      <c r="A50" s="39"/>
      <c r="B50" s="39"/>
      <c r="C50" s="39"/>
      <c r="D50" s="39"/>
    </row>
    <row r="51" spans="1:4" x14ac:dyDescent="0.35">
      <c r="A51" s="39"/>
      <c r="B51" s="39"/>
      <c r="C51" s="39"/>
      <c r="D51" s="39"/>
    </row>
    <row r="52" spans="1:4" ht="14.4" customHeight="1" x14ac:dyDescent="0.35">
      <c r="A52" s="39"/>
      <c r="B52" s="39"/>
      <c r="C52" s="39"/>
      <c r="D52" s="39"/>
    </row>
    <row r="53" spans="1:4" x14ac:dyDescent="0.35">
      <c r="A53" s="39"/>
      <c r="B53" s="39"/>
      <c r="C53" s="39"/>
      <c r="D53" s="39"/>
    </row>
    <row r="54" spans="1:4" x14ac:dyDescent="0.35">
      <c r="A54" s="39"/>
      <c r="B54" s="39"/>
      <c r="C54" s="39"/>
      <c r="D54" s="39"/>
    </row>
  </sheetData>
  <sheetProtection algorithmName="SHA-512" hashValue="4ZhBkgZrGjTTnabZT24aCPeX2qRecJbvpwgO6FcrhNxyUjEeIhNARhm/mRdf5m85dquXrR9ShoR1T+62GmiPqQ==" saltValue="kxJHJ1KBv7l47YYbC2wdJQ==" spinCount="100000" sheet="1" objects="1" scenarios="1"/>
  <mergeCells count="15">
    <mergeCell ref="A17:B17"/>
    <mergeCell ref="A9:A12"/>
    <mergeCell ref="B9:B12"/>
    <mergeCell ref="C9:D12"/>
    <mergeCell ref="A3:B3"/>
    <mergeCell ref="A14:B14"/>
    <mergeCell ref="D14:E14"/>
    <mergeCell ref="G3:H3"/>
    <mergeCell ref="G6:H6"/>
    <mergeCell ref="G12:H12"/>
    <mergeCell ref="D3:E3"/>
    <mergeCell ref="D4:E4"/>
    <mergeCell ref="D5:E5"/>
    <mergeCell ref="D6:E6"/>
    <mergeCell ref="G4:H4"/>
  </mergeCells>
  <dataValidations count="1">
    <dataValidation type="decimal" allowBlank="1" showInputMessage="1" showErrorMessage="1" sqref="B30 H5">
      <formula1>0</formula1>
      <formula2>1</formula2>
    </dataValidation>
  </dataValidations>
  <pageMargins left="0.7" right="0.7" top="0.75" bottom="0.75" header="0.3" footer="0.3"/>
  <pageSetup scale="51" orientation="portrait" r:id="rId1"/>
  <colBreaks count="1" manualBreakCount="1">
    <brk id="5" min="2" max="24"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Notes'!$B$141:$B$148</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0"/>
  <sheetViews>
    <sheetView showGridLines="0" topLeftCell="A244" zoomScaleNormal="100" zoomScaleSheetLayoutView="70" zoomScalePageLayoutView="55" workbookViewId="0">
      <selection activeCell="E254" sqref="E254"/>
    </sheetView>
  </sheetViews>
  <sheetFormatPr defaultColWidth="8.90625" defaultRowHeight="14.5" x14ac:dyDescent="0.35"/>
  <cols>
    <col min="1" max="1" width="35.90625" style="3" bestFit="1" customWidth="1"/>
    <col min="2" max="2" width="35.6328125" style="3" bestFit="1" customWidth="1"/>
    <col min="3" max="3" width="22.08984375" style="3" customWidth="1"/>
    <col min="4" max="4" width="26.08984375" style="3" customWidth="1"/>
    <col min="5" max="5" width="18.54296875" style="3" customWidth="1"/>
    <col min="6" max="6" width="12.6328125" style="3" customWidth="1"/>
    <col min="7" max="7" width="14.453125" style="3" customWidth="1"/>
    <col min="8" max="8" width="14.54296875" style="3" customWidth="1"/>
    <col min="9" max="9" width="19.36328125" style="3" bestFit="1" customWidth="1"/>
    <col min="10" max="10" width="10.08984375" style="3" customWidth="1"/>
    <col min="11" max="11" width="19.36328125" style="3" bestFit="1" customWidth="1"/>
    <col min="12" max="12" width="18.54296875" style="3" customWidth="1"/>
    <col min="13" max="13" width="13.6328125" style="3" customWidth="1"/>
    <col min="14" max="16384" width="8.90625" style="3"/>
  </cols>
  <sheetData>
    <row r="1" spans="1:15" ht="21" x14ac:dyDescent="0.5">
      <c r="A1" s="463" t="s">
        <v>161</v>
      </c>
      <c r="B1" s="464"/>
      <c r="C1" s="464"/>
      <c r="D1" s="464"/>
      <c r="E1" s="464"/>
      <c r="F1" s="465"/>
      <c r="G1" s="463" t="s">
        <v>16</v>
      </c>
      <c r="H1" s="464"/>
      <c r="I1" s="464"/>
      <c r="J1" s="464"/>
      <c r="K1" s="465"/>
      <c r="L1" s="7"/>
    </row>
    <row r="2" spans="1:15" ht="15.5" x14ac:dyDescent="0.35">
      <c r="A2" s="124" t="s">
        <v>1</v>
      </c>
      <c r="B2" s="124" t="s">
        <v>2</v>
      </c>
      <c r="C2" s="461" t="s">
        <v>3</v>
      </c>
      <c r="D2" s="576"/>
      <c r="E2" s="124" t="s">
        <v>14</v>
      </c>
      <c r="F2" s="124" t="s">
        <v>15</v>
      </c>
      <c r="G2" s="124" t="s">
        <v>17</v>
      </c>
      <c r="H2" s="124" t="s">
        <v>18</v>
      </c>
      <c r="I2" s="124" t="s">
        <v>18</v>
      </c>
      <c r="J2" s="124" t="s">
        <v>19</v>
      </c>
      <c r="K2" s="50" t="s">
        <v>19</v>
      </c>
      <c r="L2" s="7"/>
    </row>
    <row r="3" spans="1:15" ht="15.5" x14ac:dyDescent="0.35">
      <c r="A3" s="493" t="s">
        <v>63</v>
      </c>
      <c r="B3" s="123" t="s">
        <v>100</v>
      </c>
      <c r="C3" s="52" t="s">
        <v>101</v>
      </c>
      <c r="D3" s="52"/>
      <c r="E3" s="147" t="s">
        <v>455</v>
      </c>
      <c r="F3" s="251">
        <f>IF(E3="","",IF(E3="G1",0.8,IF(E3="G2",0.9,IF(E3="G3",1,IF(E3="F1",0.4,IF(E3="F2",0.5,IF(E3="F3",0.6,IF(E3="P1",0.1,IF(E3="P2",0.2,IF(E3="P3",0.3,))))))))))</f>
        <v>0.9</v>
      </c>
      <c r="G3" s="84">
        <f>IFERROR(AVERAGE(F3),"")</f>
        <v>0.9</v>
      </c>
      <c r="H3" s="499">
        <f>IFERROR(ROUND(AVERAGE(G3:G7),2),"")</f>
        <v>0.88</v>
      </c>
      <c r="I3" s="459" t="str">
        <f>IF(H3="","",IF(H3&gt;0.69,"Functioning",IF(H3&gt;0.29,"Functioning At Risk",IF(H3&gt;-1,"Not Functioning"))))</f>
        <v>Functioning</v>
      </c>
      <c r="J3" s="460">
        <f>IF(AND(H3="",H8="",H10="",H34="",H37=""),"",(IF(H3="",0,H3)*0.2)+(IF(H8="",0,H8)*0.2)+(IF(H10="",0,H10)*0.3)+(IF(H34="",0,H34)*0.15)+(IF(H37="",0,H37)*0.15))</f>
        <v>0.67800000000000005</v>
      </c>
      <c r="K3" s="460" t="str">
        <f>IF(J3="","",IF(J3&lt;0.3, "Not Functioning",IF(OR(H3&lt;0.7,H8&lt;0.7,H10&lt;0.7,H34&lt;0.7,H37&lt;0.7),"Functioning At Risk",IF(J3&lt;0.7,"Functioning At Risk","Functioning"))))</f>
        <v>Functioning At Risk</v>
      </c>
      <c r="L3" s="7"/>
      <c r="N3" s="6"/>
    </row>
    <row r="4" spans="1:15" ht="15.5" x14ac:dyDescent="0.35">
      <c r="A4" s="494"/>
      <c r="B4" s="493" t="s">
        <v>146</v>
      </c>
      <c r="C4" s="118" t="s">
        <v>147</v>
      </c>
      <c r="D4" s="117"/>
      <c r="E4" s="115">
        <v>60</v>
      </c>
      <c r="F4" s="251">
        <f>IF(E4="","",IF('Quantification Tool'!$B$20="Forested",IF(E4&gt;71,0,IF(E4&lt;=41,1,ROUND(E4^2*'Performance Standards'!$C$16+E4*'Performance Standards'!$C$17+'Performance Standards'!$C$18,2))),IF('Quantification Tool'!$B$20="Scrub-Shrub",IF(E4&gt;59.6,0,IF(E4&lt;=35,1,ROUND(E4^2*'Performance Standards'!$D$16+E4*'Performance Standards'!$D$17+'Performance Standards'!$D$18,2))),IF('Quantification Tool'!$B$20="Herbaceous",IF(E4&gt;85,0,IF(E4&lt;=62,1,ROUND(E4^2*'Performance Standards'!$E$16+E4*'Performance Standards'!$E$17+'Performance Standards'!$E$18,2)))))))</f>
        <v>0.73</v>
      </c>
      <c r="G4" s="470">
        <f>IFERROR(AVERAGE(F4:F6),"")</f>
        <v>0.86499999999999999</v>
      </c>
      <c r="H4" s="500"/>
      <c r="I4" s="459"/>
      <c r="J4" s="460"/>
      <c r="K4" s="460"/>
      <c r="L4" s="7"/>
      <c r="N4" s="6"/>
    </row>
    <row r="5" spans="1:15" ht="15.5" x14ac:dyDescent="0.35">
      <c r="A5" s="494"/>
      <c r="B5" s="494"/>
      <c r="C5" s="119" t="s">
        <v>148</v>
      </c>
      <c r="D5" s="52"/>
      <c r="E5" s="147">
        <v>0</v>
      </c>
      <c r="F5" s="252">
        <f>IF(E5="","",IF(E5&gt;3,0,IF(E5=0,1,ROUND('Performance Standards'!C$49*E5+'Performance Standards'!C$50,2))))</f>
        <v>1</v>
      </c>
      <c r="G5" s="471"/>
      <c r="H5" s="500"/>
      <c r="I5" s="459"/>
      <c r="J5" s="460"/>
      <c r="K5" s="460"/>
      <c r="L5" s="7"/>
      <c r="N5" s="6"/>
    </row>
    <row r="6" spans="1:15" ht="14.4" customHeight="1" x14ac:dyDescent="0.35">
      <c r="A6" s="494"/>
      <c r="B6" s="512"/>
      <c r="C6" s="120" t="s">
        <v>149</v>
      </c>
      <c r="D6" s="54"/>
      <c r="E6" s="148"/>
      <c r="F6" s="253" t="str">
        <f>IF(E6="","",IF('Quantification Tool'!$B$19="Sandy",IF(E6&gt;1.94,0,IF(E6&lt;1.45,1,ROUND(E6*'Performance Standards'!$C$85+'Performance Standards'!$C$86,2))),IF('Quantification Tool'!$B$19="Silty",IF(E6&gt;1.83,0,IF(E6&lt;1.21,1,ROUND(E6*'Performance Standards'!$D$85+'Performance Standards'!$D$86,2))),IF('Quantification Tool'!$B$19="Clayey",IF(E6&gt;1.74,0,IF(E6&lt;0.82,1,ROUND(E6*'Performance Standards'!$E$85+'Performance Standards'!$E$86,2)))))))</f>
        <v/>
      </c>
      <c r="G6" s="472"/>
      <c r="H6" s="500"/>
      <c r="I6" s="459"/>
      <c r="J6" s="460"/>
      <c r="K6" s="460"/>
      <c r="L6" s="7"/>
      <c r="N6" s="6"/>
      <c r="O6" s="6"/>
    </row>
    <row r="7" spans="1:15" ht="14.4" customHeight="1" x14ac:dyDescent="0.35">
      <c r="A7" s="512"/>
      <c r="B7" s="156" t="s">
        <v>170</v>
      </c>
      <c r="C7" s="513" t="s">
        <v>285</v>
      </c>
      <c r="D7" s="579"/>
      <c r="E7" s="174"/>
      <c r="F7" s="253" t="str">
        <f>IF(E7="","",IF(OR(E7&gt;=2,E7&lt;=0.6),0,IF(AND(E7&gt;=1,E7&lt;=1.1),1,ROUND(IF(E7&lt;1,'Performance Standards'!$C$121*E7^2+'Performance Standards'!$C$122*E7+'Performance Standards'!$C$123,'Performance Standards'!$D$121*E7^2+'Performance Standards'!$D$122*E7+'Performance Standards'!$D$123),2))))</f>
        <v/>
      </c>
      <c r="G7" s="247" t="str">
        <f>IFERROR(F7,"")</f>
        <v/>
      </c>
      <c r="H7" s="500"/>
      <c r="I7" s="459"/>
      <c r="J7" s="460"/>
      <c r="K7" s="460"/>
      <c r="L7" s="7"/>
      <c r="N7" s="6"/>
      <c r="O7" s="6"/>
    </row>
    <row r="8" spans="1:15" ht="15.5" x14ac:dyDescent="0.35">
      <c r="A8" s="524" t="s">
        <v>6</v>
      </c>
      <c r="B8" s="524" t="s">
        <v>7</v>
      </c>
      <c r="C8" s="55" t="s">
        <v>8</v>
      </c>
      <c r="D8" s="55"/>
      <c r="E8" s="147">
        <v>1</v>
      </c>
      <c r="F8" s="254">
        <f>IF(E8="","",ROUND(IF(E8&gt;1.6,0,IF(E8&lt;=1,1,E8^2*'Performance Standards'!K$14+E8*'Performance Standards'!K$15+'Performance Standards'!K$16)),2))</f>
        <v>1</v>
      </c>
      <c r="G8" s="526">
        <f>IFERROR(AVERAGE(F8:F9),"")</f>
        <v>0.88500000000000001</v>
      </c>
      <c r="H8" s="526">
        <f>IFERROR(ROUND(AVERAGE(G8:G9),2),"")</f>
        <v>0.89</v>
      </c>
      <c r="I8" s="533" t="str">
        <f>IF(H8="","",IF(H8&gt;0.69,"Functioning",IF(H8&gt;0.29,"Functioning At Risk",IF(H8&gt;-1,"Not Functioning"))))</f>
        <v>Functioning</v>
      </c>
      <c r="J8" s="460"/>
      <c r="K8" s="460"/>
      <c r="L8" s="7"/>
      <c r="N8" s="6"/>
      <c r="O8" s="6"/>
    </row>
    <row r="9" spans="1:15" ht="15.5" x14ac:dyDescent="0.35">
      <c r="A9" s="525"/>
      <c r="B9" s="525"/>
      <c r="C9" s="57" t="s">
        <v>9</v>
      </c>
      <c r="D9" s="57"/>
      <c r="E9" s="148">
        <v>3</v>
      </c>
      <c r="F9" s="255">
        <f>IF(E9="","",IF(OR('Quantification Tool'!$B$9="A",'Quantification Tool'!$B$9="Ba",'Quantification Tool'!$B$9="B", 'Quantification Tool'!$B$9="Bc"),IF(E9&lt;1.2,0,IF(E9&gt;=2.2,1,ROUND(IF(E9&lt;1.4,E9*'Performance Standards'!$K$84+'Performance Standards'!$K$85,E9*'Performance Standards'!$L$84+'Performance Standards'!$L$85),2))),IF(OR('Quantification Tool'!$B$9="C",'Quantification Tool'!$B$9="Cb",'Quantification Tool'!$B$9="E"),IF(E9&lt;2,0,IF(E9&gt;=5,1,ROUND(IF(E9&lt;2.4,E9*'Performance Standards'!$L$49+'Performance Standards'!$L$50,E9*'Performance Standards'!$K$49+'Performance Standards'!$K$50),2))))))</f>
        <v>0.77</v>
      </c>
      <c r="G9" s="527"/>
      <c r="H9" s="532"/>
      <c r="I9" s="534"/>
      <c r="J9" s="460"/>
      <c r="K9" s="460"/>
      <c r="L9" s="7"/>
      <c r="N9" s="6"/>
      <c r="O9" s="6"/>
    </row>
    <row r="10" spans="1:15" ht="15.5" x14ac:dyDescent="0.35">
      <c r="A10" s="477" t="s">
        <v>23</v>
      </c>
      <c r="B10" s="477" t="s">
        <v>24</v>
      </c>
      <c r="C10" s="64" t="s">
        <v>22</v>
      </c>
      <c r="D10" s="67"/>
      <c r="E10" s="115">
        <v>300</v>
      </c>
      <c r="F10" s="246">
        <f>IF(E10="","",IF(E10&gt;600,1,IF(E10&lt;300,ROUND('Performance Standards'!$S$15*(E10^2)+'Performance Standards'!$S$16*E10+'Performance Standards'!$S$17,2),ROUND('Performance Standards'!$T$16*E10+'Performance Standards'!$T$17,2))))</f>
        <v>0.7</v>
      </c>
      <c r="G10" s="466">
        <f>IFERROR(AVERAGE(F10:F11),"")</f>
        <v>0.7</v>
      </c>
      <c r="H10" s="531">
        <f>IFERROR(ROUND(AVERAGE(G10:G33),2),"")</f>
        <v>0.69</v>
      </c>
      <c r="I10" s="460" t="str">
        <f>IF(H10="","",IF(H10&gt;0.69,"Functioning",IF(H10&gt;0.29,"Functioning At Risk",IF(H10&gt;-1,"Not Functioning"))))</f>
        <v>Functioning At Risk</v>
      </c>
      <c r="J10" s="460"/>
      <c r="K10" s="460"/>
      <c r="L10" s="7"/>
      <c r="N10" s="6"/>
      <c r="O10" s="6"/>
    </row>
    <row r="11" spans="1:15" ht="15.5" x14ac:dyDescent="0.35">
      <c r="A11" s="478"/>
      <c r="B11" s="479"/>
      <c r="C11" s="66" t="s">
        <v>357</v>
      </c>
      <c r="D11" s="68"/>
      <c r="E11" s="148"/>
      <c r="F11" s="192" t="str">
        <f>IF(E11="","",IF(E11&lt;=0,0,IF(E11&gt;=30,1,ROUND(IF(E11&lt;=15,'Performance Standards'!$S$49*E11^2+'Performance Standards'!$S$50*E11,'Performance Standards'!$T$50*E11+'Performance Standards'!$T$51),2))))</f>
        <v/>
      </c>
      <c r="G11" s="468"/>
      <c r="H11" s="531"/>
      <c r="I11" s="460"/>
      <c r="J11" s="460"/>
      <c r="K11" s="460"/>
      <c r="L11" s="7"/>
      <c r="N11" s="6"/>
      <c r="O11" s="6"/>
    </row>
    <row r="12" spans="1:15" ht="15.5" x14ac:dyDescent="0.35">
      <c r="A12" s="478"/>
      <c r="B12" s="478" t="s">
        <v>46</v>
      </c>
      <c r="C12" s="61" t="s">
        <v>91</v>
      </c>
      <c r="D12" s="61"/>
      <c r="E12" s="115"/>
      <c r="F12" s="238" t="str">
        <f>IF(E12="","",ROUND(IF(E12&gt;0.7,0,IF(E12&lt;=0.1,1,E12^3*'Performance Standards'!S$83+E12^2*'Performance Standards'!S$84+E12*'Performance Standards'!S$85+'Performance Standards'!S$86)),2))</f>
        <v/>
      </c>
      <c r="G12" s="467">
        <f>IFERROR(IF(E12="",AVERAGE(F13:F14),IF(E13="",F12,MAX(F12,AVERAGE(F13:F14)))),"")</f>
        <v>0.65</v>
      </c>
      <c r="H12" s="531"/>
      <c r="I12" s="460"/>
      <c r="J12" s="460"/>
      <c r="K12" s="460"/>
      <c r="L12" s="7"/>
      <c r="N12" s="6"/>
      <c r="O12" s="6"/>
    </row>
    <row r="13" spans="1:15" ht="15.5" x14ac:dyDescent="0.35">
      <c r="A13" s="478"/>
      <c r="B13" s="478"/>
      <c r="C13" s="61" t="s">
        <v>47</v>
      </c>
      <c r="D13" s="61"/>
      <c r="E13" s="147" t="s">
        <v>36</v>
      </c>
      <c r="F13" s="256">
        <f>IF(E13="","",IF(OR(E13="Ex/Ex",E13="Ex/VH"),0, IF(OR(E13="Ex/H",E13="VH/Ex",E13="VH/VH", E13="H/Ex",E13="H/VH",E13="M/Ex"),0.1,IF(OR(E13="Ex/M",E13="VH/H",E13="H/H", E13="M/VH"),0.2, IF(OR(E13="Ex/L",E13="VH/M",E13="H/M", E13="M/H",E13="L/Ex"),0.3, IF(OR(E13="Ex/VL",E13="VH/L",E13="H/L"),0.4, IF(OR(E13="VH/VL",E13="H/VL",E13="M/M", E13="L/VH"),0.5, IF(OR(E13="M/L",E13="L/H"),0.6, IF(OR(E13="M/VL",E13="L/M"),0.7, IF(OR(E13="L/L",E13="L/VL"),1))))))))))</f>
        <v>0.3</v>
      </c>
      <c r="G13" s="467"/>
      <c r="H13" s="531"/>
      <c r="I13" s="460"/>
      <c r="J13" s="460"/>
      <c r="K13" s="460"/>
      <c r="L13" s="7"/>
      <c r="N13" s="6"/>
      <c r="O13" s="6"/>
    </row>
    <row r="14" spans="1:15" ht="15.5" x14ac:dyDescent="0.35">
      <c r="A14" s="478"/>
      <c r="B14" s="478"/>
      <c r="C14" s="63" t="s">
        <v>102</v>
      </c>
      <c r="D14" s="63"/>
      <c r="E14" s="148">
        <v>5</v>
      </c>
      <c r="F14" s="213">
        <f>IF(E14="","",ROUND(IF(E14&gt;50,0,IF(E14&lt;5,1,IF(E14&gt;9,E14^2*'Performance Standards'!S$119+E14*'Performance Standards'!S$120+'Performance Standards'!S$121,'Performance Standards'!$T$120*E14+'Performance Standards'!$T$121))),2))</f>
        <v>1</v>
      </c>
      <c r="G14" s="467"/>
      <c r="H14" s="531"/>
      <c r="I14" s="460"/>
      <c r="J14" s="460"/>
      <c r="K14" s="460"/>
      <c r="L14" s="7"/>
      <c r="N14" s="6"/>
      <c r="O14" s="6"/>
    </row>
    <row r="15" spans="1:15" ht="15.5" x14ac:dyDescent="0.35">
      <c r="A15" s="478"/>
      <c r="B15" s="477" t="s">
        <v>48</v>
      </c>
      <c r="C15" s="67" t="s">
        <v>447</v>
      </c>
      <c r="D15" s="67"/>
      <c r="E15" s="147">
        <v>100</v>
      </c>
      <c r="F15" s="256">
        <f>IF(E15="","",IF('Quantification Tool'!$B$22="Unconfined Alluvial",IF(E15&gt;=100,1,IF(E15&lt;30,0,ROUND('Performance Standards'!$S$155*E15^2+'Performance Standards'!$S$156*E15+'Performance Standards'!$S$157,2))),IF('Quantification Tool'!$B$22="Confined Alluvial",(IF(E15&gt;=100,1,IF(E15&lt;60,0,ROUND('Performance Standards'!$T$155*E15^2+'Performance Standards'!$T$156*E15+'Performance Standards'!$T$157,2)))),IF('Quantification Tool'!$B$22="Colluvial/V-Shaped",(IF(E15&gt;=100,1,IF(E15&lt;80,0,ROUND('Performance Standards'!$U$155*E15^2+'Performance Standards'!$U$156*E15+'Performance Standards'!$U$157,2))))))))</f>
        <v>1</v>
      </c>
      <c r="G15" s="466">
        <f>IFERROR(AVERAGE(F15:F27),"")</f>
        <v>0.48461538461538461</v>
      </c>
      <c r="H15" s="531"/>
      <c r="I15" s="460"/>
      <c r="J15" s="460"/>
      <c r="K15" s="460"/>
      <c r="L15" s="7"/>
      <c r="N15" s="6"/>
      <c r="O15" s="6"/>
    </row>
    <row r="16" spans="1:15" ht="15.5" x14ac:dyDescent="0.35">
      <c r="A16" s="478"/>
      <c r="B16" s="478"/>
      <c r="C16" s="61" t="s">
        <v>448</v>
      </c>
      <c r="D16" s="61"/>
      <c r="E16" s="147">
        <v>100</v>
      </c>
      <c r="F16" s="256">
        <f>IF(E16="","",IF('Quantification Tool'!$B$22="Unconfined Alluvial",IF(E16&gt;=100,1,IF(E16&lt;30,0,ROUND('Performance Standards'!$S$155*E16^2+'Performance Standards'!$S$156*E16+'Performance Standards'!$S$157,2))),IF('Quantification Tool'!$B$22="Confined Alluvial",(IF(E16&gt;=100,1,IF(E16&lt;60,0,ROUND('Performance Standards'!$T$155*E16^2+'Performance Standards'!$T$156*E16+'Performance Standards'!$T$157,2)))),IF('Quantification Tool'!$B$22="Colluvial/V-Shaped",(IF(E16&gt;=100,1,IF(E16&lt;80,0,ROUND('Performance Standards'!$U$155*E16^2+'Performance Standards'!$U$156*E16+'Performance Standards'!$U$157,2))))))))</f>
        <v>1</v>
      </c>
      <c r="G16" s="467"/>
      <c r="H16" s="531"/>
      <c r="I16" s="460"/>
      <c r="J16" s="460"/>
      <c r="K16" s="460"/>
      <c r="L16" s="7"/>
      <c r="N16" s="6"/>
      <c r="O16" s="6"/>
    </row>
    <row r="17" spans="1:15" ht="15.5" x14ac:dyDescent="0.35">
      <c r="A17" s="478"/>
      <c r="B17" s="478"/>
      <c r="C17" s="61" t="s">
        <v>299</v>
      </c>
      <c r="D17" s="61"/>
      <c r="E17" s="147">
        <v>0</v>
      </c>
      <c r="F17" s="256">
        <f>IF(E17="","",IF('Quantification Tool'!$B$20="Herbaceous","",IF(E17="","",IF('Quantification Tool'!$B$10="Mountains",(IF(E17&gt;=90,1,ROUND('Performance Standards'!$S$191*E17^3+'Performance Standards'!$S$192*E17^2+'Performance Standards'!$S$193*E17+'Performance Standards'!$S$194,2))),IF('Quantification Tool'!$B$10="Basin",(IF(E17&gt;=90,1,ROUND('Performance Standards'!$T$191*E17^3+'Performance Standards'!$T$192*E17^2+'Performance Standards'!$T$193*E17+'Performance Standards'!$T$194,2))),(IF('Quantification Tool'!$B$10="Plains",(IF(E17&gt;=75,1,ROUND('Performance Standards'!$U$191*E17^3+'Performance Standards'!$U$192*E17^2+'Performance Standards'!$U$193*E17+'Performance Standards'!$U$194,2))))))))))</f>
        <v>0</v>
      </c>
      <c r="G17" s="467"/>
      <c r="H17" s="531"/>
      <c r="I17" s="460"/>
      <c r="J17" s="460"/>
      <c r="K17" s="460"/>
      <c r="L17" s="7"/>
      <c r="N17" s="6"/>
      <c r="O17" s="6"/>
    </row>
    <row r="18" spans="1:15" ht="15.5" x14ac:dyDescent="0.35">
      <c r="A18" s="478"/>
      <c r="B18" s="478"/>
      <c r="C18" s="61" t="s">
        <v>300</v>
      </c>
      <c r="D18" s="61"/>
      <c r="E18" s="147">
        <v>0</v>
      </c>
      <c r="F18" s="256">
        <f>IF(E18="","",IF('Quantification Tool'!$B$20="Herbaceous","",IF(E18="","",IF('Quantification Tool'!$B$10="Mountains",(IF(E18&gt;=90,1,ROUND('Performance Standards'!$S$191*E18^3+'Performance Standards'!$S$192*E18^2+'Performance Standards'!$S$193*E18+'Performance Standards'!$S$194,2))),IF('Quantification Tool'!$B$10="Basin",(IF(E18&gt;=90,1,ROUND('Performance Standards'!$T$191*E18^3+'Performance Standards'!$T$192*E18^2+'Performance Standards'!$T$193*E18+'Performance Standards'!$T$194,2))),(IF('Quantification Tool'!$B$10="Plains",(IF(E18&gt;=75,1,ROUND('Performance Standards'!$U$191*E18^3+'Performance Standards'!$U$192*E18^2+'Performance Standards'!$U$193*E18+'Performance Standards'!$U$194,2))))))))))</f>
        <v>0</v>
      </c>
      <c r="G18" s="467"/>
      <c r="H18" s="531"/>
      <c r="I18" s="460"/>
      <c r="J18" s="460"/>
      <c r="K18" s="460"/>
      <c r="L18" s="7"/>
      <c r="N18" s="6"/>
      <c r="O18" s="6"/>
    </row>
    <row r="19" spans="1:15" ht="15.5" x14ac:dyDescent="0.35">
      <c r="A19" s="478"/>
      <c r="B19" s="478"/>
      <c r="C19" s="61" t="s">
        <v>301</v>
      </c>
      <c r="D19" s="61"/>
      <c r="E19" s="147">
        <v>0</v>
      </c>
      <c r="F19" s="256">
        <f>IF(E19="","",IF('Quantification Tool'!$B$20="Herbaceous",IF(E19&lt;30,0,IF(E19&gt;=100,1,ROUND(E19^2*'Performance Standards'!$S$225+E19*'Performance Standards'!$S$226+'Performance Standards'!$S$227,2))),IF('Quantification Tool'!$B$22="Colluvial/V-Shaped",IF(E19&gt;=100,0,IF(AND(E19&gt;=0,E19&lt;=15),ROUND(E19*'Performance Standards'!$S$259+'Performance Standards'!$S$260,2),IF(AND(E19&gt;=15,E19&lt;=55),ROUND(E19*'Performance Standards'!$T$259+'Performance Standards'!$T$260,2),IF(AND(E19&gt;=56,E19&lt;=100),ROUND(E19^2*'Performance Standards'!$U$259+E19*'Performance Standards'!$U$260+'Performance Standards'!$U$261,2))))),IF(OR(E19&gt;=100,E19&lt;=0),0,IF(AND(E19&gt;0,E19&lt;=70),ROUND(E19^2*'Performance Standards'!$S$292+E19*'Performance Standards'!$S$293+'Performance Standards'!$S$294,2),IF(AND(E19&gt;70,E19&lt;100),ROUND(E19^2*'Performance Standards'!$T$292+E19*'Performance Standards'!$T$293+'Performance Standards'!$T$294,2)))))))</f>
        <v>0</v>
      </c>
      <c r="G19" s="467"/>
      <c r="H19" s="531"/>
      <c r="I19" s="460"/>
      <c r="J19" s="460"/>
      <c r="K19" s="460"/>
      <c r="L19" s="7"/>
      <c r="N19" s="6"/>
      <c r="O19" s="6"/>
    </row>
    <row r="20" spans="1:15" ht="15.5" x14ac:dyDescent="0.35">
      <c r="A20" s="478"/>
      <c r="B20" s="478"/>
      <c r="C20" s="61" t="s">
        <v>302</v>
      </c>
      <c r="D20" s="61"/>
      <c r="E20" s="147">
        <v>0</v>
      </c>
      <c r="F20" s="256">
        <f>IF(E20="","",IF('Quantification Tool'!$B$20="Herbaceous",IF(E20&lt;30,0,IF(E20&gt;=100,1,ROUND(E20^2*'Performance Standards'!$S$225+E20*'Performance Standards'!$S$226+'Performance Standards'!$S$227,2))),IF('Quantification Tool'!$B$22="Colluvial/V-Shaped",IF(E20&gt;=100,0,IF(AND(E20&gt;=0,E20&lt;=15),ROUND(E20*'Performance Standards'!$S$259+'Performance Standards'!$S$260,2),IF(AND(E20&gt;=15,E20&lt;=55),ROUND(E20*'Performance Standards'!$T$259+'Performance Standards'!$T$260,2),IF(AND(E20&gt;=56,E20&lt;=100),ROUND(E20^2*'Performance Standards'!$U$259+E20*'Performance Standards'!$U$260+'Performance Standards'!$U$261,2))))),IF(OR(E20&gt;=100,E20&lt;=0),0,IF(AND(E20&gt;0,E20&lt;=70),ROUND(E20^2*'Performance Standards'!$S$292+E20*'Performance Standards'!$S$293+'Performance Standards'!$S$294,2),IF(AND(E20&gt;70,E20&lt;100),ROUND(E20^2*'Performance Standards'!$T$292+E20*'Performance Standards'!$T$293+'Performance Standards'!$T$294,2)))))))</f>
        <v>0</v>
      </c>
      <c r="G20" s="467"/>
      <c r="H20" s="531"/>
      <c r="I20" s="460"/>
      <c r="J20" s="460"/>
      <c r="K20" s="460"/>
      <c r="L20" s="7"/>
      <c r="N20" s="6"/>
      <c r="O20" s="6"/>
    </row>
    <row r="21" spans="1:15" ht="15.5" x14ac:dyDescent="0.35">
      <c r="A21" s="478"/>
      <c r="B21" s="478"/>
      <c r="C21" s="61" t="s">
        <v>304</v>
      </c>
      <c r="D21" s="61"/>
      <c r="E21" s="147">
        <v>0</v>
      </c>
      <c r="F21" s="256">
        <f>IF(E21="","",ROUND(IF(E21&gt;=100,0,E21^2*'Performance Standards'!$S$324+E21*'Performance Standards'!$S$325+'Performance Standards'!$S$326),2))</f>
        <v>1</v>
      </c>
      <c r="G21" s="467"/>
      <c r="H21" s="531"/>
      <c r="I21" s="460"/>
      <c r="J21" s="460"/>
      <c r="K21" s="460"/>
      <c r="L21" s="7"/>
      <c r="N21" s="6"/>
      <c r="O21" s="6"/>
    </row>
    <row r="22" spans="1:15" ht="15.5" x14ac:dyDescent="0.35">
      <c r="A22" s="478"/>
      <c r="B22" s="478"/>
      <c r="C22" s="61" t="s">
        <v>305</v>
      </c>
      <c r="D22" s="61"/>
      <c r="E22" s="147">
        <v>0</v>
      </c>
      <c r="F22" s="256">
        <f>IF(E22="","",ROUND(IF(E22&gt;=100,0,E22^2*'Performance Standards'!$S$324+E22*'Performance Standards'!$S$325+'Performance Standards'!$S$326),2))</f>
        <v>1</v>
      </c>
      <c r="G22" s="467"/>
      <c r="H22" s="531"/>
      <c r="I22" s="460"/>
      <c r="J22" s="460"/>
      <c r="K22" s="460"/>
      <c r="L22" s="7"/>
      <c r="N22" s="6"/>
      <c r="O22" s="6"/>
    </row>
    <row r="23" spans="1:15" ht="15.5" x14ac:dyDescent="0.35">
      <c r="A23" s="478"/>
      <c r="B23" s="478"/>
      <c r="C23" s="61" t="s">
        <v>307</v>
      </c>
      <c r="D23" s="61"/>
      <c r="E23" s="147">
        <v>0</v>
      </c>
      <c r="F23" s="256">
        <f>IF(E23="","",ROUND(IF(E23&gt;=100,1,E23^3*'Performance Standards'!$S$357+E23^2*'Performance Standards'!$S$358+E23*'Performance Standards'!$S$359+$S$139),2))</f>
        <v>0</v>
      </c>
      <c r="G23" s="467"/>
      <c r="H23" s="531"/>
      <c r="I23" s="460"/>
      <c r="J23" s="460"/>
      <c r="K23" s="460"/>
      <c r="L23" s="7"/>
      <c r="N23" s="6"/>
      <c r="O23" s="6"/>
    </row>
    <row r="24" spans="1:15" ht="15.5" x14ac:dyDescent="0.35">
      <c r="A24" s="478"/>
      <c r="B24" s="478"/>
      <c r="C24" s="61" t="s">
        <v>308</v>
      </c>
      <c r="D24" s="61"/>
      <c r="E24" s="147">
        <v>0</v>
      </c>
      <c r="F24" s="256">
        <f>IF(E24="","",ROUND(IF(E24&gt;=100,1,E24^3*'Performance Standards'!$S$357+E24^2*'Performance Standards'!$S$358+E24*'Performance Standards'!$S$359+$S$139),2))</f>
        <v>0</v>
      </c>
      <c r="G24" s="467"/>
      <c r="H24" s="531"/>
      <c r="I24" s="460"/>
      <c r="J24" s="460"/>
      <c r="K24" s="460"/>
      <c r="L24" s="7"/>
      <c r="N24" s="6"/>
      <c r="O24" s="6"/>
    </row>
    <row r="25" spans="1:15" ht="15.5" x14ac:dyDescent="0.35">
      <c r="A25" s="478"/>
      <c r="B25" s="478"/>
      <c r="C25" s="61" t="s">
        <v>158</v>
      </c>
      <c r="D25" s="61"/>
      <c r="E25" s="159">
        <v>30</v>
      </c>
      <c r="F25" s="192">
        <f>IF(E25="","",IF(OR(E25&gt;=50,E25&lt;=0),0,IF(AND(E25&gt;=25,E25&lt;=36),1,ROUND(IF(E25&lt;25,'Performance Standards'!$S$394*E25^3+'Performance Standards'!$S$395*E25^2+'Performance Standards'!$S$396*E25+'Performance Standards'!$S$397,'Performance Standards'!$T$394*E25^3+'Performance Standards'!$T$395*E25^2+'Performance Standards'!$T$396*E25+'Performance Standards'!$T$397),2))))</f>
        <v>1</v>
      </c>
      <c r="G25" s="467"/>
      <c r="H25" s="531"/>
      <c r="I25" s="460"/>
      <c r="J25" s="460"/>
      <c r="K25" s="460"/>
      <c r="L25" s="7"/>
      <c r="N25" s="6"/>
      <c r="O25" s="6"/>
    </row>
    <row r="26" spans="1:15" ht="15.5" x14ac:dyDescent="0.35">
      <c r="A26" s="478"/>
      <c r="B26" s="478"/>
      <c r="C26" s="61" t="s">
        <v>159</v>
      </c>
      <c r="D26" s="61"/>
      <c r="E26" s="147">
        <v>30</v>
      </c>
      <c r="F26" s="192">
        <f>IF(E26="","",IF(OR(E26&gt;=50,E26&lt;=0),0,IF(AND(E26&gt;=25,E26&lt;=36),1,ROUND(IF(E26&lt;25,'Performance Standards'!$S$394*E26^3+'Performance Standards'!$S$395*E26^2+'Performance Standards'!$S$396*E26+'Performance Standards'!$S$397,'Performance Standards'!$T$394*E26^3+'Performance Standards'!$T$395*E26^2+'Performance Standards'!$T$396*E26+'Performance Standards'!$T$397),2))))</f>
        <v>1</v>
      </c>
      <c r="G26" s="467"/>
      <c r="H26" s="531"/>
      <c r="I26" s="460"/>
      <c r="J26" s="460"/>
      <c r="K26" s="460"/>
      <c r="L26" s="7"/>
      <c r="N26" s="6"/>
      <c r="O26" s="6"/>
    </row>
    <row r="27" spans="1:15" ht="15.5" x14ac:dyDescent="0.35">
      <c r="A27" s="478"/>
      <c r="B27" s="479"/>
      <c r="C27" s="61" t="s">
        <v>298</v>
      </c>
      <c r="D27" s="68"/>
      <c r="E27" s="148">
        <v>5</v>
      </c>
      <c r="F27" s="256">
        <f>IF(E27="","",ROUND(IF(E27&lt;=2,0,IF(E27&gt;=9,1,E27^3*'Performance Standards'!S$430+E27^2*'Performance Standards'!$S$431+E27*'Performance Standards'!$S$432+'Performance Standards'!$S$433)),2))</f>
        <v>0.3</v>
      </c>
      <c r="G27" s="468"/>
      <c r="H27" s="531"/>
      <c r="I27" s="460"/>
      <c r="J27" s="460"/>
      <c r="K27" s="460"/>
      <c r="L27" s="7"/>
      <c r="N27" s="6"/>
      <c r="O27" s="6"/>
    </row>
    <row r="28" spans="1:15" ht="15.5" x14ac:dyDescent="0.35">
      <c r="A28" s="478"/>
      <c r="B28" s="59" t="s">
        <v>121</v>
      </c>
      <c r="C28" s="74" t="s">
        <v>160</v>
      </c>
      <c r="D28" s="61"/>
      <c r="E28" s="43"/>
      <c r="F28" s="191" t="str">
        <f>IF(E28="","",IF('Quantification Tool'!$B$13="Sand","NA",IF(E28&gt;0.1,1,IF(E28&lt;=0.01,0,ROUND(E28*'Performance Standards'!$S$464+'Performance Standards'!$S$465,2)))))</f>
        <v/>
      </c>
      <c r="G28" s="83" t="str">
        <f>IFERROR(AVERAGE(F28),"")</f>
        <v/>
      </c>
      <c r="H28" s="531"/>
      <c r="I28" s="460"/>
      <c r="J28" s="460"/>
      <c r="K28" s="460"/>
      <c r="L28" s="7"/>
      <c r="N28" s="6"/>
      <c r="O28" s="6"/>
    </row>
    <row r="29" spans="1:15" ht="15.5" x14ac:dyDescent="0.35">
      <c r="A29" s="478"/>
      <c r="B29" s="477" t="s">
        <v>49</v>
      </c>
      <c r="C29" s="67" t="s">
        <v>50</v>
      </c>
      <c r="D29" s="67"/>
      <c r="E29" s="160">
        <v>7</v>
      </c>
      <c r="F29" s="161">
        <f>IF(E29="","",IF('Quantification Tool'!$B$9="Bc",IF(OR(E29&gt;9.2,E29&lt;=0.1),0,IF(E29&lt;=4,1,ROUND('Performance Standards'!$S$598*E29^2+'Performance Standards'!$S$599*E29+'Performance Standards'!$S$600,2))),IF(OR('Quantification Tool'!$B$9="B",'Quantification Tool'!$B$9="Ba"),IF(OR(E29&gt;7.5,E29&lt;=0.1),0,IF(E29&lt;=3,1,ROUND(IF(E29&gt;4,'Performance Standards'!$S$567*E29+'Performance Standards'!$S$568,'Performance Standards'!$T$567*E29+'Performance Standards'!$T$568),2))),IF('Quantification Tool'!$B$9="Cb",IF(OR(E29&gt;=7.6,E29&lt;=2.4),0,IF(AND(E29&gt;=3.7,E29&lt;=5),1,ROUND(IF(E29&lt;4,'Performance Standards'!$S$534*E29^2+'Performance Standards'!$S$535*E29+'Performance Standards'!$S$536,'Performance Standards'!$T$534*E29^2+'Performance Standards'!$T$535*E29+'Performance Standards'!$T$536),2))),IF('Quantification Tool'!$B$9="C",IF(OR(E29&gt;9.3,E29&lt;=3),0,IF(AND(E29&gt;=4,E29&lt;=6),1,ROUND(IF(E29&lt;4,'Performance Standards'!$S$500*E29+'Performance Standards'!$S$501,'Performance Standards'!$T$500*E29+'Performance Standards'!$T$501),2))))))))</f>
        <v>0.7</v>
      </c>
      <c r="G29" s="466">
        <f>IFERROR(AVERAGE(F29:F32),"")</f>
        <v>0.9</v>
      </c>
      <c r="H29" s="531"/>
      <c r="I29" s="460"/>
      <c r="J29" s="460"/>
      <c r="K29" s="460"/>
      <c r="L29" s="7"/>
      <c r="N29" s="6"/>
      <c r="O29" s="6"/>
    </row>
    <row r="30" spans="1:15" ht="15.5" x14ac:dyDescent="0.35">
      <c r="A30" s="478"/>
      <c r="B30" s="478"/>
      <c r="C30" s="61" t="s">
        <v>51</v>
      </c>
      <c r="D30" s="61"/>
      <c r="E30" s="159">
        <v>3</v>
      </c>
      <c r="F30" s="85">
        <f>IF(E30="","",IF(E30&lt;=1.1,0,IF(E30&gt;=2.5,1,ROUND(IF(E30&lt;1.2,'Performance Standards'!$S$632*E30+'Performance Standards'!$S$633,'Performance Standards'!$T$631*E30^2+'Performance Standards'!$T$632*E30+'Performance Standards'!$T$633),2))))</f>
        <v>1</v>
      </c>
      <c r="G30" s="467"/>
      <c r="H30" s="531"/>
      <c r="I30" s="460"/>
      <c r="J30" s="460"/>
      <c r="K30" s="460"/>
      <c r="L30" s="7"/>
      <c r="N30" s="6"/>
      <c r="O30" s="6"/>
    </row>
    <row r="31" spans="1:15" ht="15.5" x14ac:dyDescent="0.35">
      <c r="A31" s="478"/>
      <c r="B31" s="478"/>
      <c r="C31" s="61" t="s">
        <v>52</v>
      </c>
      <c r="D31" s="61"/>
      <c r="E31" s="159">
        <v>50</v>
      </c>
      <c r="F31" s="245">
        <f>IF(E31="","",IF('Quantification Tool'!$B$11="Volcanic Mountains &amp; Valleys", IF(OR(E31&gt;95,E31&lt;58),0,IF(AND(E31&gt;=73,E31&lt;=80),1, ROUND(IF(E31&lt;73,'Performance Standards'!$S$665*E31^2+'Performance Standards'!$S$666*E31+'Performance Standards'!$S$667, 'Performance Standards'!$T$665*E31^2+'Performance Standards'!$T$666*E31+'Performance Standards'!$T$667),2))), IF('Quantification Tool'!$B$16="","Need Slope",IF('Quantification Tool'!$B$16&lt;3,IF( OR(E31&gt;73,E31&lt;37),0, IF(AND(E31&gt;=50,E31&lt;= 60), 1, ROUND(IF(E31&lt;50,'Performance Standards'!$S$699*E31^2+'Performance Standards'!$S$700*E31+'Performance Standards'!$S$701, IF(E31&gt;60,'Performance Standards'!$T$699*E31^2+'Performance Standards'!$T$700*E31+'Performance Standards'!$T$701)),2))), IF('Quantification Tool'!$B$16&gt;=3,IF(OR(E31&gt;88,E31&lt;57),0, IF(AND(E31 &gt;=70, E31&lt;=76),1, ROUND(IF(E31&lt;70,'Performance Standards'!$S$734*E31^2+'Performance Standards'!$S$735*E31+'Performance Standards'!$S$736,'Performance Standards'!$T$734*E31^2+'Performance Standards'!$T$735*E31+'Performance Standards'!$T$736),2) )))))))</f>
        <v>1</v>
      </c>
      <c r="G31" s="467"/>
      <c r="H31" s="531"/>
      <c r="I31" s="460"/>
      <c r="J31" s="460"/>
      <c r="K31" s="460"/>
      <c r="L31" s="7"/>
      <c r="N31" s="6"/>
      <c r="O31" s="6"/>
    </row>
    <row r="32" spans="1:15" ht="15.5" x14ac:dyDescent="0.35">
      <c r="A32" s="478"/>
      <c r="B32" s="479"/>
      <c r="C32" s="66" t="s">
        <v>248</v>
      </c>
      <c r="D32" s="68"/>
      <c r="E32" s="154"/>
      <c r="F32" s="248" t="str">
        <f>IF(E32="","",IF(E32&gt;=1.6,0,IF(E32&lt;=1,1,ROUND('Performance Standards'!$S$766*E32^3+'Performance Standards'!$S$767*E32^2+'Performance Standards'!$S$768*E32+'Performance Standards'!$S$769,2))))</f>
        <v/>
      </c>
      <c r="G32" s="468"/>
      <c r="H32" s="531"/>
      <c r="I32" s="460"/>
      <c r="J32" s="460"/>
      <c r="K32" s="460"/>
      <c r="L32" s="7"/>
      <c r="N32" s="6"/>
      <c r="O32" s="6"/>
    </row>
    <row r="33" spans="1:15" ht="15.5" x14ac:dyDescent="0.35">
      <c r="A33" s="479"/>
      <c r="B33" s="424" t="s">
        <v>54</v>
      </c>
      <c r="C33" s="68" t="s">
        <v>53</v>
      </c>
      <c r="D33" s="68"/>
      <c r="E33" s="148">
        <v>1.2</v>
      </c>
      <c r="F33" s="70">
        <f>IF(E33="","",IF('Quantification Tool'!$B$9="E",IF(OR(E33&gt;2,E33&lt;1.2),0, IF(AND(E33&gt;=1.6, E33&lt;=1.7),1, ROUND(IF(E33&lt;1.3,E33*'Performance Standards'!S$803+'Performance Standards'!S$804,IF(E33&lt;=1.6,E33*'Performance Standards'!T$803+'Performance Standards'!T$804, E33^2*'Performance Standards'!U$802+E33*'Performance Standards'!U$803+'Performance Standards'!$U$804)),2))),IF(LEFT('Quantification Tool'!$B$9,1)="C",IF(OR(E33&lt;1.15, E33&gt;1.5),0, IF(AND(E33&lt;=1.35,E33&gt;=1.25),1,ROUND(IF(E33&lt;1.25,E33^2*'Performance Standards'!$S$836+E33*'Performance Standards'!$S$837+'Performance Standards'!$S$838, E33^2*'Performance Standards'!$T$836+E33*'Performance Standards'!$T$837+'Performance Standards'!$T$838),2))),IF(LEFT('Quantification Tool'!$B$9,1)="B",IF(OR(E33&gt;1.4,E33&lt;1),0, IF(AND(E33&gt;=1.15,E33&lt;=1.25),1, ROUND(IF(E33&lt;=1.15,E33^2*'Performance Standards'!$S$867+E33*'Performance Standards'!$S$868+'Performance Standards'!$S$869,E33^2*'Performance Standards'!$T$867+E33*'Performance Standards'!$T$868+'Performance Standards'!$T$869),2)))))))</f>
        <v>0.7</v>
      </c>
      <c r="G33" s="85">
        <f>IFERROR(AVERAGE(F33),"")</f>
        <v>0.7</v>
      </c>
      <c r="H33" s="531"/>
      <c r="I33" s="460"/>
      <c r="J33" s="460"/>
      <c r="K33" s="460"/>
      <c r="L33" s="7"/>
      <c r="N33" s="6"/>
      <c r="O33" s="6"/>
    </row>
    <row r="34" spans="1:15" ht="15.5" x14ac:dyDescent="0.35">
      <c r="A34" s="453" t="s">
        <v>58</v>
      </c>
      <c r="B34" s="453" t="s">
        <v>93</v>
      </c>
      <c r="C34" s="182" t="s">
        <v>272</v>
      </c>
      <c r="D34" s="71"/>
      <c r="E34" s="147"/>
      <c r="F34" s="178" t="str">
        <f>IF(E34="","",IF('Quantification Tool'!$B$18="","Enter Stream Temperature",IF('Quantification Tool'!$B$18="Tier I (Cold) ",IF(E34&gt;=24.6,0,IF(E34&lt;=15.5,1,ROUND(E34*'Performance Standards'!$AB$19+'Performance Standards'!$AB$20,2))),IF('Quantification Tool'!$B$18="Tier II (Cold-Cool)",IF(E34&gt;=27.8,0,IF(E34&lt;=15.6,1,ROUND(E34*'Performance Standards'!$AC$19+'Performance Standards'!$AC$20,2))),IF('Quantification Tool'!$B$18="Tier III (Cool) ",IF(E34&gt;=32.4,0,IF(E34&lt;=17.8,1,ROUND(E34*'Performance Standards'!$AD$19+'Performance Standards'!$AD$20,2))),IF('Quantification Tool'!$B$18="Tier IV (Cool-Warm)",IF(E34&gt;=34.6,0,IF(E34&lt;=20,1,ROUND(E34*'Performance Standards'!$AE$19+'Performance Standards'!$AE$20,2))),IF('Quantification Tool'!$B$18="Tier V (Warm)",IF(E34&gt;35.4,0,IF(E34&lt;=24.6,1,ROUND(E34*'Performance Standards'!$AF$19+'Performance Standards'!$AF$20,2))))))))))</f>
        <v/>
      </c>
      <c r="G34" s="455">
        <f>IFERROR(IF(E34="",F35,IF(E35="",F34,MIN(F34:F35))),"")</f>
        <v>0.61</v>
      </c>
      <c r="H34" s="455">
        <f>IFERROR(ROUND(AVERAGE(G34:G36),2),"")</f>
        <v>0.47</v>
      </c>
      <c r="I34" s="459" t="str">
        <f>IF(H34="","",IF(H34&gt;0.69,"Functioning",IF(H34&gt;0.29,"Functioning At Risk",IF(H34&gt;-1,"Not Functioning"))))</f>
        <v>Functioning At Risk</v>
      </c>
      <c r="J34" s="460"/>
      <c r="K34" s="460"/>
      <c r="L34" s="7"/>
      <c r="N34" s="6"/>
      <c r="O34" s="6"/>
    </row>
    <row r="35" spans="1:15" ht="15.5" x14ac:dyDescent="0.35">
      <c r="A35" s="469"/>
      <c r="B35" s="454"/>
      <c r="C35" s="183" t="s">
        <v>273</v>
      </c>
      <c r="D35" s="71"/>
      <c r="E35" s="147">
        <v>17</v>
      </c>
      <c r="F35" s="179">
        <f>IF(E35="","",IF('Quantification Tool'!$B$18="","Enter Stream Temperature",IF('Quantification Tool'!$B$18="Tier I (Cold) ",IF(E35&gt;=19.3,0,IF(E35&lt;=15.5,1,ROUND(E35*'Performance Standards'!$AB$55+'Performance Standards'!$AB$56,2))),IF('Quantification Tool'!$B$18="Tier II (Cold-Cool)",IF(E35&gt;=21,0,IF(E35&lt;=15.6,1,ROUND(E35*'Performance Standards'!$AC$55+'Performance Standards'!$AC$56,2))),IF('Quantification Tool'!$B$18="Tier III (Cool) ",IF(E35&gt;=24,0,IF(E35&lt;=17.8,1,ROUND(E35*'Performance Standards'!$AD$55+'Performance Standards'!$AD$56,2))),IF('Quantification Tool'!$B$18="Tier IV (Cool-Warm)",IF(E35&gt;=28.8,0,IF(E35&lt;=20,1,ROUND(E35*'Performance Standards'!$AE$55+'Performance Standards'!$AE$56,2))),IF('Quantification Tool'!$B$18="Tier V (Warm)",IF(E35&gt;=31,0,IF(E35&lt;=24.5,1,ROUND(E35*'Performance Standards'!$AF$55+'Performance Standards'!$AF$56,2))))))))))</f>
        <v>0.61</v>
      </c>
      <c r="G35" s="456"/>
      <c r="H35" s="535"/>
      <c r="I35" s="459"/>
      <c r="J35" s="460"/>
      <c r="K35" s="460"/>
      <c r="L35" s="7"/>
      <c r="N35" s="6"/>
      <c r="O35" s="6"/>
    </row>
    <row r="36" spans="1:15" ht="15.5" x14ac:dyDescent="0.35">
      <c r="A36" s="454"/>
      <c r="B36" s="243" t="s">
        <v>297</v>
      </c>
      <c r="C36" s="75" t="s">
        <v>238</v>
      </c>
      <c r="D36" s="72"/>
      <c r="E36" s="43">
        <v>50</v>
      </c>
      <c r="F36" s="163">
        <f>IF(E36="","",IF(OR('Quantification Tool'!$B$10="Basin",'Quantification Tool'!$B$10="Plains"),IF(E36&gt;=150,0,IF(E36&lt;21,1,ROUND('Performance Standards'!$AB$87*LN(E36)+'Performance Standards'!$AB$88,2))),IF(E36&gt;=97,0,IF(E36&lt;=13,1,ROUND('Performance Standards'!$AB$120*LN(E36)+'Performance Standards'!$AB$121,2)))))</f>
        <v>0.33</v>
      </c>
      <c r="G36" s="87">
        <f>IFERROR(AVERAGE(F36),"")</f>
        <v>0.33</v>
      </c>
      <c r="H36" s="456"/>
      <c r="I36" s="459"/>
      <c r="J36" s="460"/>
      <c r="K36" s="460"/>
      <c r="L36" s="7"/>
      <c r="O36" s="6"/>
    </row>
    <row r="37" spans="1:15" ht="15.5" x14ac:dyDescent="0.35">
      <c r="A37" s="482" t="s">
        <v>59</v>
      </c>
      <c r="B37" s="457" t="s">
        <v>73</v>
      </c>
      <c r="C37" s="112" t="s">
        <v>217</v>
      </c>
      <c r="D37" s="113"/>
      <c r="E37" s="115">
        <v>0.3</v>
      </c>
      <c r="F37" s="153">
        <f>IF(E37="","",IF('Quantification Tool'!$B$11="","Enter Bioregion",IF('Quantification Tool'!$B$11="Wyoming Basin",IF(E37&lt;0.26,0,IF(E37&gt;0.94,1,ROUND('Performance Standards'!$AK$18*E37+'Performance Standards'!$AK$19,2))), IF('Quantification Tool'!$B$11="Black Hills",IF(E37&lt;0.2,0,IF(E37&gt;0.98,1,ROUND('Performance Standards'!$AL$18*E37+'Performance Standards'!$AL$19,2))), IF('Quantification Tool'!$B$11="High Valleys",IF(E37&lt;0.23,0,IF(E37&gt;0.95,1,ROUND('Performance Standards'!$AM$18*E37+'Performance Standards'!$AM$19,2))), IF('Quantification Tool'!$B$11="Sedimentary Mountains",IF(E37&lt;=0.23,0,IF(E37&gt;=1,1,ROUND('Performance Standards'!$AN$18*E37+'Performance Standards'!$AN$19,2))), IF('Quantification Tool'!$B$11="Southern Rockies",IF(E37&lt;0.07,0,IF(E37&gt;0.96,1,ROUND('Performance Standards'!$AK$54*E37+'Performance Standards'!$AK$55,2))), IF('Quantification Tool'!$B$11="SE Plains",IF(E37&lt;0.2,0,IF(E37&gt;0.95,1,ROUND('Performance Standards'!$AL$54*E37+'Performance Standards'!$AL$55,2))), IF('Quantification Tool'!$B$11="NE Plains",IF(E37&lt;0.2,0,IF(E37&gt;0.94,1,ROUND('Performance Standards'!$AM$54*E37+'Performance Standards'!$AM$55,2))),IF('Quantification Tool'!$B$11="Granitic Mountains",IF(E37&lt;0.45,0,IF(E37&gt;=1,1,ROUND('Performance Standards'!$AK$92*E37+'Performance Standards'!$AK$93,2))),IF('Quantification Tool'!$B$11="Bighorn Basin Foothills",IF(E37&lt;=0.1,0,IF(E37&gt;=1,1,ROUND('Performance Standards'!$AL$92*E37+'Performance Standards'!$AL$93,2))),IF('Quantification Tool'!$B$11="Volcanic Mountains &amp; Valleys",IF(E37&lt;0.35,0,IF(E37&gt;=1,1,ROUND('Performance Standards'!$AN$92*E37+'Performance Standards'!$AN$93,2))), IF('Quantification Tool'!$B$11="Southern Foothills &amp; Laramie Range",IF(E37&lt;0.3,0,IF(E37&gt;=1,1,ROUND('Performance Standards'!$AM$92*E37+'Performance Standards'!$AM$93,2))) )))))))))))))</f>
        <v>0.16</v>
      </c>
      <c r="G37" s="473">
        <f>IFERROR(IF(AND(F37="",F38=""),"",IF(OR(F37="",F38=""),AVERAGE(F37:F38),IF(OR(F37&lt;0.3,F38&lt;0.3),IF(OR(F37&gt;=0.7,F38&gt;=0.7),MIN(0.69,AVERAGE(F37:F38)),MIN(0.29,AVERAGE(F37:F38))), IF(OR(F37&gt;=0.7,F38&gt;=0.7),IF(AVERAGE(F37:F38)&lt;0.7,0.7,AVERAGE(F37:F38)),AVERAGE(F37:F38))))),"")</f>
        <v>0.08</v>
      </c>
      <c r="H37" s="485">
        <f>IFERROR(ROUND(AVERAGE(G37:G41),2),"")</f>
        <v>0.31</v>
      </c>
      <c r="I37" s="459" t="str">
        <f>IF(H37="","",IF(H37&gt;0.69,"Functioning",IF(H37&gt;0.29,"Functioning At Risk",IF(H37&gt;-1,"Not Functioning"))))</f>
        <v>Functioning At Risk</v>
      </c>
      <c r="J37" s="460"/>
      <c r="K37" s="460"/>
      <c r="L37" s="7"/>
      <c r="O37" s="6"/>
    </row>
    <row r="38" spans="1:15" ht="15.5" x14ac:dyDescent="0.35">
      <c r="A38" s="483"/>
      <c r="B38" s="458"/>
      <c r="C38" s="249" t="s">
        <v>218</v>
      </c>
      <c r="D38" s="250"/>
      <c r="E38" s="154">
        <v>0.2</v>
      </c>
      <c r="F38" s="88">
        <f>IF(E38="","",IF('Quantification Tool'!$B$11="","Enter Bioregion",IF('Quantification Tool'!$B$11="Wyoming Basin",IF(E38&lt;0.34,0,IF(E38&gt;0.96,1,ROUND('Performance Standards'!$AK$128*E38+'Performance Standards'!$AK$129,2))), IF('Quantification Tool'!$B$11="Black Hills",IF(E38&lt;0.36,0,IF(E38&gt;=1,1,ROUND('Performance Standards'!$AL$128*E38+'Performance Standards'!$AL$129,2))), IF('Quantification Tool'!$B$11="High Valleys",IF(E38&lt;0.38,0,IF(E38&gt;0.98,1,ROUND('Performance Standards'!$AM$128*E38+'Performance Standards'!$AM$129,2))), IF('Quantification Tool'!$B$11="Sedimentary Mountains",IF(E38&lt;0.36,0,IF(E38&gt;0.97,1,ROUND('Performance Standards'!$AN$128*E38+'Performance Standards'!$AN$129,2))), IF('Quantification Tool'!$B$11="Southern Rockies",IF(E38&lt;0.25,0,IF(E38&gt;=1,1,ROUND('Performance Standards'!$AK$165*E38+'Performance Standards'!$AK$166,2))), IF('Quantification Tool'!$B$11="SE Plains",IF(E38&lt;0.33,0,IF(E38&gt;0.95,1,ROUND('Performance Standards'!$AL$165*E38+'Performance Standards'!$AL$166,2))), IF('Quantification Tool'!$B$11="NE Plains",IF(E38&lt;0.35,0,IF(E38&gt;0.98,1,ROUND('Performance Standards'!$AM$165*E38+'Performance Standards'!$AM$166,2))),IF('Quantification Tool'!$B$11="Granitic Mountains",IF(E38&lt;0.5,0,IF(E38&gt;0.98,1,ROUND('Performance Standards'!$AK$202*E38+'Performance Standards'!$AK$203,2))),IF('Quantification Tool'!$B$11="Bighorn Basin Foothills",IF(E38&lt;0.48,0,IF(E38&gt;=1,1,ROUND('Performance Standards'!$AL$202*E38+'Performance Standards'!$AL$203,2))),IF('Quantification Tool'!$B$11="Volcanic Mountains &amp; Valleys",IF(E38&lt;=0.2,0,IF(E38&gt;=1,1,ROUND('Performance Standards'!$AN$202*E38+'Performance Standards'!$AN$203,2))), IF('Quantification Tool'!$B$11="Southern Foothills &amp; Laramie Range",IF(E38&lt;0.28,0,IF(E38&gt;=1,1,ROUND('Performance Standards'!$AM$202*E38+'Performance Standards'!$AM$203,2))) )))))))))))))</f>
        <v>0</v>
      </c>
      <c r="G38" s="475"/>
      <c r="H38" s="485"/>
      <c r="I38" s="459"/>
      <c r="J38" s="460"/>
      <c r="K38" s="460"/>
      <c r="L38" s="7"/>
      <c r="O38" s="6"/>
    </row>
    <row r="39" spans="1:15" ht="15.5" x14ac:dyDescent="0.35">
      <c r="A39" s="483"/>
      <c r="B39" s="457" t="s">
        <v>85</v>
      </c>
      <c r="C39" s="180" t="s">
        <v>264</v>
      </c>
      <c r="D39" s="113"/>
      <c r="E39" s="160">
        <v>80</v>
      </c>
      <c r="F39" s="172">
        <f>IF(E39="","",IF(E39&lt;58,0,IF(E39&gt;=100,1,ROUND(E39*'Performance Standards'!$AK$240+'Performance Standards'!$AK$241,2))))</f>
        <v>0.37</v>
      </c>
      <c r="G39" s="473">
        <f>IFERROR(AVERAGE(F39:F41),"")</f>
        <v>0.53</v>
      </c>
      <c r="H39" s="485"/>
      <c r="I39" s="459"/>
      <c r="J39" s="460"/>
      <c r="K39" s="460"/>
      <c r="L39" s="7"/>
      <c r="O39" s="6"/>
    </row>
    <row r="40" spans="1:15" ht="15.5" x14ac:dyDescent="0.35">
      <c r="A40" s="483"/>
      <c r="B40" s="476"/>
      <c r="C40" s="181" t="s">
        <v>265</v>
      </c>
      <c r="D40" s="250"/>
      <c r="E40" s="159">
        <v>2</v>
      </c>
      <c r="F40" s="172">
        <f>IF(E40="","",ROUND(IF(E40&gt;=3,0,IF(E40&lt;=1,1,0.69)),2))</f>
        <v>0.69</v>
      </c>
      <c r="G40" s="474"/>
      <c r="H40" s="485"/>
      <c r="I40" s="459"/>
      <c r="J40" s="460"/>
      <c r="K40" s="460"/>
      <c r="L40" s="7"/>
      <c r="O40" s="6"/>
    </row>
    <row r="41" spans="1:15" ht="15.5" x14ac:dyDescent="0.35">
      <c r="A41" s="484"/>
      <c r="B41" s="458"/>
      <c r="C41" s="114" t="s">
        <v>266</v>
      </c>
      <c r="D41" s="73"/>
      <c r="E41" s="154"/>
      <c r="F41" s="88" t="str">
        <f>IF(E41="","",IF('Quantification Tool'!$B$21="","Enter Stream Producitvity Rating",IF('Quantification Tool'!$B$21="Blue Ribbon and non-trout",IF(E41&lt;5,0,IF(E41&gt;=40,1,ROUND(E41*'Performance Standards'!$AK$316+'Performance Standards'!$AK$317,2))),IF('Quantification Tool'!$B$21="Red Ribbon",IF(E41&lt;10,0,IF(E41&gt;=80,1,ROUND(E41*'Performance Standards'!$AL$316+'Performance Standards'!$AL$317,2))),IF('Quantification Tool'!$B$21="Yellow Ribbon",IF(E41&lt;15,0,IF(E41&gt;=119,1,ROUND(E41*'Performance Standards'!$AM$316+'Performance Standards'!$AM$317,2))),IF('Quantification Tool'!$B$21="Green Ribbon",IF(E41&lt;20,0,IF(E41&gt;=160,1,ROUND(E41*'Performance Standards'!$AN$316+'Performance Standards'!$AN$317,2)))))))))</f>
        <v/>
      </c>
      <c r="G41" s="475"/>
      <c r="H41" s="485"/>
      <c r="I41" s="459"/>
      <c r="J41" s="460"/>
      <c r="K41" s="460"/>
      <c r="L41" s="7"/>
    </row>
    <row r="42" spans="1:15" x14ac:dyDescent="0.35">
      <c r="J42" s="2"/>
      <c r="K42" s="2"/>
      <c r="L42" s="7"/>
    </row>
    <row r="43" spans="1:15" x14ac:dyDescent="0.35">
      <c r="J43" s="2"/>
      <c r="K43" s="2"/>
      <c r="L43" s="7"/>
    </row>
    <row r="44" spans="1:15" ht="21" x14ac:dyDescent="0.5">
      <c r="A44" s="134" t="s">
        <v>165</v>
      </c>
      <c r="B44" s="577">
        <v>1</v>
      </c>
      <c r="C44" s="577"/>
      <c r="D44" s="577"/>
      <c r="E44" s="577"/>
      <c r="F44" s="578"/>
      <c r="G44" s="463" t="s">
        <v>16</v>
      </c>
      <c r="H44" s="464"/>
      <c r="I44" s="464"/>
      <c r="J44" s="464"/>
      <c r="K44" s="465"/>
      <c r="L44" s="7"/>
    </row>
    <row r="45" spans="1:15" ht="15.5" x14ac:dyDescent="0.35">
      <c r="A45" s="145" t="s">
        <v>1</v>
      </c>
      <c r="B45" s="145" t="s">
        <v>2</v>
      </c>
      <c r="C45" s="461" t="s">
        <v>3</v>
      </c>
      <c r="D45" s="576"/>
      <c r="E45" s="145" t="s">
        <v>14</v>
      </c>
      <c r="F45" s="145" t="s">
        <v>15</v>
      </c>
      <c r="G45" s="145" t="s">
        <v>17</v>
      </c>
      <c r="H45" s="145" t="s">
        <v>18</v>
      </c>
      <c r="I45" s="145" t="s">
        <v>18</v>
      </c>
      <c r="J45" s="145" t="s">
        <v>19</v>
      </c>
      <c r="K45" s="50" t="s">
        <v>19</v>
      </c>
    </row>
    <row r="46" spans="1:15" ht="15.5" x14ac:dyDescent="0.35">
      <c r="A46" s="493" t="s">
        <v>63</v>
      </c>
      <c r="B46" s="244" t="s">
        <v>100</v>
      </c>
      <c r="C46" s="52" t="s">
        <v>101</v>
      </c>
      <c r="D46" s="52"/>
      <c r="E46" s="147" t="s">
        <v>455</v>
      </c>
      <c r="F46" s="251">
        <f>IF(E46="","",IF(E46="G1",0.8,IF(E46="G2",0.9,IF(E46="G3",1,IF(E46="F1",0.4,IF(E46="F2",0.5,IF(E46="F3",0.6,IF(E46="P1",0.1,IF(E46="P2",0.2,IF(E46="P3",0.3,))))))))))</f>
        <v>0.9</v>
      </c>
      <c r="G46" s="84">
        <f>IFERROR(AVERAGE(F46),"")</f>
        <v>0.9</v>
      </c>
      <c r="H46" s="499">
        <f>IFERROR(ROUND(AVERAGE(G46:G50),2),"")</f>
        <v>0.88</v>
      </c>
      <c r="I46" s="459" t="str">
        <f>IF(H46="","",IF(H46&gt;0.69,"Functioning",IF(H46&gt;0.29,"Functioning At Risk",IF(H46&gt;-1,"Not Functioning"))))</f>
        <v>Functioning</v>
      </c>
      <c r="J46" s="460">
        <f>IF(AND(H46="",H51="",H53="",H77="",H80=""),"",(IF(H46="",0,H46)*0.2)+(IF(H51="",0,H51)*0.2)+(IF(H53="",0,H53)*0.3)+(IF(H77="",0,H77)*0.15)+(IF(H80="",0,H80)*0.15))</f>
        <v>0.70500000000000007</v>
      </c>
      <c r="K46" s="460" t="str">
        <f>IF(J46="","",IF(J46&lt;0.3, "Not Functioning",IF(OR(H46&lt;0.7,H51&lt;0.7,H53&lt;0.7,H77&lt;0.7,H80&lt;0.7),"Functioning At Risk",IF(J46&lt;0.7,"Functioning At Risk","Functioning"))))</f>
        <v>Functioning At Risk</v>
      </c>
    </row>
    <row r="47" spans="1:15" ht="15.5" x14ac:dyDescent="0.35">
      <c r="A47" s="494"/>
      <c r="B47" s="493" t="s">
        <v>146</v>
      </c>
      <c r="C47" s="118" t="s">
        <v>147</v>
      </c>
      <c r="D47" s="117"/>
      <c r="E47" s="115">
        <v>60</v>
      </c>
      <c r="F47" s="251">
        <f>IF(E47="","",IF('Quantification Tool'!$B$20="Forested",IF(E47&gt;71,0,IF(E47&lt;=41,1,ROUND(E47^2*'Performance Standards'!$C$16+E47*'Performance Standards'!$C$17+'Performance Standards'!$C$18,2))),IF('Quantification Tool'!$B$20="Scrub-Shrub",IF(E47&gt;59.6,0,IF(E47&lt;=35,1,ROUND(E47^2*'Performance Standards'!$D$16+E47*'Performance Standards'!$D$17+'Performance Standards'!$D$18,2))),IF('Quantification Tool'!$B$20="Herbaceous",IF(E47&gt;85,0,IF(E47&lt;=62,1,ROUND(E47^2*'Performance Standards'!$E$16+E47*'Performance Standards'!$E$17+'Performance Standards'!$E$18,2)))))))</f>
        <v>0.73</v>
      </c>
      <c r="G47" s="470">
        <f>IFERROR(AVERAGE(F47:F49),"")</f>
        <v>0.86499999999999999</v>
      </c>
      <c r="H47" s="500"/>
      <c r="I47" s="459"/>
      <c r="J47" s="460"/>
      <c r="K47" s="460"/>
    </row>
    <row r="48" spans="1:15" ht="15.5" x14ac:dyDescent="0.35">
      <c r="A48" s="494"/>
      <c r="B48" s="494"/>
      <c r="C48" s="119" t="s">
        <v>148</v>
      </c>
      <c r="D48" s="52"/>
      <c r="E48" s="147">
        <v>0</v>
      </c>
      <c r="F48" s="252">
        <f>IF(E48="","",IF(E48&gt;3,0,IF(E48=0,1,ROUND('Performance Standards'!C$49*E48+'Performance Standards'!C$50,2))))</f>
        <v>1</v>
      </c>
      <c r="G48" s="471"/>
      <c r="H48" s="500"/>
      <c r="I48" s="459"/>
      <c r="J48" s="460"/>
      <c r="K48" s="460"/>
    </row>
    <row r="49" spans="1:11" ht="15.5" x14ac:dyDescent="0.35">
      <c r="A49" s="494"/>
      <c r="B49" s="512"/>
      <c r="C49" s="120" t="s">
        <v>149</v>
      </c>
      <c r="D49" s="54"/>
      <c r="E49" s="148"/>
      <c r="F49" s="253" t="str">
        <f>IF(E49="","",IF('Quantification Tool'!$B$19="Sandy",IF(E49&gt;1.94,0,IF(E49&lt;1.45,1,ROUND(E49*'Performance Standards'!$C$85+'Performance Standards'!$C$86,2))),IF('Quantification Tool'!$B$19="Silty",IF(E49&gt;1.83,0,IF(E49&lt;1.21,1,ROUND(E49*'Performance Standards'!$D$85+'Performance Standards'!$D$86,2))),IF('Quantification Tool'!$B$19="Clayey",IF(E49&gt;1.74,0,IF(E49&lt;0.82,1,ROUND(E49*'Performance Standards'!$E$85+'Performance Standards'!$E$86,2)))))))</f>
        <v/>
      </c>
      <c r="G49" s="472"/>
      <c r="H49" s="500"/>
      <c r="I49" s="459"/>
      <c r="J49" s="460"/>
      <c r="K49" s="460"/>
    </row>
    <row r="50" spans="1:11" ht="15.5" x14ac:dyDescent="0.35">
      <c r="A50" s="512"/>
      <c r="B50" s="156" t="s">
        <v>170</v>
      </c>
      <c r="C50" s="513" t="s">
        <v>285</v>
      </c>
      <c r="D50" s="579"/>
      <c r="E50" s="174"/>
      <c r="F50" s="253" t="str">
        <f>IF(E50="","",IF(OR(E50&gt;=2,E50&lt;=0.6),0,IF(AND(E50&gt;=1,E50&lt;=1.1),1,ROUND(IF(E50&lt;1,'Performance Standards'!$C$121*E50^2+'Performance Standards'!$C$122*E50+'Performance Standards'!$C$123,'Performance Standards'!$D$121*E50^2+'Performance Standards'!$D$122*E50+'Performance Standards'!$D$123),2))))</f>
        <v/>
      </c>
      <c r="G50" s="247" t="str">
        <f>IFERROR(F50,"")</f>
        <v/>
      </c>
      <c r="H50" s="500"/>
      <c r="I50" s="459"/>
      <c r="J50" s="460"/>
      <c r="K50" s="460"/>
    </row>
    <row r="51" spans="1:11" ht="15.5" x14ac:dyDescent="0.35">
      <c r="A51" s="524" t="s">
        <v>6</v>
      </c>
      <c r="B51" s="524" t="s">
        <v>7</v>
      </c>
      <c r="C51" s="55" t="s">
        <v>8</v>
      </c>
      <c r="D51" s="55"/>
      <c r="E51" s="147">
        <v>1</v>
      </c>
      <c r="F51" s="254">
        <f>IF(E51="","",ROUND(IF(E51&gt;1.6,0,IF(E51&lt;=1,1,E51^2*'Performance Standards'!K$14+E51*'Performance Standards'!K$15+'Performance Standards'!K$16)),2))</f>
        <v>1</v>
      </c>
      <c r="G51" s="526">
        <f>IFERROR(AVERAGE(F51:F52),"")</f>
        <v>0.88500000000000001</v>
      </c>
      <c r="H51" s="526">
        <f>IFERROR(ROUND(AVERAGE(G51:G52),2),"")</f>
        <v>0.89</v>
      </c>
      <c r="I51" s="533" t="str">
        <f>IF(H51="","",IF(H51&gt;0.69,"Functioning",IF(H51&gt;0.29,"Functioning At Risk",IF(H51&gt;-1,"Not Functioning"))))</f>
        <v>Functioning</v>
      </c>
      <c r="J51" s="460"/>
      <c r="K51" s="460"/>
    </row>
    <row r="52" spans="1:11" ht="15.5" x14ac:dyDescent="0.35">
      <c r="A52" s="525"/>
      <c r="B52" s="525"/>
      <c r="C52" s="57" t="s">
        <v>9</v>
      </c>
      <c r="D52" s="57"/>
      <c r="E52" s="148">
        <v>3</v>
      </c>
      <c r="F52" s="255">
        <f>IF(E52="","",IF(OR('Quantification Tool'!$B$9="A",'Quantification Tool'!$B$9="Ba",'Quantification Tool'!$B$9="B", 'Quantification Tool'!$B$9="Bc"),IF(E52&lt;1.2,0,IF(E52&gt;=2.2,1,ROUND(IF(E52&lt;1.4,E52*'Performance Standards'!$K$84+'Performance Standards'!$K$85,E52*'Performance Standards'!$L$84+'Performance Standards'!$L$85),2))),IF(OR('Quantification Tool'!$B$9="C",'Quantification Tool'!$B$9="Cb",'Quantification Tool'!$B$9="E"),IF(E52&lt;2,0,IF(E52&gt;=5,1,ROUND(IF(E52&lt;2.4,E52*'Performance Standards'!$L$49+'Performance Standards'!$L$50,E52*'Performance Standards'!$K$49+'Performance Standards'!$K$50),2))))))</f>
        <v>0.77</v>
      </c>
      <c r="G52" s="527"/>
      <c r="H52" s="532"/>
      <c r="I52" s="534"/>
      <c r="J52" s="460"/>
      <c r="K52" s="460"/>
    </row>
    <row r="53" spans="1:11" ht="15.5" x14ac:dyDescent="0.35">
      <c r="A53" s="477" t="s">
        <v>23</v>
      </c>
      <c r="B53" s="477" t="s">
        <v>24</v>
      </c>
      <c r="C53" s="64" t="s">
        <v>22</v>
      </c>
      <c r="D53" s="67"/>
      <c r="E53" s="115">
        <v>300</v>
      </c>
      <c r="F53" s="246">
        <f>IF(E53="","",IF(E53&gt;600,1,IF(E53&lt;300,ROUND('Performance Standards'!$S$15*(E53^2)+'Performance Standards'!$S$16*E53+'Performance Standards'!$S$17,2),ROUND('Performance Standards'!$T$16*E53+'Performance Standards'!$T$17,2))))</f>
        <v>0.7</v>
      </c>
      <c r="G53" s="466">
        <f>IFERROR(AVERAGE(F53:F54),"")</f>
        <v>0.7</v>
      </c>
      <c r="H53" s="531">
        <f>IFERROR(ROUND(AVERAGE(G53:G76),2),"")</f>
        <v>0.72</v>
      </c>
      <c r="I53" s="460" t="str">
        <f>IF(H53="","",IF(H53&gt;0.69,"Functioning",IF(H53&gt;0.29,"Functioning At Risk",IF(H53&gt;-1,"Not Functioning"))))</f>
        <v>Functioning</v>
      </c>
      <c r="J53" s="460"/>
      <c r="K53" s="460"/>
    </row>
    <row r="54" spans="1:11" ht="15.5" x14ac:dyDescent="0.35">
      <c r="A54" s="478"/>
      <c r="B54" s="479"/>
      <c r="C54" s="66" t="s">
        <v>357</v>
      </c>
      <c r="D54" s="68"/>
      <c r="E54" s="148"/>
      <c r="F54" s="192" t="str">
        <f>IF(E54="","",IF(E54&lt;=0,0,IF(E54&gt;=30,1,ROUND(IF(E54&lt;=15,'Performance Standards'!$S$49*E54^2+'Performance Standards'!$S$50*E54,'Performance Standards'!$T$50*E54+'Performance Standards'!$T$51),2))))</f>
        <v/>
      </c>
      <c r="G54" s="468"/>
      <c r="H54" s="531"/>
      <c r="I54" s="460"/>
      <c r="J54" s="460"/>
      <c r="K54" s="460"/>
    </row>
    <row r="55" spans="1:11" ht="15.5" x14ac:dyDescent="0.35">
      <c r="A55" s="478"/>
      <c r="B55" s="478" t="s">
        <v>46</v>
      </c>
      <c r="C55" s="61" t="s">
        <v>91</v>
      </c>
      <c r="D55" s="61"/>
      <c r="E55" s="115"/>
      <c r="F55" s="238" t="str">
        <f>IF(E55="","",ROUND(IF(E55&gt;0.7,0,IF(E55&lt;=0.1,1,E55^3*'Performance Standards'!S$83+E55^2*'Performance Standards'!S$84+E55*'Performance Standards'!S$85+'Performance Standards'!S$86)),2))</f>
        <v/>
      </c>
      <c r="G55" s="467">
        <f>IFERROR(IF(E55="",AVERAGE(F56:F57),IF(E56="",F55,MAX(F55,AVERAGE(F56:F57)))),"")</f>
        <v>0.65</v>
      </c>
      <c r="H55" s="531"/>
      <c r="I55" s="460"/>
      <c r="J55" s="460"/>
      <c r="K55" s="460"/>
    </row>
    <row r="56" spans="1:11" ht="15.5" x14ac:dyDescent="0.35">
      <c r="A56" s="478"/>
      <c r="B56" s="478"/>
      <c r="C56" s="61" t="s">
        <v>47</v>
      </c>
      <c r="D56" s="61"/>
      <c r="E56" s="147" t="s">
        <v>36</v>
      </c>
      <c r="F56" s="256">
        <f>IF(E56="","",IF(OR(E56="Ex/Ex",E56="Ex/VH"),0, IF(OR(E56="Ex/H",E56="VH/Ex",E56="VH/VH", E56="H/Ex",E56="H/VH",E56="M/Ex"),0.1,IF(OR(E56="Ex/M",E56="VH/H",E56="H/H", E56="M/VH"),0.2, IF(OR(E56="Ex/L",E56="VH/M",E56="H/M", E56="M/H",E56="L/Ex"),0.3, IF(OR(E56="Ex/VL",E56="VH/L",E56="H/L"),0.4, IF(OR(E56="VH/VL",E56="H/VL",E56="M/M", E56="L/VH"),0.5, IF(OR(E56="M/L",E56="L/H"),0.6, IF(OR(E56="M/VL",E56="L/M"),0.7, IF(OR(E56="L/L",E56="L/VL"),1))))))))))</f>
        <v>0.3</v>
      </c>
      <c r="G56" s="467"/>
      <c r="H56" s="531"/>
      <c r="I56" s="460"/>
      <c r="J56" s="460"/>
      <c r="K56" s="460"/>
    </row>
    <row r="57" spans="1:11" ht="15.5" x14ac:dyDescent="0.35">
      <c r="A57" s="478"/>
      <c r="B57" s="478"/>
      <c r="C57" s="63" t="s">
        <v>102</v>
      </c>
      <c r="D57" s="63"/>
      <c r="E57" s="148">
        <v>5</v>
      </c>
      <c r="F57" s="213">
        <f>IF(E57="","",ROUND(IF(E57&gt;50,0,IF(E57&lt;5,1,IF(E57&gt;9,E57^2*'Performance Standards'!S$119+E57*'Performance Standards'!S$120+'Performance Standards'!S$121,'Performance Standards'!$T$120*E57+'Performance Standards'!$T$121))),2))</f>
        <v>1</v>
      </c>
      <c r="G57" s="467"/>
      <c r="H57" s="531"/>
      <c r="I57" s="460"/>
      <c r="J57" s="460"/>
      <c r="K57" s="460"/>
    </row>
    <row r="58" spans="1:11" ht="15.5" x14ac:dyDescent="0.35">
      <c r="A58" s="478"/>
      <c r="B58" s="477" t="s">
        <v>48</v>
      </c>
      <c r="C58" s="67" t="s">
        <v>447</v>
      </c>
      <c r="D58" s="67"/>
      <c r="E58" s="147">
        <v>100</v>
      </c>
      <c r="F58" s="256">
        <f>IF(E58="","",IF('Quantification Tool'!$B$22="Unconfined Alluvial",IF(E58&gt;=100,1,IF(E58&lt;30,0,ROUND('Performance Standards'!$S$155*E58^2+'Performance Standards'!$S$156*E58+'Performance Standards'!$S$157,2))),IF('Quantification Tool'!$B$22="Confined Alluvial",(IF(E58&gt;=100,1,IF(E58&lt;60,0,ROUND('Performance Standards'!$T$155*E58^2+'Performance Standards'!$T$156*E58+'Performance Standards'!$T$157,2)))),IF('Quantification Tool'!$B$22="Colluvial/V-Shaped",(IF(E58&gt;=100,1,IF(E58&lt;80,0,ROUND('Performance Standards'!$U$155*E58^2+'Performance Standards'!$U$156*E58+'Performance Standards'!$U$157,2))))))))</f>
        <v>1</v>
      </c>
      <c r="G58" s="466">
        <f>IFERROR(AVERAGE(F58:F70),"")</f>
        <v>0.62769230769230766</v>
      </c>
      <c r="H58" s="531"/>
      <c r="I58" s="460"/>
      <c r="J58" s="460"/>
      <c r="K58" s="460"/>
    </row>
    <row r="59" spans="1:11" ht="15.5" x14ac:dyDescent="0.35">
      <c r="A59" s="478"/>
      <c r="B59" s="478"/>
      <c r="C59" s="61" t="s">
        <v>448</v>
      </c>
      <c r="D59" s="61"/>
      <c r="E59" s="147">
        <v>100</v>
      </c>
      <c r="F59" s="256">
        <f>IF(E59="","",IF('Quantification Tool'!$B$22="Unconfined Alluvial",IF(E59&gt;=100,1,IF(E59&lt;30,0,ROUND('Performance Standards'!$S$155*E59^2+'Performance Standards'!$S$156*E59+'Performance Standards'!$S$157,2))),IF('Quantification Tool'!$B$22="Confined Alluvial",(IF(E59&gt;=100,1,IF(E59&lt;60,0,ROUND('Performance Standards'!$T$155*E59^2+'Performance Standards'!$T$156*E59+'Performance Standards'!$T$157,2)))),IF('Quantification Tool'!$B$22="Colluvial/V-Shaped",(IF(E59&gt;=100,1,IF(E59&lt;80,0,ROUND('Performance Standards'!$U$155*E59^2+'Performance Standards'!$U$156*E59+'Performance Standards'!$U$157,2))))))))</f>
        <v>1</v>
      </c>
      <c r="G59" s="467"/>
      <c r="H59" s="531"/>
      <c r="I59" s="460"/>
      <c r="J59" s="460"/>
      <c r="K59" s="460"/>
    </row>
    <row r="60" spans="1:11" ht="15.5" x14ac:dyDescent="0.35">
      <c r="A60" s="478"/>
      <c r="B60" s="478"/>
      <c r="C60" s="61" t="s">
        <v>299</v>
      </c>
      <c r="D60" s="61"/>
      <c r="E60" s="147">
        <v>0</v>
      </c>
      <c r="F60" s="256">
        <f>IF(E60="","",IF('Quantification Tool'!$B$20="Herbaceous","",IF(E60="","",IF('Quantification Tool'!$B$10="Mountains",(IF(E60&gt;=90,1,ROUND('Performance Standards'!$S$191*E60^3+'Performance Standards'!$S$192*E60^2+'Performance Standards'!$S$193*E60+'Performance Standards'!$S$194,2))),IF('Quantification Tool'!$B$10="Basin",(IF(E60&gt;=90,1,ROUND('Performance Standards'!$T$191*E60^3+'Performance Standards'!$T$192*E60^2+'Performance Standards'!$T$193*E60+'Performance Standards'!$T$194,2))),(IF('Quantification Tool'!$B$10="Plains",(IF(E60&gt;=75,1,ROUND('Performance Standards'!$U$191*E60^3+'Performance Standards'!$U$192*E60^2+'Performance Standards'!$U$193*E60+'Performance Standards'!$U$194,2))))))))))</f>
        <v>0</v>
      </c>
      <c r="G60" s="467"/>
      <c r="H60" s="531"/>
      <c r="I60" s="460"/>
      <c r="J60" s="460"/>
      <c r="K60" s="460"/>
    </row>
    <row r="61" spans="1:11" ht="15.5" x14ac:dyDescent="0.35">
      <c r="A61" s="478"/>
      <c r="B61" s="478"/>
      <c r="C61" s="61" t="s">
        <v>300</v>
      </c>
      <c r="D61" s="61"/>
      <c r="E61" s="147">
        <v>0</v>
      </c>
      <c r="F61" s="256">
        <f>IF(E61="","",IF('Quantification Tool'!$B$20="Herbaceous","",IF(E61="","",IF('Quantification Tool'!$B$10="Mountains",(IF(E61&gt;=90,1,ROUND('Performance Standards'!$S$191*E61^3+'Performance Standards'!$S$192*E61^2+'Performance Standards'!$S$193*E61+'Performance Standards'!$S$194,2))),IF('Quantification Tool'!$B$10="Basin",(IF(E61&gt;=90,1,ROUND('Performance Standards'!$T$191*E61^3+'Performance Standards'!$T$192*E61^2+'Performance Standards'!$T$193*E61+'Performance Standards'!$T$194,2))),(IF('Quantification Tool'!$B$10="Plains",(IF(E61&gt;=75,1,ROUND('Performance Standards'!$U$191*E61^3+'Performance Standards'!$U$192*E61^2+'Performance Standards'!$U$193*E61+'Performance Standards'!$U$194,2))))))))))</f>
        <v>0</v>
      </c>
      <c r="G61" s="467"/>
      <c r="H61" s="531"/>
      <c r="I61" s="460"/>
      <c r="J61" s="460"/>
      <c r="K61" s="460"/>
    </row>
    <row r="62" spans="1:11" ht="15.5" x14ac:dyDescent="0.35">
      <c r="A62" s="478"/>
      <c r="B62" s="478"/>
      <c r="C62" s="61" t="s">
        <v>301</v>
      </c>
      <c r="D62" s="61"/>
      <c r="E62" s="147">
        <v>50</v>
      </c>
      <c r="F62" s="256">
        <f>IF(E62="","",IF('Quantification Tool'!$B$20="Herbaceous",IF(E62&lt;30,0,IF(E62&gt;=100,1,ROUND(E62^2*'Performance Standards'!$S$225+E62*'Performance Standards'!$S$226+'Performance Standards'!$S$227,2))),IF('Quantification Tool'!$B$22="Colluvial/V-Shaped",IF(E62&gt;=100,0,IF(AND(E62&gt;=0,E62&lt;=15),ROUND(E62*'Performance Standards'!$S$259+'Performance Standards'!$S$260,2),IF(AND(E62&gt;=15,E62&lt;=55),ROUND(E62*'Performance Standards'!$T$259+'Performance Standards'!$T$260,2),IF(AND(E62&gt;=56,E62&lt;=100),ROUND(E62^2*'Performance Standards'!$U$259+E62*'Performance Standards'!$U$260+'Performance Standards'!$U$261,2))))),IF(OR(E62&gt;=100,E62&lt;=0),0,IF(AND(E62&gt;0,E62&lt;=70),ROUND(E62^2*'Performance Standards'!$S$292+E62*'Performance Standards'!$S$293+'Performance Standards'!$S$294,2),IF(AND(E62&gt;70,E62&lt;100),ROUND(E62^2*'Performance Standards'!$T$292+E62*'Performance Standards'!$T$293+'Performance Standards'!$T$294,2)))))))</f>
        <v>0.93</v>
      </c>
      <c r="G62" s="467"/>
      <c r="H62" s="531"/>
      <c r="I62" s="460"/>
      <c r="J62" s="460"/>
      <c r="K62" s="460"/>
    </row>
    <row r="63" spans="1:11" ht="15.5" x14ac:dyDescent="0.35">
      <c r="A63" s="478"/>
      <c r="B63" s="478"/>
      <c r="C63" s="61" t="s">
        <v>302</v>
      </c>
      <c r="D63" s="61"/>
      <c r="E63" s="147">
        <v>50</v>
      </c>
      <c r="F63" s="256">
        <f>IF(E63="","",IF('Quantification Tool'!$B$20="Herbaceous",IF(E63&lt;30,0,IF(E63&gt;=100,1,ROUND(E63^2*'Performance Standards'!$S$225+E63*'Performance Standards'!$S$226+'Performance Standards'!$S$227,2))),IF('Quantification Tool'!$B$22="Colluvial/V-Shaped",IF(E63&gt;=100,0,IF(AND(E63&gt;=0,E63&lt;=15),ROUND(E63*'Performance Standards'!$S$259+'Performance Standards'!$S$260,2),IF(AND(E63&gt;=15,E63&lt;=55),ROUND(E63*'Performance Standards'!$T$259+'Performance Standards'!$T$260,2),IF(AND(E63&gt;=56,E63&lt;=100),ROUND(E63^2*'Performance Standards'!$U$259+E63*'Performance Standards'!$U$260+'Performance Standards'!$U$261,2))))),IF(OR(E63&gt;=100,E63&lt;=0),0,IF(AND(E63&gt;0,E63&lt;=70),ROUND(E63^2*'Performance Standards'!$S$292+E63*'Performance Standards'!$S$293+'Performance Standards'!$S$294,2),IF(AND(E63&gt;70,E63&lt;100),ROUND(E63^2*'Performance Standards'!$T$292+E63*'Performance Standards'!$T$293+'Performance Standards'!$T$294,2)))))))</f>
        <v>0.93</v>
      </c>
      <c r="G63" s="467"/>
      <c r="H63" s="531"/>
      <c r="I63" s="460"/>
      <c r="J63" s="460"/>
      <c r="K63" s="460"/>
    </row>
    <row r="64" spans="1:11" ht="15.5" x14ac:dyDescent="0.35">
      <c r="A64" s="478"/>
      <c r="B64" s="478"/>
      <c r="C64" s="61" t="s">
        <v>304</v>
      </c>
      <c r="D64" s="61"/>
      <c r="E64" s="147">
        <v>0</v>
      </c>
      <c r="F64" s="256">
        <f>IF(E64="","",ROUND(IF(E64&gt;=100,0,E64^2*'Performance Standards'!$S$324+E64*'Performance Standards'!$S$325+'Performance Standards'!$S$326),2))</f>
        <v>1</v>
      </c>
      <c r="G64" s="467"/>
      <c r="H64" s="531"/>
      <c r="I64" s="460"/>
      <c r="J64" s="460"/>
      <c r="K64" s="460"/>
    </row>
    <row r="65" spans="1:13" ht="15.5" x14ac:dyDescent="0.35">
      <c r="A65" s="478"/>
      <c r="B65" s="478"/>
      <c r="C65" s="61" t="s">
        <v>305</v>
      </c>
      <c r="D65" s="61"/>
      <c r="E65" s="147">
        <v>0</v>
      </c>
      <c r="F65" s="256">
        <f>IF(E65="","",ROUND(IF(E65&gt;=100,0,E65^2*'Performance Standards'!$S$324+E65*'Performance Standards'!$S$325+'Performance Standards'!$S$326),2))</f>
        <v>1</v>
      </c>
      <c r="G65" s="467"/>
      <c r="H65" s="531"/>
      <c r="I65" s="460"/>
      <c r="J65" s="460"/>
      <c r="K65" s="460"/>
    </row>
    <row r="66" spans="1:13" ht="15.5" x14ac:dyDescent="0.35">
      <c r="A66" s="478"/>
      <c r="B66" s="478"/>
      <c r="C66" s="61" t="s">
        <v>307</v>
      </c>
      <c r="D66" s="61"/>
      <c r="E66" s="147">
        <v>0</v>
      </c>
      <c r="F66" s="256">
        <f>IF(E66="","",ROUND(IF(E66&gt;=100,1,E66^3*'Performance Standards'!$S$357+E66^2*'Performance Standards'!$S$358+E66*'Performance Standards'!$S$359+$S$139),2))</f>
        <v>0</v>
      </c>
      <c r="G66" s="467"/>
      <c r="H66" s="531"/>
      <c r="I66" s="460"/>
      <c r="J66" s="460"/>
      <c r="K66" s="460"/>
    </row>
    <row r="67" spans="1:13" ht="15.5" x14ac:dyDescent="0.35">
      <c r="A67" s="478"/>
      <c r="B67" s="478"/>
      <c r="C67" s="61" t="s">
        <v>308</v>
      </c>
      <c r="D67" s="61"/>
      <c r="E67" s="147">
        <v>0</v>
      </c>
      <c r="F67" s="256">
        <f>IF(E67="","",ROUND(IF(E67&gt;=100,1,E67^3*'Performance Standards'!$S$357+E67^2*'Performance Standards'!$S$358+E67*'Performance Standards'!$S$359+$S$139),2))</f>
        <v>0</v>
      </c>
      <c r="G67" s="467"/>
      <c r="H67" s="531"/>
      <c r="I67" s="460"/>
      <c r="J67" s="460"/>
      <c r="K67" s="460"/>
    </row>
    <row r="68" spans="1:13" ht="15.5" x14ac:dyDescent="0.35">
      <c r="A68" s="478"/>
      <c r="B68" s="478"/>
      <c r="C68" s="61" t="s">
        <v>158</v>
      </c>
      <c r="D68" s="61"/>
      <c r="E68" s="159">
        <v>30</v>
      </c>
      <c r="F68" s="192">
        <f>IF(E68="","",IF(OR(E68&gt;=50,E68&lt;=0),0,IF(AND(E68&gt;=25,E68&lt;=36),1,ROUND(IF(E68&lt;25,'Performance Standards'!$S$394*E68^3+'Performance Standards'!$S$395*E68^2+'Performance Standards'!$S$396*E68+'Performance Standards'!$S$397,'Performance Standards'!$T$394*E68^3+'Performance Standards'!$T$395*E68^2+'Performance Standards'!$T$396*E68+'Performance Standards'!$T$397),2))))</f>
        <v>1</v>
      </c>
      <c r="G68" s="467"/>
      <c r="H68" s="531"/>
      <c r="I68" s="460"/>
      <c r="J68" s="460"/>
      <c r="K68" s="460"/>
      <c r="M68" s="7"/>
    </row>
    <row r="69" spans="1:13" ht="15.5" x14ac:dyDescent="0.35">
      <c r="A69" s="478"/>
      <c r="B69" s="478"/>
      <c r="C69" s="61" t="s">
        <v>159</v>
      </c>
      <c r="D69" s="61"/>
      <c r="E69" s="147">
        <v>30</v>
      </c>
      <c r="F69" s="192">
        <f>IF(E69="","",IF(OR(E69&gt;=50,E69&lt;=0),0,IF(AND(E69&gt;=25,E69&lt;=36),1,ROUND(IF(E69&lt;25,'Performance Standards'!$S$394*E69^3+'Performance Standards'!$S$395*E69^2+'Performance Standards'!$S$396*E69+'Performance Standards'!$S$397,'Performance Standards'!$T$394*E69^3+'Performance Standards'!$T$395*E69^2+'Performance Standards'!$T$396*E69+'Performance Standards'!$T$397),2))))</f>
        <v>1</v>
      </c>
      <c r="G69" s="467"/>
      <c r="H69" s="531"/>
      <c r="I69" s="460"/>
      <c r="J69" s="460"/>
      <c r="K69" s="460"/>
    </row>
    <row r="70" spans="1:13" ht="15.5" x14ac:dyDescent="0.35">
      <c r="A70" s="478"/>
      <c r="B70" s="479"/>
      <c r="C70" s="61" t="s">
        <v>298</v>
      </c>
      <c r="D70" s="68"/>
      <c r="E70" s="148">
        <v>5</v>
      </c>
      <c r="F70" s="256">
        <f>IF(E70="","",ROUND(IF(E70&lt;=2,0,IF(E70&gt;=9,1,E70^3*'Performance Standards'!S$430+E70^2*'Performance Standards'!$S$431+E70*'Performance Standards'!$S$432+'Performance Standards'!$S$433)),2))</f>
        <v>0.3</v>
      </c>
      <c r="G70" s="468"/>
      <c r="H70" s="531"/>
      <c r="I70" s="460"/>
      <c r="J70" s="460"/>
      <c r="K70" s="460"/>
    </row>
    <row r="71" spans="1:13" ht="15.5" x14ac:dyDescent="0.35">
      <c r="A71" s="478"/>
      <c r="B71" s="59" t="s">
        <v>121</v>
      </c>
      <c r="C71" s="74" t="s">
        <v>160</v>
      </c>
      <c r="D71" s="61"/>
      <c r="E71" s="43"/>
      <c r="F71" s="191" t="str">
        <f>IF(E71="","",IF('Quantification Tool'!$B$13="Sand","NA",IF(E71&gt;0.1,1,IF(E71&lt;=0.01,0,ROUND(E71*'Performance Standards'!$S$464+'Performance Standards'!$S$465,2)))))</f>
        <v/>
      </c>
      <c r="G71" s="83" t="str">
        <f>IFERROR(AVERAGE(F71),"")</f>
        <v/>
      </c>
      <c r="H71" s="531"/>
      <c r="I71" s="460"/>
      <c r="J71" s="460"/>
      <c r="K71" s="460"/>
    </row>
    <row r="72" spans="1:13" ht="15.5" x14ac:dyDescent="0.35">
      <c r="A72" s="478"/>
      <c r="B72" s="477" t="s">
        <v>49</v>
      </c>
      <c r="C72" s="67" t="s">
        <v>50</v>
      </c>
      <c r="D72" s="67"/>
      <c r="E72" s="160">
        <v>7</v>
      </c>
      <c r="F72" s="161">
        <f>IF(E72="","",IF('Quantification Tool'!$B$9="Bc",IF(OR(E72&gt;9.2,E72&lt;=0.1),0,IF(E72&lt;=4,1,ROUND('Performance Standards'!$S$598*E72^2+'Performance Standards'!$S$599*E72+'Performance Standards'!$S$600,2))),IF(OR('Quantification Tool'!$B$9="B",'Quantification Tool'!$B$9="Ba"),IF(OR(E72&gt;7.5,E72&lt;=0.1),0,IF(E72&lt;=3,1,ROUND(IF(E72&gt;4,'Performance Standards'!$S$567*E72+'Performance Standards'!$S$568,'Performance Standards'!$T$567*E72+'Performance Standards'!$T$568),2))),IF('Quantification Tool'!$B$9="Cb",IF(OR(E72&gt;=7.6,E72&lt;=2.4),0,IF(AND(E72&gt;=3.7,E72&lt;=5),1,ROUND(IF(E72&lt;4,'Performance Standards'!$S$534*E72^2+'Performance Standards'!$S$535*E72+'Performance Standards'!$S$536,'Performance Standards'!$T$534*E72^2+'Performance Standards'!$T$535*E72+'Performance Standards'!$T$536),2))),IF('Quantification Tool'!$B$9="C",IF(OR(E72&gt;9.3,E72&lt;=3),0,IF(AND(E72&gt;=4,E72&lt;=6),1,ROUND(IF(E72&lt;4,'Performance Standards'!$S$500*E72+'Performance Standards'!$S$501,'Performance Standards'!$T$500*E72+'Performance Standards'!$T$501),2))))))))</f>
        <v>0.7</v>
      </c>
      <c r="G72" s="466">
        <f>IFERROR(AVERAGE(F72:F75),"")</f>
        <v>0.9</v>
      </c>
      <c r="H72" s="531"/>
      <c r="I72" s="460"/>
      <c r="J72" s="460"/>
      <c r="K72" s="460"/>
    </row>
    <row r="73" spans="1:13" ht="15.5" x14ac:dyDescent="0.35">
      <c r="A73" s="478"/>
      <c r="B73" s="478"/>
      <c r="C73" s="61" t="s">
        <v>51</v>
      </c>
      <c r="D73" s="61"/>
      <c r="E73" s="159">
        <v>3</v>
      </c>
      <c r="F73" s="85">
        <f>IF(E73="","",IF(E73&lt;=1.1,0,IF(E73&gt;=2.5,1,ROUND(IF(E73&lt;1.2,'Performance Standards'!$S$632*E73+'Performance Standards'!$S$633,'Performance Standards'!$T$631*E73^2+'Performance Standards'!$T$632*E73+'Performance Standards'!$T$633),2))))</f>
        <v>1</v>
      </c>
      <c r="G73" s="467"/>
      <c r="H73" s="531"/>
      <c r="I73" s="460"/>
      <c r="J73" s="460"/>
      <c r="K73" s="460"/>
    </row>
    <row r="74" spans="1:13" ht="15.5" x14ac:dyDescent="0.35">
      <c r="A74" s="478"/>
      <c r="B74" s="478"/>
      <c r="C74" s="61" t="s">
        <v>52</v>
      </c>
      <c r="D74" s="61"/>
      <c r="E74" s="159">
        <v>50</v>
      </c>
      <c r="F74" s="245">
        <f>IF(E74="","",IF('Quantification Tool'!$B$11="Volcanic Mountains &amp; Valleys", IF(OR(E74&gt;95,E74&lt;58),0,IF(AND(E74&gt;=73,E74&lt;=80),1, ROUND(IF(E74&lt;73,'Performance Standards'!$S$665*E74^2+'Performance Standards'!$S$666*E74+'Performance Standards'!$S$667, 'Performance Standards'!$T$665*E74^2+'Performance Standards'!$T$666*E74+'Performance Standards'!$T$667),2))), IF('Quantification Tool'!$B$16="","Need Slope",IF('Quantification Tool'!$B$16&lt;3,IF( OR(E74&gt;73,E74&lt;37),0, IF(AND(E74&gt;=50,E74&lt;= 60), 1, ROUND(IF(E74&lt;50,'Performance Standards'!$S$699*E74^2+'Performance Standards'!$S$700*E74+'Performance Standards'!$S$701, IF(E74&gt;60,'Performance Standards'!$T$699*E74^2+'Performance Standards'!$T$700*E74+'Performance Standards'!$T$701)),2))), IF('Quantification Tool'!$B$16&gt;=3,IF(OR(E74&gt;88,E74&lt;57),0, IF(AND(E74 &gt;=70, E74&lt;=76),1, ROUND(IF(E74&lt;70,'Performance Standards'!$S$734*E74^2+'Performance Standards'!$S$735*E74+'Performance Standards'!$S$736,'Performance Standards'!$T$734*E74^2+'Performance Standards'!$T$735*E74+'Performance Standards'!$T$736),2) )))))))</f>
        <v>1</v>
      </c>
      <c r="G74" s="467"/>
      <c r="H74" s="531"/>
      <c r="I74" s="460"/>
      <c r="J74" s="460"/>
      <c r="K74" s="460"/>
      <c r="L74" s="2"/>
    </row>
    <row r="75" spans="1:13" ht="15.5" x14ac:dyDescent="0.35">
      <c r="A75" s="478"/>
      <c r="B75" s="479"/>
      <c r="C75" s="66" t="s">
        <v>248</v>
      </c>
      <c r="D75" s="68"/>
      <c r="E75" s="154"/>
      <c r="F75" s="248" t="str">
        <f>IF(E75="","",IF(E75&gt;=1.6,0,IF(E75&lt;=1,1,ROUND('Performance Standards'!$S$766*E75^3+'Performance Standards'!$S$767*E75^2+'Performance Standards'!$S$768*E75+'Performance Standards'!$S$769,2))))</f>
        <v/>
      </c>
      <c r="G75" s="468"/>
      <c r="H75" s="531"/>
      <c r="I75" s="460"/>
      <c r="J75" s="460"/>
      <c r="K75" s="460"/>
      <c r="L75" s="2"/>
    </row>
    <row r="76" spans="1:13" ht="15.5" x14ac:dyDescent="0.35">
      <c r="A76" s="479"/>
      <c r="B76" s="424" t="s">
        <v>54</v>
      </c>
      <c r="C76" s="68" t="s">
        <v>53</v>
      </c>
      <c r="D76" s="68"/>
      <c r="E76" s="148">
        <v>1.2</v>
      </c>
      <c r="F76" s="70">
        <f>IF(E76="","",IF('Quantification Tool'!$B$9="E",IF(OR(E76&gt;2,E76&lt;1.2),0, IF(AND(E76&gt;=1.6, E76&lt;=1.7),1, ROUND(IF(E76&lt;1.3,E76*'Performance Standards'!S$803+'Performance Standards'!S$804,IF(E76&lt;=1.6,E76*'Performance Standards'!T$803+'Performance Standards'!T$804, E76^2*'Performance Standards'!U$802+E76*'Performance Standards'!U$803+'Performance Standards'!$U$804)),2))),IF(LEFT('Quantification Tool'!$B$9,1)="C",IF(OR(E76&lt;1.15, E76&gt;1.5),0, IF(AND(E76&lt;=1.35,E76&gt;=1.25),1,ROUND(IF(E76&lt;1.25,E76^2*'Performance Standards'!$S$836+E76*'Performance Standards'!$S$837+'Performance Standards'!$S$838, E76^2*'Performance Standards'!$T$836+E76*'Performance Standards'!$T$837+'Performance Standards'!$T$838),2))),IF(LEFT('Quantification Tool'!$B$9,1)="B",IF(OR(E76&gt;1.4,E76&lt;1),0, IF(AND(E76&gt;=1.15,E76&lt;=1.25),1, ROUND(IF(E76&lt;=1.15,E76^2*'Performance Standards'!$S$867+E76*'Performance Standards'!$S$868+'Performance Standards'!$S$869,E76^2*'Performance Standards'!$T$867+E76*'Performance Standards'!$T$868+'Performance Standards'!$T$869),2)))))))</f>
        <v>0.7</v>
      </c>
      <c r="G76" s="85">
        <f>IFERROR(AVERAGE(F76),"")</f>
        <v>0.7</v>
      </c>
      <c r="H76" s="531"/>
      <c r="I76" s="460"/>
      <c r="J76" s="460"/>
      <c r="K76" s="460"/>
      <c r="L76" s="7"/>
    </row>
    <row r="77" spans="1:13" ht="15.5" x14ac:dyDescent="0.35">
      <c r="A77" s="453" t="s">
        <v>58</v>
      </c>
      <c r="B77" s="453" t="s">
        <v>93</v>
      </c>
      <c r="C77" s="182" t="s">
        <v>272</v>
      </c>
      <c r="D77" s="71"/>
      <c r="E77" s="147"/>
      <c r="F77" s="178" t="str">
        <f>IF(E77="","",IF('Quantification Tool'!$B$18="","Enter Stream Temperature",IF('Quantification Tool'!$B$18="Tier I (Cold) ",IF(E77&gt;=24.6,0,IF(E77&lt;=15.5,1,ROUND(E77*'Performance Standards'!$AB$19+'Performance Standards'!$AB$20,2))),IF('Quantification Tool'!$B$18="Tier II (Cold-Cool)",IF(E77&gt;=27.8,0,IF(E77&lt;=15.6,1,ROUND(E77*'Performance Standards'!$AC$19+'Performance Standards'!$AC$20,2))),IF('Quantification Tool'!$B$18="Tier III (Cool) ",IF(E77&gt;=32.4,0,IF(E77&lt;=17.8,1,ROUND(E77*'Performance Standards'!$AD$19+'Performance Standards'!$AD$20,2))),IF('Quantification Tool'!$B$18="Tier IV (Cool-Warm)",IF(E77&gt;=34.6,0,IF(E77&lt;=20,1,ROUND(E77*'Performance Standards'!$AE$19+'Performance Standards'!$AE$20,2))),IF('Quantification Tool'!$B$18="Tier V (Warm)",IF(E77&gt;35.4,0,IF(E77&lt;=24.6,1,ROUND(E77*'Performance Standards'!$AF$19+'Performance Standards'!$AF$20,2))))))))))</f>
        <v/>
      </c>
      <c r="G77" s="455">
        <f>IFERROR(IF(E77="",F78,IF(E78="",F77,MIN(F77:F78))),"")</f>
        <v>0.61</v>
      </c>
      <c r="H77" s="455">
        <f>IFERROR(ROUND(AVERAGE(G77:G79),2),"")</f>
        <v>0.47</v>
      </c>
      <c r="I77" s="459" t="str">
        <f>IF(H77="","",IF(H77&gt;0.69,"Functioning",IF(H77&gt;0.29,"Functioning At Risk",IF(H77&gt;-1,"Not Functioning"))))</f>
        <v>Functioning At Risk</v>
      </c>
      <c r="J77" s="460"/>
      <c r="K77" s="460"/>
      <c r="L77" s="7"/>
    </row>
    <row r="78" spans="1:13" ht="15.5" x14ac:dyDescent="0.35">
      <c r="A78" s="469"/>
      <c r="B78" s="454"/>
      <c r="C78" s="183" t="s">
        <v>273</v>
      </c>
      <c r="D78" s="71"/>
      <c r="E78" s="147">
        <v>17</v>
      </c>
      <c r="F78" s="179">
        <f>IF(E78="","",IF('Quantification Tool'!$B$18="","Enter Stream Temperature",IF('Quantification Tool'!$B$18="Tier I (Cold) ",IF(E78&gt;=19.3,0,IF(E78&lt;=15.5,1,ROUND(E78*'Performance Standards'!$AB$55+'Performance Standards'!$AB$56,2))),IF('Quantification Tool'!$B$18="Tier II (Cold-Cool)",IF(E78&gt;=21,0,IF(E78&lt;=15.6,1,ROUND(E78*'Performance Standards'!$AC$55+'Performance Standards'!$AC$56,2))),IF('Quantification Tool'!$B$18="Tier III (Cool) ",IF(E78&gt;=24,0,IF(E78&lt;=17.8,1,ROUND(E78*'Performance Standards'!$AD$55+'Performance Standards'!$AD$56,2))),IF('Quantification Tool'!$B$18="Tier IV (Cool-Warm)",IF(E78&gt;=28.8,0,IF(E78&lt;=20,1,ROUND(E78*'Performance Standards'!$AE$55+'Performance Standards'!$AE$56,2))),IF('Quantification Tool'!$B$18="Tier V (Warm)",IF(E78&gt;=31,0,IF(E78&lt;=24.5,1,ROUND(E78*'Performance Standards'!$AF$55+'Performance Standards'!$AF$56,2))))))))))</f>
        <v>0.61</v>
      </c>
      <c r="G78" s="456"/>
      <c r="H78" s="535"/>
      <c r="I78" s="459"/>
      <c r="J78" s="460"/>
      <c r="K78" s="460"/>
      <c r="L78" s="7"/>
    </row>
    <row r="79" spans="1:13" ht="15.5" x14ac:dyDescent="0.35">
      <c r="A79" s="454"/>
      <c r="B79" s="243" t="s">
        <v>297</v>
      </c>
      <c r="C79" s="75" t="s">
        <v>238</v>
      </c>
      <c r="D79" s="72"/>
      <c r="E79" s="43">
        <v>50</v>
      </c>
      <c r="F79" s="163">
        <f>IF(E79="","",IF(OR('Quantification Tool'!$B$10="Basin",'Quantification Tool'!$B$10="Plains"),IF(E79&gt;=150,0,IF(E79&lt;21,1,ROUND('Performance Standards'!$AB$87*LN(E79)+'Performance Standards'!$AB$88,2))),IF(E79&gt;=97,0,IF(E79&lt;=13,1,ROUND('Performance Standards'!$AB$120*LN(E79)+'Performance Standards'!$AB$121,2)))))</f>
        <v>0.33</v>
      </c>
      <c r="G79" s="87">
        <f>IFERROR(AVERAGE(F79),"")</f>
        <v>0.33</v>
      </c>
      <c r="H79" s="456"/>
      <c r="I79" s="459"/>
      <c r="J79" s="460"/>
      <c r="K79" s="460"/>
      <c r="L79" s="7"/>
    </row>
    <row r="80" spans="1:13" ht="15.5" x14ac:dyDescent="0.35">
      <c r="A80" s="482" t="s">
        <v>59</v>
      </c>
      <c r="B80" s="457" t="s">
        <v>73</v>
      </c>
      <c r="C80" s="112" t="s">
        <v>217</v>
      </c>
      <c r="D80" s="113"/>
      <c r="E80" s="115">
        <v>0.5</v>
      </c>
      <c r="F80" s="153">
        <f>IF(E80="","",IF('Quantification Tool'!$B$11="","Enter Bioregion",IF('Quantification Tool'!$B$11="Wyoming Basin",IF(E80&lt;0.26,0,IF(E80&gt;0.94,1,ROUND('Performance Standards'!$AK$18*E80+'Performance Standards'!$AK$19,2))), IF('Quantification Tool'!$B$11="Black Hills",IF(E80&lt;0.2,0,IF(E80&gt;0.98,1,ROUND('Performance Standards'!$AL$18*E80+'Performance Standards'!$AL$19,2))), IF('Quantification Tool'!$B$11="High Valleys",IF(E80&lt;0.23,0,IF(E80&gt;0.95,1,ROUND('Performance Standards'!$AM$18*E80+'Performance Standards'!$AM$19,2))), IF('Quantification Tool'!$B$11="Sedimentary Mountains",IF(E80&lt;=0.23,0,IF(E80&gt;=1,1,ROUND('Performance Standards'!$AN$18*E80+'Performance Standards'!$AN$19,2))), IF('Quantification Tool'!$B$11="Southern Rockies",IF(E80&lt;0.07,0,IF(E80&gt;0.96,1,ROUND('Performance Standards'!$AK$54*E80+'Performance Standards'!$AK$55,2))), IF('Quantification Tool'!$B$11="SE Plains",IF(E80&lt;0.2,0,IF(E80&gt;0.95,1,ROUND('Performance Standards'!$AL$54*E80+'Performance Standards'!$AL$55,2))), IF('Quantification Tool'!$B$11="NE Plains",IF(E80&lt;0.2,0,IF(E80&gt;0.94,1,ROUND('Performance Standards'!$AM$54*E80+'Performance Standards'!$AM$55,2))),IF('Quantification Tool'!$B$11="Granitic Mountains",IF(E80&lt;0.45,0,IF(E80&gt;=1,1,ROUND('Performance Standards'!$AK$92*E80+'Performance Standards'!$AK$93,2))),IF('Quantification Tool'!$B$11="Bighorn Basin Foothills",IF(E80&lt;=0.1,0,IF(E80&gt;=1,1,ROUND('Performance Standards'!$AL$92*E80+'Performance Standards'!$AL$93,2))),IF('Quantification Tool'!$B$11="Volcanic Mountains &amp; Valleys",IF(E80&lt;0.35,0,IF(E80&gt;=1,1,ROUND('Performance Standards'!$AN$92*E80+'Performance Standards'!$AN$93,2))), IF('Quantification Tool'!$B$11="Southern Foothills &amp; Laramie Range",IF(E80&lt;0.3,0,IF(E80&gt;=1,1,ROUND('Performance Standards'!$AM$92*E80+'Performance Standards'!$AM$93,2))) )))))))))))))</f>
        <v>0.41</v>
      </c>
      <c r="G80" s="473">
        <f>IFERROR(IF(AND(F80="",F81=""),"",IF(OR(F80="",F81=""),AVERAGE(F80:F81),IF(OR(F80&lt;0.3,F81&lt;0.3),IF(OR(F80&gt;=0.7,F81&gt;=0.7),MIN(0.69,AVERAGE(F80:F81)),MIN(0.29,AVERAGE(F80:F81))), IF(OR(F80&gt;=0.7,F81&gt;=0.7),IF(AVERAGE(F80:F81)&lt;0.7,0.7,AVERAGE(F80:F81)),AVERAGE(F80:F81))))),"")</f>
        <v>0.28999999999999998</v>
      </c>
      <c r="H80" s="485">
        <f>IFERROR(ROUND(AVERAGE(G80:G84),2),"")</f>
        <v>0.43</v>
      </c>
      <c r="I80" s="459" t="str">
        <f>IF(H80="","",IF(H80&gt;0.69,"Functioning",IF(H80&gt;0.29,"Functioning At Risk",IF(H80&gt;-1,"Not Functioning"))))</f>
        <v>Functioning At Risk</v>
      </c>
      <c r="J80" s="460"/>
      <c r="K80" s="460"/>
      <c r="L80" s="7"/>
    </row>
    <row r="81" spans="1:12" ht="15.5" x14ac:dyDescent="0.35">
      <c r="A81" s="483"/>
      <c r="B81" s="458"/>
      <c r="C81" s="249" t="s">
        <v>218</v>
      </c>
      <c r="D81" s="250"/>
      <c r="E81" s="154">
        <v>0.5</v>
      </c>
      <c r="F81" s="88">
        <f>IF(E81="","",IF('Quantification Tool'!$B$11="","Enter Bioregion",IF('Quantification Tool'!$B$11="Wyoming Basin",IF(E81&lt;0.34,0,IF(E81&gt;0.96,1,ROUND('Performance Standards'!$AK$128*E81+'Performance Standards'!$AK$129,2))), IF('Quantification Tool'!$B$11="Black Hills",IF(E81&lt;0.36,0,IF(E81&gt;=1,1,ROUND('Performance Standards'!$AL$128*E81+'Performance Standards'!$AL$129,2))), IF('Quantification Tool'!$B$11="High Valleys",IF(E81&lt;0.38,0,IF(E81&gt;0.98,1,ROUND('Performance Standards'!$AM$128*E81+'Performance Standards'!$AM$129,2))), IF('Quantification Tool'!$B$11="Sedimentary Mountains",IF(E81&lt;0.36,0,IF(E81&gt;0.97,1,ROUND('Performance Standards'!$AN$128*E81+'Performance Standards'!$AN$129,2))), IF('Quantification Tool'!$B$11="Southern Rockies",IF(E81&lt;0.25,0,IF(E81&gt;=1,1,ROUND('Performance Standards'!$AK$165*E81+'Performance Standards'!$AK$166,2))), IF('Quantification Tool'!$B$11="SE Plains",IF(E81&lt;0.33,0,IF(E81&gt;0.95,1,ROUND('Performance Standards'!$AL$165*E81+'Performance Standards'!$AL$166,2))), IF('Quantification Tool'!$B$11="NE Plains",IF(E81&lt;0.35,0,IF(E81&gt;0.98,1,ROUND('Performance Standards'!$AM$165*E81+'Performance Standards'!$AM$166,2))),IF('Quantification Tool'!$B$11="Granitic Mountains",IF(E81&lt;0.5,0,IF(E81&gt;0.98,1,ROUND('Performance Standards'!$AK$202*E81+'Performance Standards'!$AK$203,2))),IF('Quantification Tool'!$B$11="Bighorn Basin Foothills",IF(E81&lt;0.48,0,IF(E81&gt;=1,1,ROUND('Performance Standards'!$AL$202*E81+'Performance Standards'!$AL$203,2))),IF('Quantification Tool'!$B$11="Volcanic Mountains &amp; Valleys",IF(E81&lt;=0.2,0,IF(E81&gt;=1,1,ROUND('Performance Standards'!$AN$202*E81+'Performance Standards'!$AN$203,2))), IF('Quantification Tool'!$B$11="Southern Foothills &amp; Laramie Range",IF(E81&lt;0.28,0,IF(E81&gt;=1,1,ROUND('Performance Standards'!$AM$202*E81+'Performance Standards'!$AM$203,2))) )))))))))))))</f>
        <v>0.2</v>
      </c>
      <c r="G81" s="475"/>
      <c r="H81" s="485"/>
      <c r="I81" s="459"/>
      <c r="J81" s="460"/>
      <c r="K81" s="460"/>
      <c r="L81" s="7"/>
    </row>
    <row r="82" spans="1:12" ht="15.5" x14ac:dyDescent="0.35">
      <c r="A82" s="483"/>
      <c r="B82" s="457" t="s">
        <v>85</v>
      </c>
      <c r="C82" s="180" t="s">
        <v>264</v>
      </c>
      <c r="D82" s="113"/>
      <c r="E82" s="160">
        <v>85</v>
      </c>
      <c r="F82" s="172">
        <f>IF(E82="","",IF(E82&lt;58,0,IF(E82&gt;=100,1,ROUND(E82*'Performance Standards'!$AK$240+'Performance Standards'!$AK$241,2))))</f>
        <v>0.45</v>
      </c>
      <c r="G82" s="473">
        <f>IFERROR(AVERAGE(F82:F84),"")</f>
        <v>0.56999999999999995</v>
      </c>
      <c r="H82" s="485"/>
      <c r="I82" s="459"/>
      <c r="J82" s="460"/>
      <c r="K82" s="460"/>
      <c r="L82" s="7"/>
    </row>
    <row r="83" spans="1:12" ht="15.5" x14ac:dyDescent="0.35">
      <c r="A83" s="483"/>
      <c r="B83" s="476"/>
      <c r="C83" s="181" t="s">
        <v>265</v>
      </c>
      <c r="D83" s="250"/>
      <c r="E83" s="159">
        <v>2</v>
      </c>
      <c r="F83" s="172">
        <f>IF(E83="","",ROUND(IF(E83&gt;=3,0,IF(E83&lt;=1,1,0.69)),2))</f>
        <v>0.69</v>
      </c>
      <c r="G83" s="474"/>
      <c r="H83" s="485"/>
      <c r="I83" s="459"/>
      <c r="J83" s="460"/>
      <c r="K83" s="460"/>
      <c r="L83" s="7"/>
    </row>
    <row r="84" spans="1:12" ht="15.5" x14ac:dyDescent="0.35">
      <c r="A84" s="484"/>
      <c r="B84" s="458"/>
      <c r="C84" s="114" t="s">
        <v>266</v>
      </c>
      <c r="D84" s="73"/>
      <c r="E84" s="154"/>
      <c r="F84" s="88" t="str">
        <f>IF(E84="","",IF('Quantification Tool'!$B$21="","Enter Stream Producitvity Rating",IF('Quantification Tool'!$B$21="Blue Ribbon and non-trout",IF(E84&lt;5,0,IF(E84&gt;=40,1,ROUND(E84*'Performance Standards'!$AK$316+'Performance Standards'!$AK$317,2))),IF('Quantification Tool'!$B$21="Red Ribbon",IF(E84&lt;10,0,IF(E84&gt;=80,1,ROUND(E84*'Performance Standards'!$AL$316+'Performance Standards'!$AL$317,2))),IF('Quantification Tool'!$B$21="Yellow Ribbon",IF(E84&lt;15,0,IF(E84&gt;=119,1,ROUND(E84*'Performance Standards'!$AM$316+'Performance Standards'!$AM$317,2))),IF('Quantification Tool'!$B$21="Green Ribbon",IF(E84&lt;20,0,IF(E84&gt;=160,1,ROUND(E84*'Performance Standards'!$AN$316+'Performance Standards'!$AN$317,2)))))))))</f>
        <v/>
      </c>
      <c r="G84" s="475"/>
      <c r="H84" s="485"/>
      <c r="I84" s="459"/>
      <c r="J84" s="460"/>
      <c r="K84" s="460"/>
      <c r="L84" s="7"/>
    </row>
    <row r="85" spans="1:12" x14ac:dyDescent="0.35">
      <c r="L85" s="7"/>
    </row>
    <row r="86" spans="1:12" ht="21" x14ac:dyDescent="0.5">
      <c r="A86" s="134" t="s">
        <v>165</v>
      </c>
      <c r="B86" s="577">
        <v>2</v>
      </c>
      <c r="C86" s="577"/>
      <c r="D86" s="577"/>
      <c r="E86" s="577"/>
      <c r="F86" s="578"/>
      <c r="G86" s="463" t="s">
        <v>16</v>
      </c>
      <c r="H86" s="464"/>
      <c r="I86" s="464"/>
      <c r="J86" s="464"/>
      <c r="K86" s="465"/>
      <c r="L86" s="7"/>
    </row>
    <row r="87" spans="1:12" ht="15.5" x14ac:dyDescent="0.35">
      <c r="A87" s="145" t="s">
        <v>1</v>
      </c>
      <c r="B87" s="145" t="s">
        <v>2</v>
      </c>
      <c r="C87" s="461" t="s">
        <v>3</v>
      </c>
      <c r="D87" s="576"/>
      <c r="E87" s="145" t="s">
        <v>14</v>
      </c>
      <c r="F87" s="145" t="s">
        <v>15</v>
      </c>
      <c r="G87" s="145" t="s">
        <v>17</v>
      </c>
      <c r="H87" s="145" t="s">
        <v>18</v>
      </c>
      <c r="I87" s="145" t="s">
        <v>18</v>
      </c>
      <c r="J87" s="145" t="s">
        <v>19</v>
      </c>
      <c r="K87" s="50" t="s">
        <v>19</v>
      </c>
    </row>
    <row r="88" spans="1:12" ht="15.5" x14ac:dyDescent="0.35">
      <c r="A88" s="493" t="s">
        <v>63</v>
      </c>
      <c r="B88" s="244" t="s">
        <v>100</v>
      </c>
      <c r="C88" s="52" t="s">
        <v>101</v>
      </c>
      <c r="D88" s="52"/>
      <c r="E88" s="147" t="s">
        <v>455</v>
      </c>
      <c r="F88" s="251">
        <f>IF(E88="","",IF(E88="G1",0.8,IF(E88="G2",0.9,IF(E88="G3",1,IF(E88="F1",0.4,IF(E88="F2",0.5,IF(E88="F3",0.6,IF(E88="P1",0.1,IF(E88="P2",0.2,IF(E88="P3",0.3,))))))))))</f>
        <v>0.9</v>
      </c>
      <c r="G88" s="84">
        <f>IFERROR(AVERAGE(F88),"")</f>
        <v>0.9</v>
      </c>
      <c r="H88" s="499">
        <f>IFERROR(ROUND(AVERAGE(G88:G92),2),"")</f>
        <v>0.88</v>
      </c>
      <c r="I88" s="459" t="str">
        <f>IF(H88="","",IF(H88&gt;0.69,"Functioning",IF(H88&gt;0.29,"Functioning At Risk",IF(H88&gt;-1,"Not Functioning"))))</f>
        <v>Functioning</v>
      </c>
      <c r="J88" s="460">
        <f>IF(AND(H88="",H93="",H95="",H119="",H122=""),"",(IF(H88="",0,H88)*0.2)+(IF(H93="",0,H93)*0.2)+(IF(H95="",0,H95)*0.3)+(IF(H119="",0,H119)*0.15)+(IF(H122="",0,H122)*0.15))</f>
        <v>0.71100000000000008</v>
      </c>
      <c r="K88" s="460" t="str">
        <f>IF(J88="","",IF(J88&lt;0.3, "Not Functioning",IF(OR(H88&lt;0.7,H93&lt;0.7,H95&lt;0.7,H119&lt;0.7,H122&lt;0.7),"Functioning At Risk",IF(J88&lt;0.7,"Functioning At Risk","Functioning"))))</f>
        <v>Functioning At Risk</v>
      </c>
    </row>
    <row r="89" spans="1:12" ht="15.5" x14ac:dyDescent="0.35">
      <c r="A89" s="494"/>
      <c r="B89" s="493" t="s">
        <v>146</v>
      </c>
      <c r="C89" s="118" t="s">
        <v>147</v>
      </c>
      <c r="D89" s="117"/>
      <c r="E89" s="115">
        <v>60</v>
      </c>
      <c r="F89" s="251">
        <f>IF(E89="","",IF('Quantification Tool'!$B$20="Forested",IF(E89&gt;71,0,IF(E89&lt;=41,1,ROUND(E89^2*'Performance Standards'!$C$16+E89*'Performance Standards'!$C$17+'Performance Standards'!$C$18,2))),IF('Quantification Tool'!$B$20="Scrub-Shrub",IF(E89&gt;59.6,0,IF(E89&lt;=35,1,ROUND(E89^2*'Performance Standards'!$D$16+E89*'Performance Standards'!$D$17+'Performance Standards'!$D$18,2))),IF('Quantification Tool'!$B$20="Herbaceous",IF(E89&gt;85,0,IF(E89&lt;=62,1,ROUND(E89^2*'Performance Standards'!$E$16+E89*'Performance Standards'!$E$17+'Performance Standards'!$E$18,2)))))))</f>
        <v>0.73</v>
      </c>
      <c r="G89" s="470">
        <f>IFERROR(AVERAGE(F89:F91),"")</f>
        <v>0.86499999999999999</v>
      </c>
      <c r="H89" s="500"/>
      <c r="I89" s="459"/>
      <c r="J89" s="460"/>
      <c r="K89" s="460"/>
    </row>
    <row r="90" spans="1:12" ht="15.5" x14ac:dyDescent="0.35">
      <c r="A90" s="494"/>
      <c r="B90" s="494"/>
      <c r="C90" s="119" t="s">
        <v>148</v>
      </c>
      <c r="D90" s="52"/>
      <c r="E90" s="147">
        <v>0</v>
      </c>
      <c r="F90" s="252">
        <f>IF(E90="","",IF(E90&gt;3,0,IF(E90=0,1,ROUND('Performance Standards'!C$49*E90+'Performance Standards'!C$50,2))))</f>
        <v>1</v>
      </c>
      <c r="G90" s="471"/>
      <c r="H90" s="500"/>
      <c r="I90" s="459"/>
      <c r="J90" s="460"/>
      <c r="K90" s="460"/>
    </row>
    <row r="91" spans="1:12" ht="15.5" x14ac:dyDescent="0.35">
      <c r="A91" s="494"/>
      <c r="B91" s="512"/>
      <c r="C91" s="120" t="s">
        <v>149</v>
      </c>
      <c r="D91" s="54"/>
      <c r="E91" s="148"/>
      <c r="F91" s="253" t="str">
        <f>IF(E91="","",IF('Quantification Tool'!$B$19="Sandy",IF(E91&gt;1.94,0,IF(E91&lt;1.45,1,ROUND(E91*'Performance Standards'!$C$85+'Performance Standards'!$C$86,2))),IF('Quantification Tool'!$B$19="Silty",IF(E91&gt;1.83,0,IF(E91&lt;1.21,1,ROUND(E91*'Performance Standards'!$D$85+'Performance Standards'!$D$86,2))),IF('Quantification Tool'!$B$19="Clayey",IF(E91&gt;1.74,0,IF(E91&lt;0.82,1,ROUND(E91*'Performance Standards'!$E$85+'Performance Standards'!$E$86,2)))))))</f>
        <v/>
      </c>
      <c r="G91" s="472"/>
      <c r="H91" s="500"/>
      <c r="I91" s="459"/>
      <c r="J91" s="460"/>
      <c r="K91" s="460"/>
    </row>
    <row r="92" spans="1:12" ht="15.5" x14ac:dyDescent="0.35">
      <c r="A92" s="512"/>
      <c r="B92" s="156" t="s">
        <v>170</v>
      </c>
      <c r="C92" s="513" t="s">
        <v>285</v>
      </c>
      <c r="D92" s="579"/>
      <c r="E92" s="174"/>
      <c r="F92" s="253" t="str">
        <f>IF(E92="","",IF(OR(E92&gt;=2,E92&lt;=0.6),0,IF(AND(E92&gt;=1,E92&lt;=1.1),1,ROUND(IF(E92&lt;1,'Performance Standards'!$C$121*E92^2+'Performance Standards'!$C$122*E92+'Performance Standards'!$C$123,'Performance Standards'!$D$121*E92^2+'Performance Standards'!$D$122*E92+'Performance Standards'!$D$123),2))))</f>
        <v/>
      </c>
      <c r="G92" s="418" t="str">
        <f>IFERROR(F92,"")</f>
        <v/>
      </c>
      <c r="H92" s="500"/>
      <c r="I92" s="459"/>
      <c r="J92" s="460"/>
      <c r="K92" s="460"/>
    </row>
    <row r="93" spans="1:12" ht="15.5" x14ac:dyDescent="0.35">
      <c r="A93" s="524" t="s">
        <v>6</v>
      </c>
      <c r="B93" s="524" t="s">
        <v>7</v>
      </c>
      <c r="C93" s="55" t="s">
        <v>8</v>
      </c>
      <c r="D93" s="55"/>
      <c r="E93" s="147">
        <v>1</v>
      </c>
      <c r="F93" s="254">
        <f>IF(E93="","",ROUND(IF(E93&gt;1.6,0,IF(E93&lt;=1,1,E93^2*'Performance Standards'!K$14+E93*'Performance Standards'!K$15+'Performance Standards'!K$16)),2))</f>
        <v>1</v>
      </c>
      <c r="G93" s="526">
        <f>IFERROR(AVERAGE(F93:F94),"")</f>
        <v>0.88500000000000001</v>
      </c>
      <c r="H93" s="526">
        <f>IFERROR(ROUND(AVERAGE(G93:G94),2),"")</f>
        <v>0.89</v>
      </c>
      <c r="I93" s="533" t="str">
        <f>IF(H93="","",IF(H93&gt;0.69,"Functioning",IF(H93&gt;0.29,"Functioning At Risk",IF(H93&gt;-1,"Not Functioning"))))</f>
        <v>Functioning</v>
      </c>
      <c r="J93" s="460"/>
      <c r="K93" s="460"/>
    </row>
    <row r="94" spans="1:12" ht="15.65" customHeight="1" x14ac:dyDescent="0.35">
      <c r="A94" s="525"/>
      <c r="B94" s="525"/>
      <c r="C94" s="57" t="s">
        <v>9</v>
      </c>
      <c r="D94" s="57"/>
      <c r="E94" s="148">
        <v>3</v>
      </c>
      <c r="F94" s="255">
        <f>IF(E94="","",IF(OR('Quantification Tool'!$B$9="A",'Quantification Tool'!$B$9="Ba",'Quantification Tool'!$B$9="B", 'Quantification Tool'!$B$9="Bc"),IF(E94&lt;1.2,0,IF(E94&gt;=2.2,1,ROUND(IF(E94&lt;1.4,E94*'Performance Standards'!$K$84+'Performance Standards'!$K$85,E94*'Performance Standards'!$L$84+'Performance Standards'!$L$85),2))),IF(OR('Quantification Tool'!$B$9="C",'Quantification Tool'!$B$9="Cb",'Quantification Tool'!$B$9="E"),IF(E94&lt;2,0,IF(E94&gt;=5,1,ROUND(IF(E94&lt;2.4,E94*'Performance Standards'!$L$49+'Performance Standards'!$L$50,E94*'Performance Standards'!$K$49+'Performance Standards'!$K$50),2))))))</f>
        <v>0.77</v>
      </c>
      <c r="G94" s="527"/>
      <c r="H94" s="532"/>
      <c r="I94" s="534"/>
      <c r="J94" s="460"/>
      <c r="K94" s="460"/>
    </row>
    <row r="95" spans="1:12" ht="15.5" x14ac:dyDescent="0.35">
      <c r="A95" s="477" t="s">
        <v>23</v>
      </c>
      <c r="B95" s="477" t="s">
        <v>24</v>
      </c>
      <c r="C95" s="64" t="s">
        <v>22</v>
      </c>
      <c r="D95" s="67"/>
      <c r="E95" s="115">
        <v>300</v>
      </c>
      <c r="F95" s="419">
        <f>IF(E95="","",IF(E95&gt;600,1,IF(E95&lt;300,ROUND('Performance Standards'!$S$15*(E95^2)+'Performance Standards'!$S$16*E95+'Performance Standards'!$S$17,2),ROUND('Performance Standards'!$T$16*E95+'Performance Standards'!$T$17,2))))</f>
        <v>0.7</v>
      </c>
      <c r="G95" s="466">
        <f>IFERROR(AVERAGE(F95:F96),"")</f>
        <v>0.7</v>
      </c>
      <c r="H95" s="531">
        <f>IFERROR(ROUND(AVERAGE(G95:G118),2),"")</f>
        <v>0.72</v>
      </c>
      <c r="I95" s="460" t="str">
        <f>IF(H95="","",IF(H95&gt;0.69,"Functioning",IF(H95&gt;0.29,"Functioning At Risk",IF(H95&gt;-1,"Not Functioning"))))</f>
        <v>Functioning</v>
      </c>
      <c r="J95" s="460"/>
      <c r="K95" s="460"/>
    </row>
    <row r="96" spans="1:12" ht="15.5" x14ac:dyDescent="0.35">
      <c r="A96" s="478"/>
      <c r="B96" s="479"/>
      <c r="C96" s="66" t="s">
        <v>357</v>
      </c>
      <c r="D96" s="68"/>
      <c r="E96" s="148"/>
      <c r="F96" s="192" t="str">
        <f>IF(E96="","",IF(E96&lt;=0,0,IF(E96&gt;=30,1,ROUND(IF(E96&lt;=15,'Performance Standards'!$S$49*E96^2+'Performance Standards'!$S$50*E96,'Performance Standards'!$T$50*E96+'Performance Standards'!$T$51),2))))</f>
        <v/>
      </c>
      <c r="G96" s="468"/>
      <c r="H96" s="531"/>
      <c r="I96" s="460"/>
      <c r="J96" s="460"/>
      <c r="K96" s="460"/>
    </row>
    <row r="97" spans="1:13" ht="15.5" x14ac:dyDescent="0.35">
      <c r="A97" s="478"/>
      <c r="B97" s="478" t="s">
        <v>46</v>
      </c>
      <c r="C97" s="61" t="s">
        <v>91</v>
      </c>
      <c r="D97" s="61"/>
      <c r="E97" s="115"/>
      <c r="F97" s="238" t="str">
        <f>IF(E97="","",ROUND(IF(E97&gt;0.7,0,IF(E97&lt;=0.1,1,E97^3*'Performance Standards'!S$83+E97^2*'Performance Standards'!S$84+E97*'Performance Standards'!S$85+'Performance Standards'!S$86)),2))</f>
        <v/>
      </c>
      <c r="G97" s="466">
        <f>IFERROR(IF(E97="",AVERAGE(F98:F99),IF(E98="",F97,MAX(F97,AVERAGE(F98:F99)))),"")</f>
        <v>0.65</v>
      </c>
      <c r="H97" s="531"/>
      <c r="I97" s="460"/>
      <c r="J97" s="460"/>
      <c r="K97" s="460"/>
    </row>
    <row r="98" spans="1:13" ht="15.5" x14ac:dyDescent="0.35">
      <c r="A98" s="478"/>
      <c r="B98" s="478"/>
      <c r="C98" s="61" t="s">
        <v>47</v>
      </c>
      <c r="D98" s="61"/>
      <c r="E98" s="147" t="s">
        <v>33</v>
      </c>
      <c r="F98" s="256">
        <f>IF(E98="","",IF(OR(E98="Ex/Ex",E98="Ex/VH"),0, IF(OR(E98="Ex/H",E98="VH/Ex",E98="VH/VH", E98="H/Ex",E98="H/VH",E98="M/Ex"),0.1,IF(OR(E98="Ex/M",E98="VH/H",E98="H/H", E98="M/VH"),0.2, IF(OR(E98="Ex/L",E98="VH/M",E98="H/M", E98="M/H",E98="L/Ex"),0.3, IF(OR(E98="Ex/VL",E98="VH/L",E98="H/L"),0.4, IF(OR(E98="VH/VL",E98="H/VL",E98="M/M", E98="L/VH"),0.5, IF(OR(E98="M/L",E98="L/H"),0.6, IF(OR(E98="M/VL",E98="L/M"),0.7, IF(OR(E98="L/L",E98="L/VL"),1))))))))))</f>
        <v>0.3</v>
      </c>
      <c r="G98" s="467"/>
      <c r="H98" s="531"/>
      <c r="I98" s="460"/>
      <c r="J98" s="460"/>
      <c r="K98" s="460"/>
    </row>
    <row r="99" spans="1:13" ht="15.5" x14ac:dyDescent="0.35">
      <c r="A99" s="478"/>
      <c r="B99" s="478"/>
      <c r="C99" s="63" t="s">
        <v>102</v>
      </c>
      <c r="D99" s="63"/>
      <c r="E99" s="148">
        <v>5</v>
      </c>
      <c r="F99" s="213">
        <f>IF(E99="","",ROUND(IF(E99&gt;50,0,IF(E99&lt;5,1,IF(E99&gt;9,E99^2*'Performance Standards'!S$119+E99*'Performance Standards'!S$120+'Performance Standards'!S$121,'Performance Standards'!$T$120*E99+'Performance Standards'!$T$121))),2))</f>
        <v>1</v>
      </c>
      <c r="G99" s="468"/>
      <c r="H99" s="531"/>
      <c r="I99" s="460"/>
      <c r="J99" s="460"/>
      <c r="K99" s="460"/>
    </row>
    <row r="100" spans="1:13" ht="15.5" x14ac:dyDescent="0.35">
      <c r="A100" s="478"/>
      <c r="B100" s="477" t="s">
        <v>48</v>
      </c>
      <c r="C100" s="67" t="s">
        <v>447</v>
      </c>
      <c r="D100" s="67"/>
      <c r="E100" s="147">
        <v>100</v>
      </c>
      <c r="F100" s="256">
        <f>IF(E100="","",IF('Quantification Tool'!$B$22="Unconfined Alluvial",IF(E100&gt;=100,1,IF(E100&lt;30,0,ROUND('Performance Standards'!$S$155*E100^2+'Performance Standards'!$S$156*E100+'Performance Standards'!$S$157,2))),IF('Quantification Tool'!$B$22="Confined Alluvial",(IF(E100&gt;=100,1,IF(E100&lt;60,0,ROUND('Performance Standards'!$T$155*E100^2+'Performance Standards'!$T$156*E100+'Performance Standards'!$T$157,2)))),IF('Quantification Tool'!$B$22="Colluvial/V-Shaped",(IF(E100&gt;=100,1,IF(E100&lt;80,0,ROUND('Performance Standards'!$U$155*E100^2+'Performance Standards'!$U$156*E100+'Performance Standards'!$U$157,2))))))))</f>
        <v>1</v>
      </c>
      <c r="G100" s="466">
        <f>IFERROR(AVERAGE(F100:F112),"")</f>
        <v>0.67384615384615398</v>
      </c>
      <c r="H100" s="531"/>
      <c r="I100" s="460"/>
      <c r="J100" s="460"/>
      <c r="K100" s="460"/>
    </row>
    <row r="101" spans="1:13" ht="15.5" x14ac:dyDescent="0.35">
      <c r="A101" s="478"/>
      <c r="B101" s="478"/>
      <c r="C101" s="61" t="s">
        <v>448</v>
      </c>
      <c r="D101" s="61"/>
      <c r="E101" s="147">
        <v>100</v>
      </c>
      <c r="F101" s="256">
        <f>IF(E101="","",IF('Quantification Tool'!$B$22="Unconfined Alluvial",IF(E101&gt;=100,1,IF(E101&lt;30,0,ROUND('Performance Standards'!$S$155*E101^2+'Performance Standards'!$S$156*E101+'Performance Standards'!$S$157,2))),IF('Quantification Tool'!$B$22="Confined Alluvial",(IF(E101&gt;=100,1,IF(E101&lt;60,0,ROUND('Performance Standards'!$T$155*E101^2+'Performance Standards'!$T$156*E101+'Performance Standards'!$T$157,2)))),IF('Quantification Tool'!$B$22="Colluvial/V-Shaped",(IF(E101&gt;=100,1,IF(E101&lt;80,0,ROUND('Performance Standards'!$U$155*E101^2+'Performance Standards'!$U$156*E101+'Performance Standards'!$U$157,2))))))))</f>
        <v>1</v>
      </c>
      <c r="G101" s="467"/>
      <c r="H101" s="531"/>
      <c r="I101" s="460"/>
      <c r="J101" s="460"/>
      <c r="K101" s="460"/>
    </row>
    <row r="102" spans="1:13" ht="15.5" x14ac:dyDescent="0.35">
      <c r="A102" s="478"/>
      <c r="B102" s="478"/>
      <c r="C102" s="61" t="s">
        <v>299</v>
      </c>
      <c r="D102" s="61"/>
      <c r="E102" s="147">
        <v>10</v>
      </c>
      <c r="F102" s="256">
        <f>IF(E102="","",IF('Quantification Tool'!$B$20="Herbaceous","",IF(E102="","",IF('Quantification Tool'!$B$10="Mountains",(IF(E102&gt;=90,1,ROUND('Performance Standards'!$S$191*E102^3+'Performance Standards'!$S$192*E102^2+'Performance Standards'!$S$193*E102+'Performance Standards'!$S$194,2))),IF('Quantification Tool'!$B$10="Basin",(IF(E102&gt;=90,1,ROUND('Performance Standards'!$T$191*E102^3+'Performance Standards'!$T$192*E102^2+'Performance Standards'!$T$193*E102+'Performance Standards'!$T$194,2))),(IF('Quantification Tool'!$B$10="Plains",(IF(E102&gt;=75,1,ROUND('Performance Standards'!$U$191*E102^3+'Performance Standards'!$U$192*E102^2+'Performance Standards'!$U$193*E102+'Performance Standards'!$U$194,2))))))))))</f>
        <v>0.05</v>
      </c>
      <c r="G102" s="467"/>
      <c r="H102" s="531"/>
      <c r="I102" s="460"/>
      <c r="J102" s="460"/>
      <c r="K102" s="460"/>
    </row>
    <row r="103" spans="1:13" ht="15.5" x14ac:dyDescent="0.35">
      <c r="A103" s="478"/>
      <c r="B103" s="478"/>
      <c r="C103" s="61" t="s">
        <v>300</v>
      </c>
      <c r="D103" s="61"/>
      <c r="E103" s="147">
        <v>10</v>
      </c>
      <c r="F103" s="256">
        <f>IF(E103="","",IF('Quantification Tool'!$B$20="Herbaceous","",IF(E103="","",IF('Quantification Tool'!$B$10="Mountains",(IF(E103&gt;=90,1,ROUND('Performance Standards'!$S$191*E103^3+'Performance Standards'!$S$192*E103^2+'Performance Standards'!$S$193*E103+'Performance Standards'!$S$194,2))),IF('Quantification Tool'!$B$10="Basin",(IF(E103&gt;=90,1,ROUND('Performance Standards'!$T$191*E103^3+'Performance Standards'!$T$192*E103^2+'Performance Standards'!$T$193*E103+'Performance Standards'!$T$194,2))),(IF('Quantification Tool'!$B$10="Plains",(IF(E103&gt;=75,1,ROUND('Performance Standards'!$U$191*E103^3+'Performance Standards'!$U$192*E103^2+'Performance Standards'!$U$193*E103+'Performance Standards'!$U$194,2))))))))))</f>
        <v>0.05</v>
      </c>
      <c r="G103" s="467"/>
      <c r="H103" s="531"/>
      <c r="I103" s="460"/>
      <c r="J103" s="460"/>
      <c r="K103" s="460"/>
    </row>
    <row r="104" spans="1:13" ht="15.5" x14ac:dyDescent="0.35">
      <c r="A104" s="478"/>
      <c r="B104" s="478"/>
      <c r="C104" s="61" t="s">
        <v>301</v>
      </c>
      <c r="D104" s="61"/>
      <c r="E104" s="147">
        <v>50</v>
      </c>
      <c r="F104" s="256">
        <f>IF(E104="","",IF('Quantification Tool'!$B$20="Herbaceous",IF(E104&lt;30,0,IF(E104&gt;=100,1,ROUND(E104^2*'Performance Standards'!$S$225+E104*'Performance Standards'!$S$226+'Performance Standards'!$S$227,2))),IF('Quantification Tool'!$B$22="Colluvial/V-Shaped",IF(E104&gt;=100,0,IF(AND(E104&gt;=0,E104&lt;=15),ROUND(E104*'Performance Standards'!$S$259+'Performance Standards'!$S$260,2),IF(AND(E104&gt;=15,E104&lt;=55),ROUND(E104*'Performance Standards'!$T$259+'Performance Standards'!$T$260,2),IF(AND(E104&gt;=56,E104&lt;=100),ROUND(E104^2*'Performance Standards'!$U$259+E104*'Performance Standards'!$U$260+'Performance Standards'!$U$261,2))))),IF(OR(E104&gt;=100,E104&lt;=0),0,IF(AND(E104&gt;0,E104&lt;=70),ROUND(E104^2*'Performance Standards'!$S$292+E104*'Performance Standards'!$S$293+'Performance Standards'!$S$294,2),IF(AND(E104&gt;70,E104&lt;100),ROUND(E104^2*'Performance Standards'!$T$292+E104*'Performance Standards'!$T$293+'Performance Standards'!$T$294,2)))))))</f>
        <v>0.93</v>
      </c>
      <c r="G104" s="467"/>
      <c r="H104" s="531"/>
      <c r="I104" s="460"/>
      <c r="J104" s="460"/>
      <c r="K104" s="460"/>
    </row>
    <row r="105" spans="1:13" ht="15.5" x14ac:dyDescent="0.35">
      <c r="A105" s="478"/>
      <c r="B105" s="478"/>
      <c r="C105" s="61" t="s">
        <v>302</v>
      </c>
      <c r="D105" s="61"/>
      <c r="E105" s="147">
        <v>50</v>
      </c>
      <c r="F105" s="256">
        <f>IF(E105="","",IF('Quantification Tool'!$B$20="Herbaceous",IF(E105&lt;30,0,IF(E105&gt;=100,1,ROUND(E105^2*'Performance Standards'!$S$225+E105*'Performance Standards'!$S$226+'Performance Standards'!$S$227,2))),IF('Quantification Tool'!$B$22="Colluvial/V-Shaped",IF(E105&gt;=100,0,IF(AND(E105&gt;=0,E105&lt;=15),ROUND(E105*'Performance Standards'!$S$259+'Performance Standards'!$S$260,2),IF(AND(E105&gt;=15,E105&lt;=55),ROUND(E105*'Performance Standards'!$T$259+'Performance Standards'!$T$260,2),IF(AND(E105&gt;=56,E105&lt;=100),ROUND(E105^2*'Performance Standards'!$U$259+E105*'Performance Standards'!$U$260+'Performance Standards'!$U$261,2))))),IF(OR(E105&gt;=100,E105&lt;=0),0,IF(AND(E105&gt;0,E105&lt;=70),ROUND(E105^2*'Performance Standards'!$S$292+E105*'Performance Standards'!$S$293+'Performance Standards'!$S$294,2),IF(AND(E105&gt;70,E105&lt;100),ROUND(E105^2*'Performance Standards'!$T$292+E105*'Performance Standards'!$T$293+'Performance Standards'!$T$294,2)))))))</f>
        <v>0.93</v>
      </c>
      <c r="G105" s="467"/>
      <c r="H105" s="531"/>
      <c r="I105" s="460"/>
      <c r="J105" s="460"/>
      <c r="K105" s="460"/>
    </row>
    <row r="106" spans="1:13" ht="15.5" x14ac:dyDescent="0.35">
      <c r="A106" s="478"/>
      <c r="B106" s="478"/>
      <c r="C106" s="61" t="s">
        <v>304</v>
      </c>
      <c r="D106" s="61"/>
      <c r="E106" s="147">
        <v>0</v>
      </c>
      <c r="F106" s="256">
        <f>IF(E106="","",ROUND(IF(E106&gt;=100,0,E106^2*'Performance Standards'!$S$324+E106*'Performance Standards'!$S$325+'Performance Standards'!$S$326),2))</f>
        <v>1</v>
      </c>
      <c r="G106" s="467"/>
      <c r="H106" s="531"/>
      <c r="I106" s="460"/>
      <c r="J106" s="460"/>
      <c r="K106" s="460"/>
    </row>
    <row r="107" spans="1:13" ht="15.5" x14ac:dyDescent="0.35">
      <c r="A107" s="478"/>
      <c r="B107" s="478"/>
      <c r="C107" s="61" t="s">
        <v>305</v>
      </c>
      <c r="D107" s="61"/>
      <c r="E107" s="147">
        <v>0</v>
      </c>
      <c r="F107" s="256">
        <f>IF(E107="","",ROUND(IF(E107&gt;=100,0,E107^2*'Performance Standards'!$S$324+E107*'Performance Standards'!$S$325+'Performance Standards'!$S$326),2))</f>
        <v>1</v>
      </c>
      <c r="G107" s="467"/>
      <c r="H107" s="531"/>
      <c r="I107" s="460"/>
      <c r="J107" s="460"/>
      <c r="K107" s="460"/>
    </row>
    <row r="108" spans="1:13" ht="15.5" x14ac:dyDescent="0.35">
      <c r="A108" s="478"/>
      <c r="B108" s="478"/>
      <c r="C108" s="61" t="s">
        <v>307</v>
      </c>
      <c r="D108" s="61"/>
      <c r="E108" s="147">
        <v>20</v>
      </c>
      <c r="F108" s="256">
        <f>IF(E108="","",ROUND(IF(E108&gt;=100,1,E108^3*'Performance Standards'!$S$357+E108^2*'Performance Standards'!$S$358+E108*'Performance Standards'!$S$359+$S$139),2))</f>
        <v>0.25</v>
      </c>
      <c r="G108" s="467"/>
      <c r="H108" s="531"/>
      <c r="I108" s="460"/>
      <c r="J108" s="460"/>
      <c r="K108" s="460"/>
    </row>
    <row r="109" spans="1:13" ht="15.5" x14ac:dyDescent="0.35">
      <c r="A109" s="478"/>
      <c r="B109" s="478"/>
      <c r="C109" s="61" t="s">
        <v>308</v>
      </c>
      <c r="D109" s="61"/>
      <c r="E109" s="147">
        <v>20</v>
      </c>
      <c r="F109" s="256">
        <f>IF(E109="","",ROUND(IF(E109&gt;=100,1,E109^3*'Performance Standards'!$S$357+E109^2*'Performance Standards'!$S$358+E109*'Performance Standards'!$S$359+$S$139),2))</f>
        <v>0.25</v>
      </c>
      <c r="G109" s="467"/>
      <c r="H109" s="531"/>
      <c r="I109" s="460"/>
      <c r="J109" s="460"/>
      <c r="K109" s="460"/>
    </row>
    <row r="110" spans="1:13" ht="15.5" x14ac:dyDescent="0.35">
      <c r="A110" s="478"/>
      <c r="B110" s="478"/>
      <c r="C110" s="61" t="s">
        <v>158</v>
      </c>
      <c r="D110" s="61"/>
      <c r="E110" s="159">
        <v>30</v>
      </c>
      <c r="F110" s="192">
        <f>IF(E110="","",IF(OR(E110&gt;=50,E110&lt;=0),0,IF(AND(E110&gt;=25,E110&lt;=36),1,ROUND(IF(E110&lt;25,'Performance Standards'!$S$394*E110^3+'Performance Standards'!$S$395*E110^2+'Performance Standards'!$S$396*E110+'Performance Standards'!$S$397,'Performance Standards'!$T$394*E110^3+'Performance Standards'!$T$395*E110^2+'Performance Standards'!$T$396*E110+'Performance Standards'!$T$397),2))))</f>
        <v>1</v>
      </c>
      <c r="G110" s="467"/>
      <c r="H110" s="531"/>
      <c r="I110" s="460"/>
      <c r="J110" s="460"/>
      <c r="K110" s="460"/>
    </row>
    <row r="111" spans="1:13" ht="15.5" x14ac:dyDescent="0.35">
      <c r="A111" s="478"/>
      <c r="B111" s="478"/>
      <c r="C111" s="61" t="s">
        <v>159</v>
      </c>
      <c r="D111" s="61"/>
      <c r="E111" s="147">
        <v>30</v>
      </c>
      <c r="F111" s="192">
        <f>IF(E111="","",IF(OR(E111&gt;=50,E111&lt;=0),0,IF(AND(E111&gt;=25,E111&lt;=36),1,ROUND(IF(E111&lt;25,'Performance Standards'!$S$394*E111^3+'Performance Standards'!$S$395*E111^2+'Performance Standards'!$S$396*E111+'Performance Standards'!$S$397,'Performance Standards'!$T$394*E111^3+'Performance Standards'!$T$395*E111^2+'Performance Standards'!$T$396*E111+'Performance Standards'!$T$397),2))))</f>
        <v>1</v>
      </c>
      <c r="G111" s="467"/>
      <c r="H111" s="531"/>
      <c r="I111" s="460"/>
      <c r="J111" s="460"/>
      <c r="K111" s="460"/>
      <c r="M111" s="7"/>
    </row>
    <row r="112" spans="1:13" ht="15.5" x14ac:dyDescent="0.35">
      <c r="A112" s="478"/>
      <c r="B112" s="479"/>
      <c r="C112" s="61" t="s">
        <v>298</v>
      </c>
      <c r="D112" s="68"/>
      <c r="E112" s="148">
        <v>5</v>
      </c>
      <c r="F112" s="256">
        <f>IF(E112="","",ROUND(IF(E112&lt;=2,0,IF(E112&gt;=9,1,E112^3*'Performance Standards'!S$430+E112^2*'Performance Standards'!$S$431+E112*'Performance Standards'!$S$432+'Performance Standards'!$S$433)),2))</f>
        <v>0.3</v>
      </c>
      <c r="G112" s="468"/>
      <c r="H112" s="531"/>
      <c r="I112" s="460"/>
      <c r="J112" s="460"/>
      <c r="K112" s="460"/>
    </row>
    <row r="113" spans="1:12" ht="15.5" x14ac:dyDescent="0.35">
      <c r="A113" s="478"/>
      <c r="B113" s="59" t="s">
        <v>121</v>
      </c>
      <c r="C113" s="74" t="s">
        <v>160</v>
      </c>
      <c r="D113" s="61"/>
      <c r="E113" s="43"/>
      <c r="F113" s="191" t="str">
        <f>IF(E113="","",IF('Quantification Tool'!$B$13="Sand","NA",IF(E113&gt;0.1,1,IF(E113&lt;=0.01,0,ROUND(E113*'Performance Standards'!$S$464+'Performance Standards'!$S$465,2)))))</f>
        <v/>
      </c>
      <c r="G113" s="83" t="str">
        <f>IFERROR(AVERAGE(F113),"")</f>
        <v/>
      </c>
      <c r="H113" s="531"/>
      <c r="I113" s="460"/>
      <c r="J113" s="460"/>
      <c r="K113" s="460"/>
    </row>
    <row r="114" spans="1:12" ht="15.5" x14ac:dyDescent="0.35">
      <c r="A114" s="478"/>
      <c r="B114" s="477" t="s">
        <v>49</v>
      </c>
      <c r="C114" s="67" t="s">
        <v>50</v>
      </c>
      <c r="D114" s="67"/>
      <c r="E114" s="160">
        <v>7</v>
      </c>
      <c r="F114" s="161">
        <f>IF(E114="","",IF('Quantification Tool'!$B$9="Bc",IF(OR(E114&gt;9.2,E114&lt;=0.1),0,IF(E114&lt;=4,1,ROUND('Performance Standards'!$S$598*E114^2+'Performance Standards'!$S$599*E114+'Performance Standards'!$S$600,2))),IF(OR('Quantification Tool'!$B$9="B",'Quantification Tool'!$B$9="Ba"),IF(OR(E114&gt;7.5,E114&lt;=0.1),0,IF(E114&lt;=3,1,ROUND(IF(E114&gt;4,'Performance Standards'!$S$567*E114+'Performance Standards'!$S$568,'Performance Standards'!$T$567*E114+'Performance Standards'!$T$568),2))),IF('Quantification Tool'!$B$9="Cb",IF(OR(E114&gt;=7.6,E114&lt;=2.4),0,IF(AND(E114&gt;=3.7,E114&lt;=5),1,ROUND(IF(E114&lt;4,'Performance Standards'!$S$534*E114^2+'Performance Standards'!$S$535*E114+'Performance Standards'!$S$536,'Performance Standards'!$T$534*E114^2+'Performance Standards'!$T$535*E114+'Performance Standards'!$T$536),2))),IF('Quantification Tool'!$B$9="C",IF(OR(E114&gt;9.3,E114&lt;=3),0,IF(AND(E114&gt;=4,E114&lt;=6),1,ROUND(IF(E114&lt;4,'Performance Standards'!$S$500*E114+'Performance Standards'!$S$501,'Performance Standards'!$T$500*E114+'Performance Standards'!$T$501),2))))))))</f>
        <v>0.7</v>
      </c>
      <c r="G114" s="466">
        <f>IFERROR(AVERAGE(F114:F117),"")</f>
        <v>0.9</v>
      </c>
      <c r="H114" s="531"/>
      <c r="I114" s="460"/>
      <c r="J114" s="460"/>
      <c r="K114" s="460"/>
    </row>
    <row r="115" spans="1:12" ht="15.5" x14ac:dyDescent="0.35">
      <c r="A115" s="478"/>
      <c r="B115" s="478"/>
      <c r="C115" s="61" t="s">
        <v>51</v>
      </c>
      <c r="D115" s="61"/>
      <c r="E115" s="159">
        <v>3</v>
      </c>
      <c r="F115" s="85">
        <f>IF(E115="","",IF(E115&lt;=1.1,0,IF(E115&gt;=2.5,1,ROUND(IF(E115&lt;1.2,'Performance Standards'!$S$632*E115+'Performance Standards'!$S$633,'Performance Standards'!$T$631*E115^2+'Performance Standards'!$T$632*E115+'Performance Standards'!$T$633),2))))</f>
        <v>1</v>
      </c>
      <c r="G115" s="467"/>
      <c r="H115" s="531"/>
      <c r="I115" s="460"/>
      <c r="J115" s="460"/>
      <c r="K115" s="460"/>
    </row>
    <row r="116" spans="1:12" ht="15.5" x14ac:dyDescent="0.35">
      <c r="A116" s="478"/>
      <c r="B116" s="478"/>
      <c r="C116" s="61" t="s">
        <v>52</v>
      </c>
      <c r="D116" s="61"/>
      <c r="E116" s="159">
        <v>50</v>
      </c>
      <c r="F116" s="417">
        <f>IF(E116="","",IF('Quantification Tool'!$B$11="Volcanic Mountains &amp; Valleys", IF(OR(E116&gt;95,E116&lt;58),0,IF(AND(E116&gt;=73,E116&lt;=80),1, ROUND(IF(E116&lt;73,'Performance Standards'!$S$665*E116^2+'Performance Standards'!$S$666*E116+'Performance Standards'!$S$667, 'Performance Standards'!$T$665*E116^2+'Performance Standards'!$T$666*E116+'Performance Standards'!$T$667),2))), IF('Quantification Tool'!$B$16="","Need Slope",IF('Quantification Tool'!$B$16&lt;3,IF( OR(E116&gt;73,E116&lt;37),0, IF(AND(E116&gt;=50,E116&lt;= 60), 1, ROUND(IF(E116&lt;50,'Performance Standards'!$S$699*E116^2+'Performance Standards'!$S$700*E116+'Performance Standards'!$S$701, IF(E116&gt;60,'Performance Standards'!$T$699*E116^2+'Performance Standards'!$T$700*E116+'Performance Standards'!$T$701)),2))), IF('Quantification Tool'!$B$16&gt;=3,IF(OR(E116&gt;88,E116&lt;57),0, IF(AND(E116 &gt;=70, E116&lt;=76),1, ROUND(IF(E116&lt;70,'Performance Standards'!$S$734*E116^2+'Performance Standards'!$S$735*E116+'Performance Standards'!$S$736,'Performance Standards'!$T$734*E116^2+'Performance Standards'!$T$735*E116+'Performance Standards'!$T$736),2) )))))))</f>
        <v>1</v>
      </c>
      <c r="G116" s="467"/>
      <c r="H116" s="531"/>
      <c r="I116" s="460"/>
      <c r="J116" s="460"/>
      <c r="K116" s="460"/>
    </row>
    <row r="117" spans="1:12" ht="15.5" x14ac:dyDescent="0.35">
      <c r="A117" s="478"/>
      <c r="B117" s="479"/>
      <c r="C117" s="66" t="s">
        <v>248</v>
      </c>
      <c r="D117" s="68"/>
      <c r="E117" s="154"/>
      <c r="F117" s="420" t="str">
        <f>IF(E117="","",IF(E117&gt;=1.6,0,IF(E117&lt;=1,1,ROUND('Performance Standards'!$S$766*E117^3+'Performance Standards'!$S$767*E117^2+'Performance Standards'!$S$768*E117+'Performance Standards'!$S$769,2))))</f>
        <v/>
      </c>
      <c r="G117" s="468"/>
      <c r="H117" s="531"/>
      <c r="I117" s="460"/>
      <c r="J117" s="460"/>
      <c r="K117" s="460"/>
      <c r="L117" s="2"/>
    </row>
    <row r="118" spans="1:12" ht="15.5" x14ac:dyDescent="0.35">
      <c r="A118" s="479"/>
      <c r="B118" s="424" t="s">
        <v>54</v>
      </c>
      <c r="C118" s="68" t="s">
        <v>53</v>
      </c>
      <c r="D118" s="68"/>
      <c r="E118" s="148">
        <v>1.2</v>
      </c>
      <c r="F118" s="70">
        <f>IF(E118="","",IF('Quantification Tool'!$B$9="E",IF(OR(E118&gt;2,E118&lt;1.2),0, IF(AND(E118&gt;=1.6, E118&lt;=1.7),1, ROUND(IF(E118&lt;1.3,E118*'Performance Standards'!S$803+'Performance Standards'!S$804,IF(E118&lt;=1.6,E118*'Performance Standards'!T$803+'Performance Standards'!T$804, E118^2*'Performance Standards'!U$802+E118*'Performance Standards'!U$803+'Performance Standards'!$U$804)),2))),IF(LEFT('Quantification Tool'!$B$9,1)="C",IF(OR(E118&lt;1.15, E118&gt;1.5),0, IF(AND(E118&lt;=1.35,E118&gt;=1.25),1,ROUND(IF(E118&lt;1.25,E118^2*'Performance Standards'!$S$836+E118*'Performance Standards'!$S$837+'Performance Standards'!$S$838, E118^2*'Performance Standards'!$T$836+E118*'Performance Standards'!$T$837+'Performance Standards'!$T$838),2))),IF(LEFT('Quantification Tool'!$B$9,1)="B",IF(OR(E118&gt;1.4,E118&lt;1),0, IF(AND(E118&gt;=1.15,E118&lt;=1.25),1, ROUND(IF(E118&lt;=1.15,E118^2*'Performance Standards'!$S$867+E118*'Performance Standards'!$S$868+'Performance Standards'!$S$869,E118^2*'Performance Standards'!$T$867+E118*'Performance Standards'!$T$868+'Performance Standards'!$T$869),2)))))))</f>
        <v>0.7</v>
      </c>
      <c r="G118" s="85">
        <f>IFERROR(AVERAGE(F118),"")</f>
        <v>0.7</v>
      </c>
      <c r="H118" s="531"/>
      <c r="I118" s="460"/>
      <c r="J118" s="460"/>
      <c r="K118" s="460"/>
      <c r="L118" s="2"/>
    </row>
    <row r="119" spans="1:12" ht="15.5" x14ac:dyDescent="0.35">
      <c r="A119" s="453" t="s">
        <v>58</v>
      </c>
      <c r="B119" s="453" t="s">
        <v>93</v>
      </c>
      <c r="C119" s="182" t="s">
        <v>272</v>
      </c>
      <c r="D119" s="71"/>
      <c r="E119" s="147"/>
      <c r="F119" s="178" t="str">
        <f>IF(E119="","",IF('Quantification Tool'!$B$18="","Enter Stream Temperature",IF('Quantification Tool'!$B$18="Tier I (Cold) ",IF(E119&gt;=24.6,0,IF(E119&lt;=15.5,1,ROUND(E119*'Performance Standards'!$AB$19+'Performance Standards'!$AB$20,2))),IF('Quantification Tool'!$B$18="Tier II (Cold-Cool)",IF(E119&gt;=27.8,0,IF(E119&lt;=15.6,1,ROUND(E119*'Performance Standards'!$AC$19+'Performance Standards'!$AC$20,2))),IF('Quantification Tool'!$B$18="Tier III (Cool) ",IF(E119&gt;=32.4,0,IF(E119&lt;=17.8,1,ROUND(E119*'Performance Standards'!$AD$19+'Performance Standards'!$AD$20,2))),IF('Quantification Tool'!$B$18="Tier IV (Cool-Warm)",IF(E119&gt;=34.6,0,IF(E119&lt;=20,1,ROUND(E119*'Performance Standards'!$AE$19+'Performance Standards'!$AE$20,2))),IF('Quantification Tool'!$B$18="Tier V (Warm)",IF(E119&gt;35.4,0,IF(E119&lt;=24.6,1,ROUND(E119*'Performance Standards'!$AF$19+'Performance Standards'!$AF$20,2))))))))))</f>
        <v/>
      </c>
      <c r="G119" s="455">
        <f>IFERROR(IF(E119="",F120,IF(E120="",F119,MIN(F119:F120))),"")</f>
        <v>0.61</v>
      </c>
      <c r="H119" s="455">
        <f>IFERROR(ROUND(AVERAGE(G119:G121),2),"")</f>
        <v>0.47</v>
      </c>
      <c r="I119" s="459" t="str">
        <f>IF(H119="","",IF(H119&gt;0.69,"Functioning",IF(H119&gt;0.29,"Functioning At Risk",IF(H119&gt;-1,"Not Functioning"))))</f>
        <v>Functioning At Risk</v>
      </c>
      <c r="J119" s="460"/>
      <c r="K119" s="460"/>
      <c r="L119" s="7"/>
    </row>
    <row r="120" spans="1:12" ht="15.5" x14ac:dyDescent="0.35">
      <c r="A120" s="469"/>
      <c r="B120" s="454"/>
      <c r="C120" s="183" t="s">
        <v>273</v>
      </c>
      <c r="D120" s="71"/>
      <c r="E120" s="147">
        <v>17</v>
      </c>
      <c r="F120" s="179">
        <f>IF(E120="","",IF('Quantification Tool'!$B$18="","Enter Stream Temperature",IF('Quantification Tool'!$B$18="Tier I (Cold) ",IF(E120&gt;=19.3,0,IF(E120&lt;=15.5,1,ROUND(E120*'Performance Standards'!$AB$55+'Performance Standards'!$AB$56,2))),IF('Quantification Tool'!$B$18="Tier II (Cold-Cool)",IF(E120&gt;=21,0,IF(E120&lt;=15.6,1,ROUND(E120*'Performance Standards'!$AC$55+'Performance Standards'!$AC$56,2))),IF('Quantification Tool'!$B$18="Tier III (Cool) ",IF(E120&gt;=24,0,IF(E120&lt;=17.8,1,ROUND(E120*'Performance Standards'!$AD$55+'Performance Standards'!$AD$56,2))),IF('Quantification Tool'!$B$18="Tier IV (Cool-Warm)",IF(E120&gt;=28.8,0,IF(E120&lt;=20,1,ROUND(E120*'Performance Standards'!$AE$55+'Performance Standards'!$AE$56,2))),IF('Quantification Tool'!$B$18="Tier V (Warm)",IF(E120&gt;=31,0,IF(E120&lt;=24.5,1,ROUND(E120*'Performance Standards'!$AF$55+'Performance Standards'!$AF$56,2))))))))))</f>
        <v>0.61</v>
      </c>
      <c r="G120" s="456"/>
      <c r="H120" s="535"/>
      <c r="I120" s="459"/>
      <c r="J120" s="460"/>
      <c r="K120" s="460"/>
      <c r="L120" s="7"/>
    </row>
    <row r="121" spans="1:12" ht="15.5" x14ac:dyDescent="0.35">
      <c r="A121" s="454"/>
      <c r="B121" s="243" t="s">
        <v>297</v>
      </c>
      <c r="C121" s="75" t="s">
        <v>238</v>
      </c>
      <c r="D121" s="72"/>
      <c r="E121" s="43">
        <v>50</v>
      </c>
      <c r="F121" s="163">
        <f>IF(E121="","",IF(OR('Quantification Tool'!$B$10="Basin",'Quantification Tool'!$B$10="Plains"),IF(E121&gt;=150,0,IF(E121&lt;21,1,ROUND('Performance Standards'!$AB$87*LN(E121)+'Performance Standards'!$AB$88,2))),IF(E121&gt;=97,0,IF(E121&lt;=13,1,ROUND('Performance Standards'!$AB$120*LN(E121)+'Performance Standards'!$AB$121,2)))))</f>
        <v>0.33</v>
      </c>
      <c r="G121" s="87">
        <f>IFERROR(AVERAGE(F121),"")</f>
        <v>0.33</v>
      </c>
      <c r="H121" s="456"/>
      <c r="I121" s="459"/>
      <c r="J121" s="460"/>
      <c r="K121" s="460"/>
      <c r="L121" s="7"/>
    </row>
    <row r="122" spans="1:12" ht="15.5" x14ac:dyDescent="0.35">
      <c r="A122" s="482" t="s">
        <v>59</v>
      </c>
      <c r="B122" s="457" t="s">
        <v>73</v>
      </c>
      <c r="C122" s="112" t="s">
        <v>217</v>
      </c>
      <c r="D122" s="113"/>
      <c r="E122" s="115">
        <v>0.5</v>
      </c>
      <c r="F122" s="153">
        <f>IF(E122="","",IF('Quantification Tool'!$B$11="","Enter Bioregion",IF('Quantification Tool'!$B$11="Wyoming Basin",IF(E122&lt;0.26,0,IF(E122&gt;0.94,1,ROUND('Performance Standards'!$AK$18*E122+'Performance Standards'!$AK$19,2))), IF('Quantification Tool'!$B$11="Black Hills",IF(E122&lt;0.2,0,IF(E122&gt;0.98,1,ROUND('Performance Standards'!$AL$18*E122+'Performance Standards'!$AL$19,2))), IF('Quantification Tool'!$B$11="High Valleys",IF(E122&lt;0.23,0,IF(E122&gt;0.95,1,ROUND('Performance Standards'!$AM$18*E122+'Performance Standards'!$AM$19,2))), IF('Quantification Tool'!$B$11="Sedimentary Mountains",IF(E122&lt;=0.23,0,IF(E122&gt;=1,1,ROUND('Performance Standards'!$AN$18*E122+'Performance Standards'!$AN$19,2))), IF('Quantification Tool'!$B$11="Southern Rockies",IF(E122&lt;0.07,0,IF(E122&gt;0.96,1,ROUND('Performance Standards'!$AK$54*E122+'Performance Standards'!$AK$55,2))), IF('Quantification Tool'!$B$11="SE Plains",IF(E122&lt;0.2,0,IF(E122&gt;0.95,1,ROUND('Performance Standards'!$AL$54*E122+'Performance Standards'!$AL$55,2))), IF('Quantification Tool'!$B$11="NE Plains",IF(E122&lt;0.2,0,IF(E122&gt;0.94,1,ROUND('Performance Standards'!$AM$54*E122+'Performance Standards'!$AM$55,2))),IF('Quantification Tool'!$B$11="Granitic Mountains",IF(E122&lt;0.45,0,IF(E122&gt;=1,1,ROUND('Performance Standards'!$AK$92*E122+'Performance Standards'!$AK$93,2))),IF('Quantification Tool'!$B$11="Bighorn Basin Foothills",IF(E122&lt;=0.1,0,IF(E122&gt;=1,1,ROUND('Performance Standards'!$AL$92*E122+'Performance Standards'!$AL$93,2))),IF('Quantification Tool'!$B$11="Volcanic Mountains &amp; Valleys",IF(E122&lt;0.35,0,IF(E122&gt;=1,1,ROUND('Performance Standards'!$AN$92*E122+'Performance Standards'!$AN$93,2))), IF('Quantification Tool'!$B$11="Southern Foothills &amp; Laramie Range",IF(E122&lt;0.3,0,IF(E122&gt;=1,1,ROUND('Performance Standards'!$AM$92*E122+'Performance Standards'!$AM$93,2))) )))))))))))))</f>
        <v>0.41</v>
      </c>
      <c r="G122" s="473">
        <f>IFERROR(IF(AND(F122="",F123=""),"",IF(OR(F122="",F123=""),AVERAGE(F122:F123),IF(OR(F122&lt;0.3,F123&lt;0.3),IF(OR(F122&gt;=0.7,F123&gt;=0.7),MIN(0.69,AVERAGE(F122:F123)),MIN(0.29,AVERAGE(F122:F123))), IF(OR(F122&gt;=0.7,F123&gt;=0.7),IF(AVERAGE(F122:F123)&lt;0.7,0.7,AVERAGE(F122:F123)),AVERAGE(F122:F123))))),"")</f>
        <v>0.28999999999999998</v>
      </c>
      <c r="H122" s="485">
        <f>IFERROR(ROUND(AVERAGE(G122:G126),2),"")</f>
        <v>0.47</v>
      </c>
      <c r="I122" s="459" t="str">
        <f>IF(H122="","",IF(H122&gt;0.69,"Functioning",IF(H122&gt;0.29,"Functioning At Risk",IF(H122&gt;-1,"Not Functioning"))))</f>
        <v>Functioning At Risk</v>
      </c>
      <c r="J122" s="460"/>
      <c r="K122" s="460"/>
      <c r="L122" s="7"/>
    </row>
    <row r="123" spans="1:12" ht="15.5" x14ac:dyDescent="0.35">
      <c r="A123" s="483"/>
      <c r="B123" s="458"/>
      <c r="C123" s="249" t="s">
        <v>218</v>
      </c>
      <c r="D123" s="250"/>
      <c r="E123" s="154">
        <v>0.5</v>
      </c>
      <c r="F123" s="88">
        <f>IF(E123="","",IF('Quantification Tool'!$B$11="","Enter Bioregion",IF('Quantification Tool'!$B$11="Wyoming Basin",IF(E123&lt;0.34,0,IF(E123&gt;0.96,1,ROUND('Performance Standards'!$AK$128*E123+'Performance Standards'!$AK$129,2))), IF('Quantification Tool'!$B$11="Black Hills",IF(E123&lt;0.36,0,IF(E123&gt;=1,1,ROUND('Performance Standards'!$AL$128*E123+'Performance Standards'!$AL$129,2))), IF('Quantification Tool'!$B$11="High Valleys",IF(E123&lt;0.38,0,IF(E123&gt;0.98,1,ROUND('Performance Standards'!$AM$128*E123+'Performance Standards'!$AM$129,2))), IF('Quantification Tool'!$B$11="Sedimentary Mountains",IF(E123&lt;0.36,0,IF(E123&gt;0.97,1,ROUND('Performance Standards'!$AN$128*E123+'Performance Standards'!$AN$129,2))), IF('Quantification Tool'!$B$11="Southern Rockies",IF(E123&lt;0.25,0,IF(E123&gt;=1,1,ROUND('Performance Standards'!$AK$165*E123+'Performance Standards'!$AK$166,2))), IF('Quantification Tool'!$B$11="SE Plains",IF(E123&lt;0.33,0,IF(E123&gt;0.95,1,ROUND('Performance Standards'!$AL$165*E123+'Performance Standards'!$AL$166,2))), IF('Quantification Tool'!$B$11="NE Plains",IF(E123&lt;0.35,0,IF(E123&gt;0.98,1,ROUND('Performance Standards'!$AM$165*E123+'Performance Standards'!$AM$166,2))),IF('Quantification Tool'!$B$11="Granitic Mountains",IF(E123&lt;0.5,0,IF(E123&gt;0.98,1,ROUND('Performance Standards'!$AK$202*E123+'Performance Standards'!$AK$203,2))),IF('Quantification Tool'!$B$11="Bighorn Basin Foothills",IF(E123&lt;0.48,0,IF(E123&gt;=1,1,ROUND('Performance Standards'!$AL$202*E123+'Performance Standards'!$AL$203,2))),IF('Quantification Tool'!$B$11="Volcanic Mountains &amp; Valleys",IF(E123&lt;=0.2,0,IF(E123&gt;=1,1,ROUND('Performance Standards'!$AN$202*E123+'Performance Standards'!$AN$203,2))), IF('Quantification Tool'!$B$11="Southern Foothills &amp; Laramie Range",IF(E123&lt;0.28,0,IF(E123&gt;=1,1,ROUND('Performance Standards'!$AM$202*E123+'Performance Standards'!$AM$203,2))) )))))))))))))</f>
        <v>0.2</v>
      </c>
      <c r="G123" s="475"/>
      <c r="H123" s="485"/>
      <c r="I123" s="459"/>
      <c r="J123" s="460"/>
      <c r="K123" s="460"/>
      <c r="L123" s="7"/>
    </row>
    <row r="124" spans="1:12" ht="15.5" x14ac:dyDescent="0.35">
      <c r="A124" s="483"/>
      <c r="B124" s="457" t="s">
        <v>85</v>
      </c>
      <c r="C124" s="180" t="s">
        <v>264</v>
      </c>
      <c r="D124" s="113"/>
      <c r="E124" s="160">
        <v>95</v>
      </c>
      <c r="F124" s="172">
        <f>IF(E124="","",IF(E124&lt;58,0,IF(E124&gt;=100,1,ROUND(E124*'Performance Standards'!$AK$240+'Performance Standards'!$AK$241,2))))</f>
        <v>0.62</v>
      </c>
      <c r="G124" s="473">
        <f>IFERROR(AVERAGE(F124:F126),"")</f>
        <v>0.65500000000000003</v>
      </c>
      <c r="H124" s="485"/>
      <c r="I124" s="459"/>
      <c r="J124" s="460"/>
      <c r="K124" s="460"/>
      <c r="L124" s="7"/>
    </row>
    <row r="125" spans="1:12" ht="15.5" x14ac:dyDescent="0.35">
      <c r="A125" s="483"/>
      <c r="B125" s="476"/>
      <c r="C125" s="181" t="s">
        <v>265</v>
      </c>
      <c r="D125" s="250"/>
      <c r="E125" s="159">
        <v>2</v>
      </c>
      <c r="F125" s="172">
        <f>IF(E125="","",ROUND(IF(E125&gt;=3,0,IF(E125&lt;=1,1,0.69)),2))</f>
        <v>0.69</v>
      </c>
      <c r="G125" s="474"/>
      <c r="H125" s="485"/>
      <c r="I125" s="459"/>
      <c r="J125" s="460"/>
      <c r="K125" s="460"/>
      <c r="L125" s="7"/>
    </row>
    <row r="126" spans="1:12" ht="15.5" x14ac:dyDescent="0.35">
      <c r="A126" s="484"/>
      <c r="B126" s="458"/>
      <c r="C126" s="114" t="s">
        <v>266</v>
      </c>
      <c r="D126" s="73"/>
      <c r="E126" s="154"/>
      <c r="F126" s="88" t="str">
        <f>IF(E126="","",IF('Quantification Tool'!$B$21="","Enter Stream Producitvity Rating",IF('Quantification Tool'!$B$21="Blue Ribbon and non-trout",IF(E126&lt;5,0,IF(E126&gt;=40,1,ROUND(E126*'Performance Standards'!$AK$316+'Performance Standards'!$AK$317,2))),IF('Quantification Tool'!$B$21="Red Ribbon",IF(E126&lt;10,0,IF(E126&gt;=80,1,ROUND(E126*'Performance Standards'!$AL$316+'Performance Standards'!$AL$317,2))),IF('Quantification Tool'!$B$21="Yellow Ribbon",IF(E126&lt;15,0,IF(E126&gt;=119,1,ROUND(E126*'Performance Standards'!$AM$316+'Performance Standards'!$AM$317,2))),IF('Quantification Tool'!$B$21="Green Ribbon",IF(E126&lt;20,0,IF(E126&gt;=160,1,ROUND(E126*'Performance Standards'!$AN$316+'Performance Standards'!$AN$317,2)))))))))</f>
        <v/>
      </c>
      <c r="G126" s="475"/>
      <c r="H126" s="485"/>
      <c r="I126" s="459"/>
      <c r="J126" s="460"/>
      <c r="K126" s="460"/>
      <c r="L126" s="7"/>
    </row>
    <row r="127" spans="1:12" x14ac:dyDescent="0.35">
      <c r="L127" s="7"/>
    </row>
    <row r="128" spans="1:12" x14ac:dyDescent="0.35">
      <c r="L128" s="7"/>
    </row>
    <row r="129" spans="1:12" ht="21" x14ac:dyDescent="0.5">
      <c r="A129" s="134" t="s">
        <v>165</v>
      </c>
      <c r="B129" s="577">
        <v>3</v>
      </c>
      <c r="C129" s="577"/>
      <c r="D129" s="577"/>
      <c r="E129" s="577"/>
      <c r="F129" s="578"/>
      <c r="G129" s="463" t="s">
        <v>16</v>
      </c>
      <c r="H129" s="464"/>
      <c r="I129" s="464"/>
      <c r="J129" s="464"/>
      <c r="K129" s="465"/>
      <c r="L129" s="7"/>
    </row>
    <row r="130" spans="1:12" ht="15.5" x14ac:dyDescent="0.35">
      <c r="A130" s="145" t="s">
        <v>1</v>
      </c>
      <c r="B130" s="145" t="s">
        <v>2</v>
      </c>
      <c r="C130" s="461" t="s">
        <v>3</v>
      </c>
      <c r="D130" s="576"/>
      <c r="E130" s="145" t="s">
        <v>14</v>
      </c>
      <c r="F130" s="145" t="s">
        <v>15</v>
      </c>
      <c r="G130" s="145" t="s">
        <v>17</v>
      </c>
      <c r="H130" s="145" t="s">
        <v>18</v>
      </c>
      <c r="I130" s="145" t="s">
        <v>18</v>
      </c>
      <c r="J130" s="145" t="s">
        <v>19</v>
      </c>
      <c r="K130" s="50" t="s">
        <v>19</v>
      </c>
    </row>
    <row r="131" spans="1:12" ht="15.5" x14ac:dyDescent="0.35">
      <c r="A131" s="493" t="s">
        <v>63</v>
      </c>
      <c r="B131" s="244" t="s">
        <v>100</v>
      </c>
      <c r="C131" s="52" t="s">
        <v>101</v>
      </c>
      <c r="D131" s="52"/>
      <c r="E131" s="147" t="s">
        <v>455</v>
      </c>
      <c r="F131" s="251">
        <f>IF(E131="","",IF(E131="G1",0.8,IF(E131="G2",0.9,IF(E131="G3",1,IF(E131="F1",0.4,IF(E131="F2",0.5,IF(E131="F3",0.6,IF(E131="P1",0.1,IF(E131="P2",0.2,IF(E131="P3",0.3,))))))))))</f>
        <v>0.9</v>
      </c>
      <c r="G131" s="84">
        <f>IFERROR(AVERAGE(F131),"")</f>
        <v>0.9</v>
      </c>
      <c r="H131" s="499">
        <f>IFERROR(ROUND(AVERAGE(G131:G135),2),"")</f>
        <v>0.88</v>
      </c>
      <c r="I131" s="459" t="str">
        <f>IF(H131="","",IF(H131&gt;0.69,"Functioning",IF(H131&gt;0.29,"Functioning At Risk",IF(H131&gt;-1,"Not Functioning"))))</f>
        <v>Functioning</v>
      </c>
      <c r="J131" s="460">
        <f>IF(AND(H131="",H136="",H138="",H162="",H165=""),"",(IF(H131="",0,H131)*0.2)+(IF(H136="",0,H136)*0.2)+(IF(H138="",0,H138)*0.3)+(IF(H162="",0,H162)*0.15)+(IF(H165="",0,H165)*0.15))</f>
        <v>0.79049999999999998</v>
      </c>
      <c r="K131" s="460" t="str">
        <f>IF(J131="","",IF(J131&lt;0.3, "Not Functioning",IF(OR(H131&lt;0.7,H136&lt;0.7,H138&lt;0.7,H162&lt;0.7,H165&lt;0.7),"Functioning At Risk",IF(J131&lt;0.7,"Functioning At Risk","Functioning"))))</f>
        <v>Functioning At Risk</v>
      </c>
    </row>
    <row r="132" spans="1:12" ht="15.5" x14ac:dyDescent="0.35">
      <c r="A132" s="494"/>
      <c r="B132" s="493" t="s">
        <v>146</v>
      </c>
      <c r="C132" s="118" t="s">
        <v>147</v>
      </c>
      <c r="D132" s="117"/>
      <c r="E132" s="115">
        <v>60</v>
      </c>
      <c r="F132" s="251">
        <f>IF(E132="","",IF('Quantification Tool'!$B$20="Forested",IF(E132&gt;71,0,IF(E132&lt;=41,1,ROUND(E132^2*'Performance Standards'!$C$16+E132*'Performance Standards'!$C$17+'Performance Standards'!$C$18,2))),IF('Quantification Tool'!$B$20="Scrub-Shrub",IF(E132&gt;59.6,0,IF(E132&lt;=35,1,ROUND(E132^2*'Performance Standards'!$D$16+E132*'Performance Standards'!$D$17+'Performance Standards'!$D$18,2))),IF('Quantification Tool'!$B$20="Herbaceous",IF(E132&gt;85,0,IF(E132&lt;=62,1,ROUND(E132^2*'Performance Standards'!$E$16+E132*'Performance Standards'!$E$17+'Performance Standards'!$E$18,2)))))))</f>
        <v>0.73</v>
      </c>
      <c r="G132" s="470">
        <f>IFERROR(AVERAGE(F132:F134),"")</f>
        <v>0.86499999999999999</v>
      </c>
      <c r="H132" s="500"/>
      <c r="I132" s="459"/>
      <c r="J132" s="460"/>
      <c r="K132" s="460"/>
    </row>
    <row r="133" spans="1:12" ht="15.5" x14ac:dyDescent="0.35">
      <c r="A133" s="494"/>
      <c r="B133" s="494"/>
      <c r="C133" s="119" t="s">
        <v>148</v>
      </c>
      <c r="D133" s="52"/>
      <c r="E133" s="147">
        <v>0</v>
      </c>
      <c r="F133" s="252">
        <f>IF(E133="","",IF(E133&gt;3,0,IF(E133=0,1,ROUND('Performance Standards'!C$49*E133+'Performance Standards'!C$50,2))))</f>
        <v>1</v>
      </c>
      <c r="G133" s="471"/>
      <c r="H133" s="500"/>
      <c r="I133" s="459"/>
      <c r="J133" s="460"/>
      <c r="K133" s="460"/>
    </row>
    <row r="134" spans="1:12" ht="15.5" x14ac:dyDescent="0.35">
      <c r="A134" s="494"/>
      <c r="B134" s="512"/>
      <c r="C134" s="120" t="s">
        <v>149</v>
      </c>
      <c r="D134" s="54"/>
      <c r="E134" s="148"/>
      <c r="F134" s="253" t="str">
        <f>IF(E134="","",IF('Quantification Tool'!$B$19="Sandy",IF(E134&gt;1.94,0,IF(E134&lt;1.45,1,ROUND(E134*'Performance Standards'!$C$85+'Performance Standards'!$C$86,2))),IF('Quantification Tool'!$B$19="Silty",IF(E134&gt;1.83,0,IF(E134&lt;1.21,1,ROUND(E134*'Performance Standards'!$D$85+'Performance Standards'!$D$86,2))),IF('Quantification Tool'!$B$19="Clayey",IF(E134&gt;1.74,0,IF(E134&lt;0.82,1,ROUND(E134*'Performance Standards'!$E$85+'Performance Standards'!$E$86,2)))))))</f>
        <v/>
      </c>
      <c r="G134" s="472"/>
      <c r="H134" s="500"/>
      <c r="I134" s="459"/>
      <c r="J134" s="460"/>
      <c r="K134" s="460"/>
    </row>
    <row r="135" spans="1:12" ht="15.5" x14ac:dyDescent="0.35">
      <c r="A135" s="512"/>
      <c r="B135" s="156" t="s">
        <v>170</v>
      </c>
      <c r="C135" s="513" t="s">
        <v>285</v>
      </c>
      <c r="D135" s="579"/>
      <c r="E135" s="174"/>
      <c r="F135" s="253" t="str">
        <f>IF(E135="","",IF(OR(E135&gt;=2,E135&lt;=0.6),0,IF(AND(E135&gt;=1,E135&lt;=1.1),1,ROUND(IF(E135&lt;1,'Performance Standards'!$C$121*E135^2+'Performance Standards'!$C$122*E135+'Performance Standards'!$C$123,'Performance Standards'!$D$121*E135^2+'Performance Standards'!$D$122*E135+'Performance Standards'!$D$123),2))))</f>
        <v/>
      </c>
      <c r="G135" s="247" t="str">
        <f>IFERROR(F135,"")</f>
        <v/>
      </c>
      <c r="H135" s="500"/>
      <c r="I135" s="459"/>
      <c r="J135" s="460"/>
      <c r="K135" s="460"/>
    </row>
    <row r="136" spans="1:12" ht="15.5" x14ac:dyDescent="0.35">
      <c r="A136" s="524" t="s">
        <v>6</v>
      </c>
      <c r="B136" s="524" t="s">
        <v>7</v>
      </c>
      <c r="C136" s="55" t="s">
        <v>8</v>
      </c>
      <c r="D136" s="55"/>
      <c r="E136" s="147">
        <v>1</v>
      </c>
      <c r="F136" s="254">
        <f>IF(E136="","",ROUND(IF(E136&gt;1.6,0,IF(E136&lt;=1,1,E136^2*'Performance Standards'!K$14+E136*'Performance Standards'!K$15+'Performance Standards'!K$16)),2))</f>
        <v>1</v>
      </c>
      <c r="G136" s="526">
        <f>IFERROR(AVERAGE(F136:F137),"")</f>
        <v>0.88500000000000001</v>
      </c>
      <c r="H136" s="526">
        <f>IFERROR(ROUND(AVERAGE(G136:G137),2),"")</f>
        <v>0.89</v>
      </c>
      <c r="I136" s="533" t="str">
        <f>IF(H136="","",IF(H136&gt;0.69,"Functioning",IF(H136&gt;0.29,"Functioning At Risk",IF(H136&gt;-1,"Not Functioning"))))</f>
        <v>Functioning</v>
      </c>
      <c r="J136" s="460"/>
      <c r="K136" s="460"/>
    </row>
    <row r="137" spans="1:12" ht="15.5" x14ac:dyDescent="0.35">
      <c r="A137" s="525"/>
      <c r="B137" s="525"/>
      <c r="C137" s="57" t="s">
        <v>9</v>
      </c>
      <c r="D137" s="57"/>
      <c r="E137" s="148">
        <v>3</v>
      </c>
      <c r="F137" s="255">
        <f>IF(E137="","",IF(OR('Quantification Tool'!$B$9="A",'Quantification Tool'!$B$9="Ba",'Quantification Tool'!$B$9="B", 'Quantification Tool'!$B$9="Bc"),IF(E137&lt;1.2,0,IF(E137&gt;=2.2,1,ROUND(IF(E137&lt;1.4,E137*'Performance Standards'!$K$84+'Performance Standards'!$K$85,E137*'Performance Standards'!$L$84+'Performance Standards'!$L$85),2))),IF(OR('Quantification Tool'!$B$9="C",'Quantification Tool'!$B$9="Cb",'Quantification Tool'!$B$9="E"),IF(E137&lt;2,0,IF(E137&gt;=5,1,ROUND(IF(E137&lt;2.4,E137*'Performance Standards'!$L$49+'Performance Standards'!$L$50,E137*'Performance Standards'!$K$49+'Performance Standards'!$K$50),2))))))</f>
        <v>0.77</v>
      </c>
      <c r="G137" s="527"/>
      <c r="H137" s="532"/>
      <c r="I137" s="534"/>
      <c r="J137" s="460"/>
      <c r="K137" s="460"/>
    </row>
    <row r="138" spans="1:12" ht="15.5" x14ac:dyDescent="0.35">
      <c r="A138" s="477" t="s">
        <v>23</v>
      </c>
      <c r="B138" s="477" t="s">
        <v>24</v>
      </c>
      <c r="C138" s="64" t="s">
        <v>22</v>
      </c>
      <c r="D138" s="67"/>
      <c r="E138" s="115">
        <v>350</v>
      </c>
      <c r="F138" s="246">
        <f>IF(E138="","",IF(E138&gt;600,1,IF(E138&lt;300,ROUND('Performance Standards'!$S$15*(E138^2)+'Performance Standards'!$S$16*E138+'Performance Standards'!$S$17,2),ROUND('Performance Standards'!$T$16*E138+'Performance Standards'!$T$17,2))))</f>
        <v>0.75</v>
      </c>
      <c r="G138" s="466">
        <f>IFERROR(AVERAGE(F138:F139),"")</f>
        <v>0.75</v>
      </c>
      <c r="H138" s="531">
        <f>IFERROR(ROUND(AVERAGE(G138:G161),2),"")</f>
        <v>0.79</v>
      </c>
      <c r="I138" s="460" t="str">
        <f>IF(H138="","",IF(H138&gt;0.69,"Functioning",IF(H138&gt;0.29,"Functioning At Risk",IF(H138&gt;-1,"Not Functioning"))))</f>
        <v>Functioning</v>
      </c>
      <c r="J138" s="460"/>
      <c r="K138" s="460"/>
    </row>
    <row r="139" spans="1:12" ht="15.5" x14ac:dyDescent="0.35">
      <c r="A139" s="478"/>
      <c r="B139" s="479"/>
      <c r="C139" s="66" t="s">
        <v>357</v>
      </c>
      <c r="D139" s="68"/>
      <c r="E139" s="148"/>
      <c r="F139" s="192" t="str">
        <f>IF(E139="","",IF(E139&lt;=0,0,IF(E139&gt;=30,1,ROUND(IF(E139&lt;=15,'Performance Standards'!$S$49*E139^2+'Performance Standards'!$S$50*E139,'Performance Standards'!$T$50*E139+'Performance Standards'!$T$51),2))))</f>
        <v/>
      </c>
      <c r="G139" s="468"/>
      <c r="H139" s="531"/>
      <c r="I139" s="460"/>
      <c r="J139" s="460"/>
      <c r="K139" s="460"/>
    </row>
    <row r="140" spans="1:12" ht="15.5" x14ac:dyDescent="0.35">
      <c r="A140" s="478"/>
      <c r="B140" s="478" t="s">
        <v>46</v>
      </c>
      <c r="C140" s="61" t="s">
        <v>91</v>
      </c>
      <c r="D140" s="61"/>
      <c r="E140" s="115"/>
      <c r="F140" s="238" t="str">
        <f>IF(E140="","",ROUND(IF(E140&gt;0.7,0,IF(E140&lt;=0.1,1,E140^3*'Performance Standards'!S$83+E140^2*'Performance Standards'!S$84+E140*'Performance Standards'!S$85+'Performance Standards'!S$86)),2))</f>
        <v/>
      </c>
      <c r="G140" s="467">
        <f>IFERROR(IF(E140="",AVERAGE(F141:F142),IF(E141="",F140,MAX(F140,AVERAGE(F141:F142)))),"")</f>
        <v>0.85</v>
      </c>
      <c r="H140" s="531"/>
      <c r="I140" s="460"/>
      <c r="J140" s="460"/>
      <c r="K140" s="460"/>
    </row>
    <row r="141" spans="1:12" ht="15.5" x14ac:dyDescent="0.35">
      <c r="A141" s="478"/>
      <c r="B141" s="478"/>
      <c r="C141" s="61" t="s">
        <v>47</v>
      </c>
      <c r="D141" s="61"/>
      <c r="E141" s="147" t="s">
        <v>27</v>
      </c>
      <c r="F141" s="256">
        <f>IF(E141="","",IF(OR(E141="Ex/Ex",E141="Ex/VH"),0, IF(OR(E141="Ex/H",E141="VH/Ex",E141="VH/VH", E141="H/Ex",E141="H/VH",E141="M/Ex"),0.1,IF(OR(E141="Ex/M",E141="VH/H",E141="H/H", E141="M/VH"),0.2, IF(OR(E141="Ex/L",E141="VH/M",E141="H/M", E141="M/H",E141="L/Ex"),0.3, IF(OR(E141="Ex/VL",E141="VH/L",E141="H/L"),0.4, IF(OR(E141="VH/VL",E141="H/VL",E141="M/M", E141="L/VH"),0.5, IF(OR(E141="M/L",E141="L/H"),0.6, IF(OR(E141="M/VL",E141="L/M"),0.7, IF(OR(E141="L/L",E141="L/VL"),1))))))))))</f>
        <v>0.7</v>
      </c>
      <c r="G141" s="467"/>
      <c r="H141" s="531"/>
      <c r="I141" s="460"/>
      <c r="J141" s="460"/>
      <c r="K141" s="460"/>
    </row>
    <row r="142" spans="1:12" ht="15.5" x14ac:dyDescent="0.35">
      <c r="A142" s="478"/>
      <c r="B142" s="478"/>
      <c r="C142" s="63" t="s">
        <v>102</v>
      </c>
      <c r="D142" s="63"/>
      <c r="E142" s="148">
        <v>5</v>
      </c>
      <c r="F142" s="213">
        <f>IF(E142="","",ROUND(IF(E142&gt;50,0,IF(E142&lt;5,1,IF(E142&gt;9,E142^2*'Performance Standards'!S$119+E142*'Performance Standards'!S$120+'Performance Standards'!S$121,'Performance Standards'!$T$120*E142+'Performance Standards'!$T$121))),2))</f>
        <v>1</v>
      </c>
      <c r="G142" s="467"/>
      <c r="H142" s="531"/>
      <c r="I142" s="460"/>
      <c r="J142" s="460"/>
      <c r="K142" s="460"/>
    </row>
    <row r="143" spans="1:12" ht="15.5" x14ac:dyDescent="0.35">
      <c r="A143" s="478"/>
      <c r="B143" s="477" t="s">
        <v>48</v>
      </c>
      <c r="C143" s="67" t="s">
        <v>447</v>
      </c>
      <c r="D143" s="67"/>
      <c r="E143" s="147">
        <v>100</v>
      </c>
      <c r="F143" s="256">
        <f>IF(E143="","",IF('Quantification Tool'!$B$22="Unconfined Alluvial",IF(E143&gt;=100,1,IF(E143&lt;30,0,ROUND('Performance Standards'!$S$155*E143^2+'Performance Standards'!$S$156*E143+'Performance Standards'!$S$157,2))),IF('Quantification Tool'!$B$22="Confined Alluvial",(IF(E143&gt;=100,1,IF(E143&lt;60,0,ROUND('Performance Standards'!$T$155*E143^2+'Performance Standards'!$T$156*E143+'Performance Standards'!$T$157,2)))),IF('Quantification Tool'!$B$22="Colluvial/V-Shaped",(IF(E143&gt;=100,1,IF(E143&lt;80,0,ROUND('Performance Standards'!$U$155*E143^2+'Performance Standards'!$U$156*E143+'Performance Standards'!$U$157,2))))))))</f>
        <v>1</v>
      </c>
      <c r="G143" s="466">
        <f>IFERROR(AVERAGE(F143:F155),"")</f>
        <v>0.76769230769230767</v>
      </c>
      <c r="H143" s="531"/>
      <c r="I143" s="460"/>
      <c r="J143" s="460"/>
      <c r="K143" s="460"/>
    </row>
    <row r="144" spans="1:12" ht="15.5" x14ac:dyDescent="0.35">
      <c r="A144" s="478"/>
      <c r="B144" s="478"/>
      <c r="C144" s="61" t="s">
        <v>448</v>
      </c>
      <c r="D144" s="61"/>
      <c r="E144" s="147">
        <v>100</v>
      </c>
      <c r="F144" s="256">
        <f>IF(E144="","",IF('Quantification Tool'!$B$22="Unconfined Alluvial",IF(E144&gt;=100,1,IF(E144&lt;30,0,ROUND('Performance Standards'!$S$155*E144^2+'Performance Standards'!$S$156*E144+'Performance Standards'!$S$157,2))),IF('Quantification Tool'!$B$22="Confined Alluvial",(IF(E144&gt;=100,1,IF(E144&lt;60,0,ROUND('Performance Standards'!$T$155*E144^2+'Performance Standards'!$T$156*E144+'Performance Standards'!$T$157,2)))),IF('Quantification Tool'!$B$22="Colluvial/V-Shaped",(IF(E144&gt;=100,1,IF(E144&lt;80,0,ROUND('Performance Standards'!$U$155*E144^2+'Performance Standards'!$U$156*E144+'Performance Standards'!$U$157,2))))))))</f>
        <v>1</v>
      </c>
      <c r="G144" s="467"/>
      <c r="H144" s="531"/>
      <c r="I144" s="460"/>
      <c r="J144" s="460"/>
      <c r="K144" s="460"/>
    </row>
    <row r="145" spans="1:13" ht="15.5" x14ac:dyDescent="0.35">
      <c r="A145" s="478"/>
      <c r="B145" s="478"/>
      <c r="C145" s="61" t="s">
        <v>299</v>
      </c>
      <c r="D145" s="61"/>
      <c r="E145" s="147">
        <v>25</v>
      </c>
      <c r="F145" s="256">
        <f>IF(E145="","",IF('Quantification Tool'!$B$20="Herbaceous","",IF(E145="","",IF('Quantification Tool'!$B$10="Mountains",(IF(E145&gt;=90,1,ROUND('Performance Standards'!$S$191*E145^3+'Performance Standards'!$S$192*E145^2+'Performance Standards'!$S$193*E145+'Performance Standards'!$S$194,2))),IF('Quantification Tool'!$B$10="Basin",(IF(E145&gt;=90,1,ROUND('Performance Standards'!$T$191*E145^3+'Performance Standards'!$T$192*E145^2+'Performance Standards'!$T$193*E145+'Performance Standards'!$T$194,2))),(IF('Quantification Tool'!$B$10="Plains",(IF(E145&gt;=75,1,ROUND('Performance Standards'!$U$191*E145^3+'Performance Standards'!$U$192*E145^2+'Performance Standards'!$U$193*E145+'Performance Standards'!$U$194,2))))))))))</f>
        <v>0.18</v>
      </c>
      <c r="G145" s="467"/>
      <c r="H145" s="531"/>
      <c r="I145" s="460"/>
      <c r="J145" s="460"/>
      <c r="K145" s="460"/>
    </row>
    <row r="146" spans="1:13" ht="15.5" x14ac:dyDescent="0.35">
      <c r="A146" s="478"/>
      <c r="B146" s="478"/>
      <c r="C146" s="61" t="s">
        <v>300</v>
      </c>
      <c r="D146" s="61"/>
      <c r="E146" s="147">
        <v>25</v>
      </c>
      <c r="F146" s="256">
        <f>IF(E146="","",IF('Quantification Tool'!$B$20="Herbaceous","",IF(E146="","",IF('Quantification Tool'!$B$10="Mountains",(IF(E146&gt;=90,1,ROUND('Performance Standards'!$S$191*E146^3+'Performance Standards'!$S$192*E146^2+'Performance Standards'!$S$193*E146+'Performance Standards'!$S$194,2))),IF('Quantification Tool'!$B$10="Basin",(IF(E146&gt;=90,1,ROUND('Performance Standards'!$T$191*E146^3+'Performance Standards'!$T$192*E146^2+'Performance Standards'!$T$193*E146+'Performance Standards'!$T$194,2))),(IF('Quantification Tool'!$B$10="Plains",(IF(E146&gt;=75,1,ROUND('Performance Standards'!$U$191*E146^3+'Performance Standards'!$U$192*E146^2+'Performance Standards'!$U$193*E146+'Performance Standards'!$U$194,2))))))))))</f>
        <v>0.18</v>
      </c>
      <c r="G146" s="467"/>
      <c r="H146" s="531"/>
      <c r="I146" s="460"/>
      <c r="J146" s="460"/>
      <c r="K146" s="460"/>
    </row>
    <row r="147" spans="1:13" ht="15.5" x14ac:dyDescent="0.35">
      <c r="A147" s="478"/>
      <c r="B147" s="478"/>
      <c r="C147" s="61" t="s">
        <v>301</v>
      </c>
      <c r="D147" s="61"/>
      <c r="E147" s="147">
        <v>50</v>
      </c>
      <c r="F147" s="256">
        <f>IF(E147="","",IF('Quantification Tool'!$B$20="Herbaceous",IF(E147&lt;30,0,IF(E147&gt;=100,1,ROUND(E147^2*'Performance Standards'!$S$225+E147*'Performance Standards'!$S$226+'Performance Standards'!$S$227,2))),IF('Quantification Tool'!$B$22="Colluvial/V-Shaped",IF(E147&gt;=100,0,IF(AND(E147&gt;=0,E147&lt;=15),ROUND(E147*'Performance Standards'!$S$259+'Performance Standards'!$S$260,2),IF(AND(E147&gt;=15,E147&lt;=55),ROUND(E147*'Performance Standards'!$T$259+'Performance Standards'!$T$260,2),IF(AND(E147&gt;=56,E147&lt;=100),ROUND(E147^2*'Performance Standards'!$U$259+E147*'Performance Standards'!$U$260+'Performance Standards'!$U$261,2))))),IF(OR(E147&gt;=100,E147&lt;=0),0,IF(AND(E147&gt;0,E147&lt;=70),ROUND(E147^2*'Performance Standards'!$S$292+E147*'Performance Standards'!$S$293+'Performance Standards'!$S$294,2),IF(AND(E147&gt;70,E147&lt;100),ROUND(E147^2*'Performance Standards'!$T$292+E147*'Performance Standards'!$T$293+'Performance Standards'!$T$294,2)))))))</f>
        <v>0.93</v>
      </c>
      <c r="G147" s="467"/>
      <c r="H147" s="531"/>
      <c r="I147" s="460"/>
      <c r="J147" s="460"/>
      <c r="K147" s="460"/>
    </row>
    <row r="148" spans="1:13" ht="15.5" x14ac:dyDescent="0.35">
      <c r="A148" s="478"/>
      <c r="B148" s="478"/>
      <c r="C148" s="61" t="s">
        <v>302</v>
      </c>
      <c r="D148" s="61"/>
      <c r="E148" s="147">
        <v>50</v>
      </c>
      <c r="F148" s="256">
        <f>IF(E148="","",IF('Quantification Tool'!$B$20="Herbaceous",IF(E148&lt;30,0,IF(E148&gt;=100,1,ROUND(E148^2*'Performance Standards'!$S$225+E148*'Performance Standards'!$S$226+'Performance Standards'!$S$227,2))),IF('Quantification Tool'!$B$22="Colluvial/V-Shaped",IF(E148&gt;=100,0,IF(AND(E148&gt;=0,E148&lt;=15),ROUND(E148*'Performance Standards'!$S$259+'Performance Standards'!$S$260,2),IF(AND(E148&gt;=15,E148&lt;=55),ROUND(E148*'Performance Standards'!$T$259+'Performance Standards'!$T$260,2),IF(AND(E148&gt;=56,E148&lt;=100),ROUND(E148^2*'Performance Standards'!$U$259+E148*'Performance Standards'!$U$260+'Performance Standards'!$U$261,2))))),IF(OR(E148&gt;=100,E148&lt;=0),0,IF(AND(E148&gt;0,E148&lt;=70),ROUND(E148^2*'Performance Standards'!$S$292+E148*'Performance Standards'!$S$293+'Performance Standards'!$S$294,2),IF(AND(E148&gt;70,E148&lt;100),ROUND(E148^2*'Performance Standards'!$T$292+E148*'Performance Standards'!$T$293+'Performance Standards'!$T$294,2)))))))</f>
        <v>0.93</v>
      </c>
      <c r="G148" s="467"/>
      <c r="H148" s="531"/>
      <c r="I148" s="460"/>
      <c r="J148" s="460"/>
      <c r="K148" s="460"/>
    </row>
    <row r="149" spans="1:13" ht="15.5" x14ac:dyDescent="0.35">
      <c r="A149" s="478"/>
      <c r="B149" s="478"/>
      <c r="C149" s="61" t="s">
        <v>304</v>
      </c>
      <c r="D149" s="61"/>
      <c r="E149" s="147">
        <v>0</v>
      </c>
      <c r="F149" s="256">
        <f>IF(E149="","",ROUND(IF(E149&gt;=100,0,E149^2*'Performance Standards'!$S$324+E149*'Performance Standards'!$S$325+'Performance Standards'!$S$326),2))</f>
        <v>1</v>
      </c>
      <c r="G149" s="467"/>
      <c r="H149" s="531"/>
      <c r="I149" s="460"/>
      <c r="J149" s="460"/>
      <c r="K149" s="460"/>
    </row>
    <row r="150" spans="1:13" ht="15.5" x14ac:dyDescent="0.35">
      <c r="A150" s="478"/>
      <c r="B150" s="478"/>
      <c r="C150" s="61" t="s">
        <v>305</v>
      </c>
      <c r="D150" s="61"/>
      <c r="E150" s="147">
        <v>0</v>
      </c>
      <c r="F150" s="256">
        <f>IF(E150="","",ROUND(IF(E150&gt;=100,0,E150^2*'Performance Standards'!$S$324+E150*'Performance Standards'!$S$325+'Performance Standards'!$S$326),2))</f>
        <v>1</v>
      </c>
      <c r="G150" s="467"/>
      <c r="H150" s="531"/>
      <c r="I150" s="460"/>
      <c r="J150" s="460"/>
      <c r="K150" s="460"/>
    </row>
    <row r="151" spans="1:13" ht="15.5" x14ac:dyDescent="0.35">
      <c r="A151" s="478"/>
      <c r="B151" s="478"/>
      <c r="C151" s="61" t="s">
        <v>307</v>
      </c>
      <c r="D151" s="61"/>
      <c r="E151" s="147">
        <v>50</v>
      </c>
      <c r="F151" s="256">
        <f>IF(E151="","",ROUND(IF(E151&gt;=100,1,E151^3*'Performance Standards'!$S$357+E151^2*'Performance Standards'!$S$358+E151*'Performance Standards'!$S$359+$S$139),2))</f>
        <v>0.53</v>
      </c>
      <c r="G151" s="467"/>
      <c r="H151" s="531"/>
      <c r="I151" s="460"/>
      <c r="J151" s="460"/>
      <c r="K151" s="460"/>
    </row>
    <row r="152" spans="1:13" ht="15.5" x14ac:dyDescent="0.35">
      <c r="A152" s="478"/>
      <c r="B152" s="478"/>
      <c r="C152" s="61" t="s">
        <v>308</v>
      </c>
      <c r="D152" s="61"/>
      <c r="E152" s="147">
        <v>50</v>
      </c>
      <c r="F152" s="256">
        <f>IF(E152="","",ROUND(IF(E152&gt;=100,1,E152^3*'Performance Standards'!$S$357+E152^2*'Performance Standards'!$S$358+E152*'Performance Standards'!$S$359+$S$139),2))</f>
        <v>0.53</v>
      </c>
      <c r="G152" s="467"/>
      <c r="H152" s="531"/>
      <c r="I152" s="460"/>
      <c r="J152" s="460"/>
      <c r="K152" s="460"/>
    </row>
    <row r="153" spans="1:13" ht="15.5" x14ac:dyDescent="0.35">
      <c r="A153" s="478"/>
      <c r="B153" s="478"/>
      <c r="C153" s="61" t="s">
        <v>158</v>
      </c>
      <c r="D153" s="61"/>
      <c r="E153" s="159">
        <v>30</v>
      </c>
      <c r="F153" s="192">
        <f>IF(E153="","",IF(OR(E153&gt;=50,E153&lt;=0),0,IF(AND(E153&gt;=25,E153&lt;=36),1,ROUND(IF(E153&lt;25,'Performance Standards'!$S$394*E153^3+'Performance Standards'!$S$395*E153^2+'Performance Standards'!$S$396*E153+'Performance Standards'!$S$397,'Performance Standards'!$T$394*E153^3+'Performance Standards'!$T$395*E153^2+'Performance Standards'!$T$396*E153+'Performance Standards'!$T$397),2))))</f>
        <v>1</v>
      </c>
      <c r="G153" s="467"/>
      <c r="H153" s="531"/>
      <c r="I153" s="460"/>
      <c r="J153" s="460"/>
      <c r="K153" s="460"/>
    </row>
    <row r="154" spans="1:13" ht="15.5" x14ac:dyDescent="0.35">
      <c r="A154" s="478"/>
      <c r="B154" s="478"/>
      <c r="C154" s="61" t="s">
        <v>159</v>
      </c>
      <c r="D154" s="61"/>
      <c r="E154" s="147">
        <v>30</v>
      </c>
      <c r="F154" s="192">
        <f>IF(E154="","",IF(OR(E154&gt;=50,E154&lt;=0),0,IF(AND(E154&gt;=25,E154&lt;=36),1,ROUND(IF(E154&lt;25,'Performance Standards'!$S$394*E154^3+'Performance Standards'!$S$395*E154^2+'Performance Standards'!$S$396*E154+'Performance Standards'!$S$397,'Performance Standards'!$T$394*E154^3+'Performance Standards'!$T$395*E154^2+'Performance Standards'!$T$396*E154+'Performance Standards'!$T$397),2))))</f>
        <v>1</v>
      </c>
      <c r="G154" s="467"/>
      <c r="H154" s="531"/>
      <c r="I154" s="460"/>
      <c r="J154" s="460"/>
      <c r="K154" s="460"/>
      <c r="M154" s="7"/>
    </row>
    <row r="155" spans="1:13" ht="15.5" x14ac:dyDescent="0.35">
      <c r="A155" s="478"/>
      <c r="B155" s="479"/>
      <c r="C155" s="61" t="s">
        <v>298</v>
      </c>
      <c r="D155" s="68"/>
      <c r="E155" s="148">
        <v>7</v>
      </c>
      <c r="F155" s="256">
        <f>IF(E155="","",ROUND(IF(E155&lt;=2,0,IF(E155&gt;=9,1,E155^3*'Performance Standards'!S$430+E155^2*'Performance Standards'!$S$431+E155*'Performance Standards'!$S$432+'Performance Standards'!$S$433)),2))</f>
        <v>0.7</v>
      </c>
      <c r="G155" s="468"/>
      <c r="H155" s="531"/>
      <c r="I155" s="460"/>
      <c r="J155" s="460"/>
      <c r="K155" s="460"/>
    </row>
    <row r="156" spans="1:13" ht="15.5" x14ac:dyDescent="0.35">
      <c r="A156" s="478"/>
      <c r="B156" s="59" t="s">
        <v>121</v>
      </c>
      <c r="C156" s="74" t="s">
        <v>160</v>
      </c>
      <c r="D156" s="61"/>
      <c r="E156" s="43"/>
      <c r="F156" s="191" t="str">
        <f>IF(E156="","",IF('Quantification Tool'!$B$13="Sand","NA",IF(E156&gt;0.1,1,IF(E156&lt;=0.01,0,ROUND(E156*'Performance Standards'!$S$464+'Performance Standards'!$S$465,2)))))</f>
        <v/>
      </c>
      <c r="G156" s="83" t="str">
        <f>IFERROR(AVERAGE(F156),"")</f>
        <v/>
      </c>
      <c r="H156" s="531"/>
      <c r="I156" s="460"/>
      <c r="J156" s="460"/>
      <c r="K156" s="460"/>
    </row>
    <row r="157" spans="1:13" ht="15.5" x14ac:dyDescent="0.35">
      <c r="A157" s="478"/>
      <c r="B157" s="477" t="s">
        <v>49</v>
      </c>
      <c r="C157" s="67" t="s">
        <v>50</v>
      </c>
      <c r="D157" s="67"/>
      <c r="E157" s="160">
        <v>7</v>
      </c>
      <c r="F157" s="161">
        <f>IF(E157="","",IF('Quantification Tool'!$B$9="Bc",IF(OR(E157&gt;9.2,E157&lt;=0.1),0,IF(E157&lt;=4,1,ROUND('Performance Standards'!$S$598*E157^2+'Performance Standards'!$S$599*E157+'Performance Standards'!$S$600,2))),IF(OR('Quantification Tool'!$B$9="B",'Quantification Tool'!$B$9="Ba"),IF(OR(E157&gt;7.5,E157&lt;=0.1),0,IF(E157&lt;=3,1,ROUND(IF(E157&gt;4,'Performance Standards'!$S$567*E157+'Performance Standards'!$S$568,'Performance Standards'!$T$567*E157+'Performance Standards'!$T$568),2))),IF('Quantification Tool'!$B$9="Cb",IF(OR(E157&gt;=7.6,E157&lt;=2.4),0,IF(AND(E157&gt;=3.7,E157&lt;=5),1,ROUND(IF(E157&lt;4,'Performance Standards'!$S$534*E157^2+'Performance Standards'!$S$535*E157+'Performance Standards'!$S$536,'Performance Standards'!$T$534*E157^2+'Performance Standards'!$T$535*E157+'Performance Standards'!$T$536),2))),IF('Quantification Tool'!$B$9="C",IF(OR(E157&gt;9.3,E157&lt;=3),0,IF(AND(E157&gt;=4,E157&lt;=6),1,ROUND(IF(E157&lt;4,'Performance Standards'!$S$500*E157+'Performance Standards'!$S$501,'Performance Standards'!$T$500*E157+'Performance Standards'!$T$501),2))))))))</f>
        <v>0.7</v>
      </c>
      <c r="G157" s="466">
        <f>IFERROR(AVERAGE(F157:F160),"")</f>
        <v>0.9</v>
      </c>
      <c r="H157" s="531"/>
      <c r="I157" s="460"/>
      <c r="J157" s="460"/>
      <c r="K157" s="460"/>
    </row>
    <row r="158" spans="1:13" ht="15.5" x14ac:dyDescent="0.35">
      <c r="A158" s="478"/>
      <c r="B158" s="478"/>
      <c r="C158" s="61" t="s">
        <v>51</v>
      </c>
      <c r="D158" s="61"/>
      <c r="E158" s="159">
        <v>3</v>
      </c>
      <c r="F158" s="85">
        <f>IF(E158="","",IF(E158&lt;=1.1,0,IF(E158&gt;=2.5,1,ROUND(IF(E158&lt;1.2,'Performance Standards'!$S$632*E158+'Performance Standards'!$S$633,'Performance Standards'!$T$631*E158^2+'Performance Standards'!$T$632*E158+'Performance Standards'!$T$633),2))))</f>
        <v>1</v>
      </c>
      <c r="G158" s="467"/>
      <c r="H158" s="531"/>
      <c r="I158" s="460"/>
      <c r="J158" s="460"/>
      <c r="K158" s="460"/>
    </row>
    <row r="159" spans="1:13" ht="15.5" x14ac:dyDescent="0.35">
      <c r="A159" s="478"/>
      <c r="B159" s="478"/>
      <c r="C159" s="61" t="s">
        <v>52</v>
      </c>
      <c r="D159" s="61"/>
      <c r="E159" s="159">
        <v>50</v>
      </c>
      <c r="F159" s="245">
        <f>IF(E159="","",IF('Quantification Tool'!$B$11="Volcanic Mountains &amp; Valleys", IF(OR(E159&gt;95,E159&lt;58),0,IF(AND(E159&gt;=73,E159&lt;=80),1, ROUND(IF(E159&lt;73,'Performance Standards'!$S$665*E159^2+'Performance Standards'!$S$666*E159+'Performance Standards'!$S$667, 'Performance Standards'!$T$665*E159^2+'Performance Standards'!$T$666*E159+'Performance Standards'!$T$667),2))), IF('Quantification Tool'!$B$16="","Need Slope",IF('Quantification Tool'!$B$16&lt;3,IF( OR(E159&gt;73,E159&lt;37),0, IF(AND(E159&gt;=50,E159&lt;= 60), 1, ROUND(IF(E159&lt;50,'Performance Standards'!$S$699*E159^2+'Performance Standards'!$S$700*E159+'Performance Standards'!$S$701, IF(E159&gt;60,'Performance Standards'!$T$699*E159^2+'Performance Standards'!$T$700*E159+'Performance Standards'!$T$701)),2))), IF('Quantification Tool'!$B$16&gt;=3,IF(OR(E159&gt;88,E159&lt;57),0, IF(AND(E159 &gt;=70, E159&lt;=76),1, ROUND(IF(E159&lt;70,'Performance Standards'!$S$734*E159^2+'Performance Standards'!$S$735*E159+'Performance Standards'!$S$736,'Performance Standards'!$T$734*E159^2+'Performance Standards'!$T$735*E159+'Performance Standards'!$T$736),2) )))))))</f>
        <v>1</v>
      </c>
      <c r="G159" s="467"/>
      <c r="H159" s="531"/>
      <c r="I159" s="460"/>
      <c r="J159" s="460"/>
      <c r="K159" s="460"/>
    </row>
    <row r="160" spans="1:13" ht="15.5" x14ac:dyDescent="0.35">
      <c r="A160" s="478"/>
      <c r="B160" s="479"/>
      <c r="C160" s="66" t="s">
        <v>248</v>
      </c>
      <c r="D160" s="68"/>
      <c r="E160" s="154"/>
      <c r="F160" s="248" t="str">
        <f>IF(E160="","",IF(E160&gt;=1.6,0,IF(E160&lt;=1,1,ROUND('Performance Standards'!$S$766*E160^3+'Performance Standards'!$S$767*E160^2+'Performance Standards'!$S$768*E160+'Performance Standards'!$S$769,2))))</f>
        <v/>
      </c>
      <c r="G160" s="468"/>
      <c r="H160" s="531"/>
      <c r="I160" s="460"/>
      <c r="J160" s="460"/>
      <c r="K160" s="460"/>
      <c r="L160" s="2"/>
    </row>
    <row r="161" spans="1:12" ht="15.5" x14ac:dyDescent="0.35">
      <c r="A161" s="479"/>
      <c r="B161" s="424" t="s">
        <v>54</v>
      </c>
      <c r="C161" s="68" t="s">
        <v>53</v>
      </c>
      <c r="D161" s="68"/>
      <c r="E161" s="148">
        <v>1.2</v>
      </c>
      <c r="F161" s="70">
        <f>IF(E161="","",IF('Quantification Tool'!$B$9="E",IF(OR(E161&gt;2,E161&lt;1.2),0, IF(AND(E161&gt;=1.6, E161&lt;=1.7),1, ROUND(IF(E161&lt;1.3,E161*'Performance Standards'!S$803+'Performance Standards'!S$804,IF(E161&lt;=1.6,E161*'Performance Standards'!T$803+'Performance Standards'!T$804, E161^2*'Performance Standards'!U$802+E161*'Performance Standards'!U$803+'Performance Standards'!$U$804)),2))),IF(LEFT('Quantification Tool'!$B$9,1)="C",IF(OR(E161&lt;1.15, E161&gt;1.5),0, IF(AND(E161&lt;=1.35,E161&gt;=1.25),1,ROUND(IF(E161&lt;1.25,E161^2*'Performance Standards'!$S$836+E161*'Performance Standards'!$S$837+'Performance Standards'!$S$838, E161^2*'Performance Standards'!$T$836+E161*'Performance Standards'!$T$837+'Performance Standards'!$T$838),2))),IF(LEFT('Quantification Tool'!$B$9,1)="B",IF(OR(E161&gt;1.4,E161&lt;1),0, IF(AND(E161&gt;=1.15,E161&lt;=1.25),1, ROUND(IF(E161&lt;=1.15,E161^2*'Performance Standards'!$S$867+E161*'Performance Standards'!$S$868+'Performance Standards'!$S$869,E161^2*'Performance Standards'!$T$867+E161*'Performance Standards'!$T$868+'Performance Standards'!$T$869),2)))))))</f>
        <v>0.7</v>
      </c>
      <c r="G161" s="85">
        <f>IFERROR(AVERAGE(F161),"")</f>
        <v>0.7</v>
      </c>
      <c r="H161" s="531"/>
      <c r="I161" s="460"/>
      <c r="J161" s="460"/>
      <c r="K161" s="460"/>
      <c r="L161" s="2"/>
    </row>
    <row r="162" spans="1:12" ht="15.5" x14ac:dyDescent="0.35">
      <c r="A162" s="453" t="s">
        <v>58</v>
      </c>
      <c r="B162" s="453" t="s">
        <v>93</v>
      </c>
      <c r="C162" s="182" t="s">
        <v>272</v>
      </c>
      <c r="D162" s="71"/>
      <c r="E162" s="147"/>
      <c r="F162" s="178" t="str">
        <f>IF(E162="","",IF('Quantification Tool'!$B$18="","Enter Stream Temperature",IF('Quantification Tool'!$B$18="Tier I (Cold) ",IF(E162&gt;=24.6,0,IF(E162&lt;=15.5,1,ROUND(E162*'Performance Standards'!$AB$19+'Performance Standards'!$AB$20,2))),IF('Quantification Tool'!$B$18="Tier II (Cold-Cool)",IF(E162&gt;=27.8,0,IF(E162&lt;=15.6,1,ROUND(E162*'Performance Standards'!$AC$19+'Performance Standards'!$AC$20,2))),IF('Quantification Tool'!$B$18="Tier III (Cool) ",IF(E162&gt;=32.4,0,IF(E162&lt;=17.8,1,ROUND(E162*'Performance Standards'!$AD$19+'Performance Standards'!$AD$20,2))),IF('Quantification Tool'!$B$18="Tier IV (Cool-Warm)",IF(E162&gt;=34.6,0,IF(E162&lt;=20,1,ROUND(E162*'Performance Standards'!$AE$19+'Performance Standards'!$AE$20,2))),IF('Quantification Tool'!$B$18="Tier V (Warm)",IF(E162&gt;35.4,0,IF(E162&lt;=24.6,1,ROUND(E162*'Performance Standards'!$AF$19+'Performance Standards'!$AF$20,2))))))))))</f>
        <v/>
      </c>
      <c r="G162" s="455">
        <f>IFERROR(IF(E162="",F163,IF(E163="",F162,MIN(F162:F163))),"")</f>
        <v>0.61</v>
      </c>
      <c r="H162" s="455">
        <f>IFERROR(ROUND(AVERAGE(G162:G164),2),"")</f>
        <v>0.53</v>
      </c>
      <c r="I162" s="459" t="str">
        <f>IF(H162="","",IF(H162&gt;0.69,"Functioning",IF(H162&gt;0.29,"Functioning At Risk",IF(H162&gt;-1,"Not Functioning"))))</f>
        <v>Functioning At Risk</v>
      </c>
      <c r="J162" s="460"/>
      <c r="K162" s="460"/>
      <c r="L162" s="7"/>
    </row>
    <row r="163" spans="1:12" ht="15.5" x14ac:dyDescent="0.35">
      <c r="A163" s="469"/>
      <c r="B163" s="454"/>
      <c r="C163" s="183" t="s">
        <v>273</v>
      </c>
      <c r="D163" s="71"/>
      <c r="E163" s="147">
        <v>17</v>
      </c>
      <c r="F163" s="179">
        <f>IF(E163="","",IF('Quantification Tool'!$B$18="","Enter Stream Temperature",IF('Quantification Tool'!$B$18="Tier I (Cold) ",IF(E163&gt;=19.3,0,IF(E163&lt;=15.5,1,ROUND(E163*'Performance Standards'!$AB$55+'Performance Standards'!$AB$56,2))),IF('Quantification Tool'!$B$18="Tier II (Cold-Cool)",IF(E163&gt;=21,0,IF(E163&lt;=15.6,1,ROUND(E163*'Performance Standards'!$AC$55+'Performance Standards'!$AC$56,2))),IF('Quantification Tool'!$B$18="Tier III (Cool) ",IF(E163&gt;=24,0,IF(E163&lt;=17.8,1,ROUND(E163*'Performance Standards'!$AD$55+'Performance Standards'!$AD$56,2))),IF('Quantification Tool'!$B$18="Tier IV (Cool-Warm)",IF(E163&gt;=28.8,0,IF(E163&lt;=20,1,ROUND(E163*'Performance Standards'!$AE$55+'Performance Standards'!$AE$56,2))),IF('Quantification Tool'!$B$18="Tier V (Warm)",IF(E163&gt;=31,0,IF(E163&lt;=24.5,1,ROUND(E163*'Performance Standards'!$AF$55+'Performance Standards'!$AF$56,2))))))))))</f>
        <v>0.61</v>
      </c>
      <c r="G163" s="456"/>
      <c r="H163" s="535"/>
      <c r="I163" s="459"/>
      <c r="J163" s="460"/>
      <c r="K163" s="460"/>
      <c r="L163" s="7"/>
    </row>
    <row r="164" spans="1:12" ht="15.5" x14ac:dyDescent="0.35">
      <c r="A164" s="454"/>
      <c r="B164" s="243" t="s">
        <v>297</v>
      </c>
      <c r="C164" s="75" t="s">
        <v>238</v>
      </c>
      <c r="D164" s="72"/>
      <c r="E164" s="43">
        <v>40</v>
      </c>
      <c r="F164" s="163">
        <f>IF(E164="","",IF(OR('Quantification Tool'!$B$10="Basin",'Quantification Tool'!$B$10="Plains"),IF(E164&gt;=150,0,IF(E164&lt;21,1,ROUND('Performance Standards'!$AB$87*LN(E164)+'Performance Standards'!$AB$88,2))),IF(E164&gt;=97,0,IF(E164&lt;=13,1,ROUND('Performance Standards'!$AB$120*LN(E164)+'Performance Standards'!$AB$121,2)))))</f>
        <v>0.45</v>
      </c>
      <c r="G164" s="87">
        <f>IFERROR(AVERAGE(F164),"")</f>
        <v>0.45</v>
      </c>
      <c r="H164" s="456"/>
      <c r="I164" s="459"/>
      <c r="J164" s="460"/>
      <c r="K164" s="460"/>
      <c r="L164" s="7"/>
    </row>
    <row r="165" spans="1:12" ht="15.5" x14ac:dyDescent="0.35">
      <c r="A165" s="482" t="s">
        <v>59</v>
      </c>
      <c r="B165" s="457" t="s">
        <v>73</v>
      </c>
      <c r="C165" s="112" t="s">
        <v>217</v>
      </c>
      <c r="D165" s="113"/>
      <c r="E165" s="115">
        <v>0.7</v>
      </c>
      <c r="F165" s="153">
        <f>IF(E165="","",IF('Quantification Tool'!$B$11="","Enter Bioregion",IF('Quantification Tool'!$B$11="Wyoming Basin",IF(E165&lt;0.26,0,IF(E165&gt;0.94,1,ROUND('Performance Standards'!$AK$18*E165+'Performance Standards'!$AK$19,2))), IF('Quantification Tool'!$B$11="Black Hills",IF(E165&lt;0.2,0,IF(E165&gt;0.98,1,ROUND('Performance Standards'!$AL$18*E165+'Performance Standards'!$AL$19,2))), IF('Quantification Tool'!$B$11="High Valleys",IF(E165&lt;0.23,0,IF(E165&gt;0.95,1,ROUND('Performance Standards'!$AM$18*E165+'Performance Standards'!$AM$19,2))), IF('Quantification Tool'!$B$11="Sedimentary Mountains",IF(E165&lt;=0.23,0,IF(E165&gt;=1,1,ROUND('Performance Standards'!$AN$18*E165+'Performance Standards'!$AN$19,2))), IF('Quantification Tool'!$B$11="Southern Rockies",IF(E165&lt;0.07,0,IF(E165&gt;0.96,1,ROUND('Performance Standards'!$AK$54*E165+'Performance Standards'!$AK$55,2))), IF('Quantification Tool'!$B$11="SE Plains",IF(E165&lt;0.2,0,IF(E165&gt;0.95,1,ROUND('Performance Standards'!$AL$54*E165+'Performance Standards'!$AL$55,2))), IF('Quantification Tool'!$B$11="NE Plains",IF(E165&lt;0.2,0,IF(E165&gt;0.94,1,ROUND('Performance Standards'!$AM$54*E165+'Performance Standards'!$AM$55,2))),IF('Quantification Tool'!$B$11="Granitic Mountains",IF(E165&lt;0.45,0,IF(E165&gt;=1,1,ROUND('Performance Standards'!$AK$92*E165+'Performance Standards'!$AK$93,2))),IF('Quantification Tool'!$B$11="Bighorn Basin Foothills",IF(E165&lt;=0.1,0,IF(E165&gt;=1,1,ROUND('Performance Standards'!$AL$92*E165+'Performance Standards'!$AL$93,2))),IF('Quantification Tool'!$B$11="Volcanic Mountains &amp; Valleys",IF(E165&lt;0.35,0,IF(E165&gt;=1,1,ROUND('Performance Standards'!$AN$92*E165+'Performance Standards'!$AN$93,2))), IF('Quantification Tool'!$B$11="Southern Foothills &amp; Laramie Range",IF(E165&lt;0.3,0,IF(E165&gt;=1,1,ROUND('Performance Standards'!$AM$92*E165+'Performance Standards'!$AM$93,2))) )))))))))))))</f>
        <v>0.67</v>
      </c>
      <c r="G165" s="473">
        <f>IFERROR(IF(AND(F165="",F166=""),"",IF(OR(F165="",F166=""),AVERAGE(F165:F166),IF(OR(F165&lt;0.3,F166&lt;0.3),IF(OR(F165&gt;=0.7,F166&gt;=0.7),MIN(0.69,AVERAGE(F165:F166)),MIN(0.29,AVERAGE(F165:F166))), IF(OR(F165&gt;=0.7,F166&gt;=0.7),IF(AVERAGE(F165:F166)&lt;0.7,0.7,AVERAGE(F165:F166)),AVERAGE(F165:F166))))),"")</f>
        <v>0.60000000000000009</v>
      </c>
      <c r="H165" s="485">
        <f>IFERROR(ROUND(AVERAGE(G165:G169),2),"")</f>
        <v>0.8</v>
      </c>
      <c r="I165" s="459" t="str">
        <f>IF(H165="","",IF(H165&gt;0.69,"Functioning",IF(H165&gt;0.29,"Functioning At Risk",IF(H165&gt;-1,"Not Functioning"))))</f>
        <v>Functioning</v>
      </c>
      <c r="J165" s="460"/>
      <c r="K165" s="460"/>
      <c r="L165" s="7"/>
    </row>
    <row r="166" spans="1:12" ht="15.5" x14ac:dyDescent="0.35">
      <c r="A166" s="483"/>
      <c r="B166" s="458"/>
      <c r="C166" s="249" t="s">
        <v>218</v>
      </c>
      <c r="D166" s="250"/>
      <c r="E166" s="154">
        <v>0.7</v>
      </c>
      <c r="F166" s="88">
        <f>IF(E166="","",IF('Quantification Tool'!$B$11="","Enter Bioregion",IF('Quantification Tool'!$B$11="Wyoming Basin",IF(E166&lt;0.34,0,IF(E166&gt;0.96,1,ROUND('Performance Standards'!$AK$128*E166+'Performance Standards'!$AK$129,2))), IF('Quantification Tool'!$B$11="Black Hills",IF(E166&lt;0.36,0,IF(E166&gt;=1,1,ROUND('Performance Standards'!$AL$128*E166+'Performance Standards'!$AL$129,2))), IF('Quantification Tool'!$B$11="High Valleys",IF(E166&lt;0.38,0,IF(E166&gt;0.98,1,ROUND('Performance Standards'!$AM$128*E166+'Performance Standards'!$AM$129,2))), IF('Quantification Tool'!$B$11="Sedimentary Mountains",IF(E166&lt;0.36,0,IF(E166&gt;0.97,1,ROUND('Performance Standards'!$AN$128*E166+'Performance Standards'!$AN$129,2))), IF('Quantification Tool'!$B$11="Southern Rockies",IF(E166&lt;0.25,0,IF(E166&gt;=1,1,ROUND('Performance Standards'!$AK$165*E166+'Performance Standards'!$AK$166,2))), IF('Quantification Tool'!$B$11="SE Plains",IF(E166&lt;0.33,0,IF(E166&gt;0.95,1,ROUND('Performance Standards'!$AL$165*E166+'Performance Standards'!$AL$166,2))), IF('Quantification Tool'!$B$11="NE Plains",IF(E166&lt;0.35,0,IF(E166&gt;0.98,1,ROUND('Performance Standards'!$AM$165*E166+'Performance Standards'!$AM$166,2))),IF('Quantification Tool'!$B$11="Granitic Mountains",IF(E166&lt;0.5,0,IF(E166&gt;0.98,1,ROUND('Performance Standards'!$AK$202*E166+'Performance Standards'!$AK$203,2))),IF('Quantification Tool'!$B$11="Bighorn Basin Foothills",IF(E166&lt;0.48,0,IF(E166&gt;=1,1,ROUND('Performance Standards'!$AL$202*E166+'Performance Standards'!$AL$203,2))),IF('Quantification Tool'!$B$11="Volcanic Mountains &amp; Valleys",IF(E166&lt;=0.2,0,IF(E166&gt;=1,1,ROUND('Performance Standards'!$AN$202*E166+'Performance Standards'!$AN$203,2))), IF('Quantification Tool'!$B$11="Southern Foothills &amp; Laramie Range",IF(E166&lt;0.28,0,IF(E166&gt;=1,1,ROUND('Performance Standards'!$AM$202*E166+'Performance Standards'!$AM$203,2))) )))))))))))))</f>
        <v>0.53</v>
      </c>
      <c r="G166" s="475"/>
      <c r="H166" s="485"/>
      <c r="I166" s="459"/>
      <c r="J166" s="460"/>
      <c r="K166" s="460"/>
      <c r="L166" s="7"/>
    </row>
    <row r="167" spans="1:12" ht="15.5" x14ac:dyDescent="0.35">
      <c r="A167" s="483"/>
      <c r="B167" s="457" t="s">
        <v>85</v>
      </c>
      <c r="C167" s="180" t="s">
        <v>264</v>
      </c>
      <c r="D167" s="113"/>
      <c r="E167" s="160">
        <v>100</v>
      </c>
      <c r="F167" s="172">
        <f>IF(E167="","",IF(E167&lt;58,0,IF(E167&gt;=100,1,ROUND(E167*'Performance Standards'!$AK$240+'Performance Standards'!$AK$241,2))))</f>
        <v>1</v>
      </c>
      <c r="G167" s="473">
        <f>IFERROR(AVERAGE(F167:F169),"")</f>
        <v>1</v>
      </c>
      <c r="H167" s="485"/>
      <c r="I167" s="459"/>
      <c r="J167" s="460"/>
      <c r="K167" s="460"/>
      <c r="L167" s="7"/>
    </row>
    <row r="168" spans="1:12" ht="15.5" x14ac:dyDescent="0.35">
      <c r="A168" s="483"/>
      <c r="B168" s="476"/>
      <c r="C168" s="181" t="s">
        <v>265</v>
      </c>
      <c r="D168" s="250"/>
      <c r="E168" s="159">
        <v>0</v>
      </c>
      <c r="F168" s="172">
        <f>IF(E168="","",ROUND(IF(E168&gt;=3,0,IF(E168&lt;=1,1,0.69)),2))</f>
        <v>1</v>
      </c>
      <c r="G168" s="474"/>
      <c r="H168" s="485"/>
      <c r="I168" s="459"/>
      <c r="J168" s="460"/>
      <c r="K168" s="460"/>
      <c r="L168" s="7"/>
    </row>
    <row r="169" spans="1:12" ht="15.5" x14ac:dyDescent="0.35">
      <c r="A169" s="484"/>
      <c r="B169" s="458"/>
      <c r="C169" s="114" t="s">
        <v>266</v>
      </c>
      <c r="D169" s="73"/>
      <c r="E169" s="154"/>
      <c r="F169" s="88" t="str">
        <f>IF(E169="","",IF('Quantification Tool'!$B$21="","Enter Stream Producitvity Rating",IF('Quantification Tool'!$B$21="Blue Ribbon and non-trout",IF(E169&lt;5,0,IF(E169&gt;=40,1,ROUND(E169*'Performance Standards'!$AK$316+'Performance Standards'!$AK$317,2))),IF('Quantification Tool'!$B$21="Red Ribbon",IF(E169&lt;10,0,IF(E169&gt;=80,1,ROUND(E169*'Performance Standards'!$AL$316+'Performance Standards'!$AL$317,2))),IF('Quantification Tool'!$B$21="Yellow Ribbon",IF(E169&lt;15,0,IF(E169&gt;=119,1,ROUND(E169*'Performance Standards'!$AM$316+'Performance Standards'!$AM$317,2))),IF('Quantification Tool'!$B$21="Green Ribbon",IF(E169&lt;20,0,IF(E169&gt;=160,1,ROUND(E169*'Performance Standards'!$AN$316+'Performance Standards'!$AN$317,2)))))))))</f>
        <v/>
      </c>
      <c r="G169" s="475"/>
      <c r="H169" s="485"/>
      <c r="I169" s="459"/>
      <c r="J169" s="460"/>
      <c r="K169" s="460"/>
      <c r="L169" s="7"/>
    </row>
    <row r="170" spans="1:12" x14ac:dyDescent="0.35">
      <c r="L170" s="7"/>
    </row>
    <row r="171" spans="1:12" x14ac:dyDescent="0.35">
      <c r="L171" s="7"/>
    </row>
    <row r="172" spans="1:12" ht="21" x14ac:dyDescent="0.5">
      <c r="A172" s="134" t="s">
        <v>165</v>
      </c>
      <c r="B172" s="577">
        <v>4</v>
      </c>
      <c r="C172" s="577"/>
      <c r="D172" s="577"/>
      <c r="E172" s="577"/>
      <c r="F172" s="578"/>
      <c r="G172" s="463" t="s">
        <v>16</v>
      </c>
      <c r="H172" s="464"/>
      <c r="I172" s="464"/>
      <c r="J172" s="464"/>
      <c r="K172" s="465"/>
      <c r="L172" s="7"/>
    </row>
    <row r="173" spans="1:12" ht="15.5" x14ac:dyDescent="0.35">
      <c r="A173" s="145" t="s">
        <v>1</v>
      </c>
      <c r="B173" s="145" t="s">
        <v>2</v>
      </c>
      <c r="C173" s="461" t="s">
        <v>3</v>
      </c>
      <c r="D173" s="576"/>
      <c r="E173" s="145" t="s">
        <v>14</v>
      </c>
      <c r="F173" s="145" t="s">
        <v>15</v>
      </c>
      <c r="G173" s="145" t="s">
        <v>17</v>
      </c>
      <c r="H173" s="145" t="s">
        <v>18</v>
      </c>
      <c r="I173" s="145" t="s">
        <v>18</v>
      </c>
      <c r="J173" s="145" t="s">
        <v>19</v>
      </c>
      <c r="K173" s="50" t="s">
        <v>19</v>
      </c>
    </row>
    <row r="174" spans="1:12" ht="15.5" x14ac:dyDescent="0.35">
      <c r="A174" s="493" t="s">
        <v>63</v>
      </c>
      <c r="B174" s="244" t="s">
        <v>100</v>
      </c>
      <c r="C174" s="52" t="s">
        <v>101</v>
      </c>
      <c r="D174" s="52"/>
      <c r="E174" s="147" t="s">
        <v>455</v>
      </c>
      <c r="F174" s="251">
        <f>IF(E174="","",IF(E174="G1",0.8,IF(E174="G2",0.9,IF(E174="G3",1,IF(E174="F1",0.4,IF(E174="F2",0.5,IF(E174="F3",0.6,IF(E174="P1",0.1,IF(E174="P2",0.2,IF(E174="P3",0.3,))))))))))</f>
        <v>0.9</v>
      </c>
      <c r="G174" s="84">
        <f>IFERROR(AVERAGE(F174),"")</f>
        <v>0.9</v>
      </c>
      <c r="H174" s="499">
        <f>IFERROR(ROUND(AVERAGE(G174:G178),2),"")</f>
        <v>0.88</v>
      </c>
      <c r="I174" s="459" t="str">
        <f>IF(H174="","",IF(H174&gt;0.69,"Functioning",IF(H174&gt;0.29,"Functioning At Risk",IF(H174&gt;-1,"Not Functioning"))))</f>
        <v>Functioning</v>
      </c>
      <c r="J174" s="460">
        <f>IF(AND(H174="",H179="",H181="",H205="",H208=""),"",(IF(H174="",0,H174)*0.2)+(IF(H179="",0,H179)*0.2)+(IF(H181="",0,H181)*0.3)+(IF(H205="",0,H205)*0.15)+(IF(H208="",0,H208)*0.15))</f>
        <v>0.79649999999999999</v>
      </c>
      <c r="K174" s="460" t="str">
        <f>IF(J174="","",IF(J174&lt;0.3, "Not Functioning",IF(OR(H174&lt;0.7,H179&lt;0.7,H181&lt;0.7,H205&lt;0.7,H208&lt;0.7),"Functioning At Risk",IF(J174&lt;0.7,"Functioning At Risk","Functioning"))))</f>
        <v>Functioning At Risk</v>
      </c>
    </row>
    <row r="175" spans="1:12" ht="15.5" x14ac:dyDescent="0.35">
      <c r="A175" s="494"/>
      <c r="B175" s="493" t="s">
        <v>146</v>
      </c>
      <c r="C175" s="118" t="s">
        <v>147</v>
      </c>
      <c r="D175" s="117"/>
      <c r="E175" s="115">
        <v>60</v>
      </c>
      <c r="F175" s="251">
        <f>IF(E175="","",IF('Quantification Tool'!$B$20="Forested",IF(E175&gt;71,0,IF(E175&lt;=41,1,ROUND(E175^2*'Performance Standards'!$C$16+E175*'Performance Standards'!$C$17+'Performance Standards'!$C$18,2))),IF('Quantification Tool'!$B$20="Scrub-Shrub",IF(E175&gt;59.6,0,IF(E175&lt;=35,1,ROUND(E175^2*'Performance Standards'!$D$16+E175*'Performance Standards'!$D$17+'Performance Standards'!$D$18,2))),IF('Quantification Tool'!$B$20="Herbaceous",IF(E175&gt;85,0,IF(E175&lt;=62,1,ROUND(E175^2*'Performance Standards'!$E$16+E175*'Performance Standards'!$E$17+'Performance Standards'!$E$18,2)))))))</f>
        <v>0.73</v>
      </c>
      <c r="G175" s="470">
        <f>IFERROR(AVERAGE(F175:F177),"")</f>
        <v>0.86499999999999999</v>
      </c>
      <c r="H175" s="500"/>
      <c r="I175" s="459"/>
      <c r="J175" s="460"/>
      <c r="K175" s="460"/>
    </row>
    <row r="176" spans="1:12" ht="15.5" x14ac:dyDescent="0.35">
      <c r="A176" s="494"/>
      <c r="B176" s="494"/>
      <c r="C176" s="119" t="s">
        <v>148</v>
      </c>
      <c r="D176" s="52"/>
      <c r="E176" s="147">
        <v>0</v>
      </c>
      <c r="F176" s="252">
        <f>IF(E176="","",IF(E176&gt;3,0,IF(E176=0,1,ROUND('Performance Standards'!C$49*E176+'Performance Standards'!C$50,2))))</f>
        <v>1</v>
      </c>
      <c r="G176" s="471"/>
      <c r="H176" s="500"/>
      <c r="I176" s="459"/>
      <c r="J176" s="460"/>
      <c r="K176" s="460"/>
    </row>
    <row r="177" spans="1:11" ht="15.5" x14ac:dyDescent="0.35">
      <c r="A177" s="494"/>
      <c r="B177" s="512"/>
      <c r="C177" s="120" t="s">
        <v>149</v>
      </c>
      <c r="D177" s="54"/>
      <c r="E177" s="148"/>
      <c r="F177" s="253" t="str">
        <f>IF(E177="","",IF('Quantification Tool'!$B$19="Sandy",IF(E177&gt;1.94,0,IF(E177&lt;1.45,1,ROUND(E177*'Performance Standards'!$C$85+'Performance Standards'!$C$86,2))),IF('Quantification Tool'!$B$19="Silty",IF(E177&gt;1.83,0,IF(E177&lt;1.21,1,ROUND(E177*'Performance Standards'!$D$85+'Performance Standards'!$D$86,2))),IF('Quantification Tool'!$B$19="Clayey",IF(E177&gt;1.74,0,IF(E177&lt;0.82,1,ROUND(E177*'Performance Standards'!$E$85+'Performance Standards'!$E$86,2)))))))</f>
        <v/>
      </c>
      <c r="G177" s="472"/>
      <c r="H177" s="500"/>
      <c r="I177" s="459"/>
      <c r="J177" s="460"/>
      <c r="K177" s="460"/>
    </row>
    <row r="178" spans="1:11" ht="15.5" x14ac:dyDescent="0.35">
      <c r="A178" s="512"/>
      <c r="B178" s="156" t="s">
        <v>170</v>
      </c>
      <c r="C178" s="513" t="s">
        <v>285</v>
      </c>
      <c r="D178" s="579"/>
      <c r="E178" s="174"/>
      <c r="F178" s="253" t="str">
        <f>IF(E178="","",IF(OR(E178&gt;=2,E178&lt;=0.6),0,IF(AND(E178&gt;=1,E178&lt;=1.1),1,ROUND(IF(E178&lt;1,'Performance Standards'!$C$121*E178^2+'Performance Standards'!$C$122*E178+'Performance Standards'!$C$123,'Performance Standards'!$D$121*E178^2+'Performance Standards'!$D$122*E178+'Performance Standards'!$D$123),2))))</f>
        <v/>
      </c>
      <c r="G178" s="247" t="str">
        <f>IFERROR(F178,"")</f>
        <v/>
      </c>
      <c r="H178" s="500"/>
      <c r="I178" s="459"/>
      <c r="J178" s="460"/>
      <c r="K178" s="460"/>
    </row>
    <row r="179" spans="1:11" ht="15.5" x14ac:dyDescent="0.35">
      <c r="A179" s="524" t="s">
        <v>6</v>
      </c>
      <c r="B179" s="524" t="s">
        <v>7</v>
      </c>
      <c r="C179" s="55" t="s">
        <v>8</v>
      </c>
      <c r="D179" s="55"/>
      <c r="E179" s="147">
        <v>1</v>
      </c>
      <c r="F179" s="254">
        <f>IF(E179="","",ROUND(IF(E179&gt;1.6,0,IF(E179&lt;=1,1,E179^2*'Performance Standards'!K$14+E179*'Performance Standards'!K$15+'Performance Standards'!K$16)),2))</f>
        <v>1</v>
      </c>
      <c r="G179" s="526">
        <f>IFERROR(AVERAGE(F179:F180),"")</f>
        <v>0.88500000000000001</v>
      </c>
      <c r="H179" s="526">
        <f>IFERROR(ROUND(AVERAGE(G179:G180),2),"")</f>
        <v>0.89</v>
      </c>
      <c r="I179" s="533" t="str">
        <f>IF(H179="","",IF(H179&gt;0.69,"Functioning",IF(H179&gt;0.29,"Functioning At Risk",IF(H179&gt;-1,"Not Functioning"))))</f>
        <v>Functioning</v>
      </c>
      <c r="J179" s="460"/>
      <c r="K179" s="460"/>
    </row>
    <row r="180" spans="1:11" ht="15.5" x14ac:dyDescent="0.35">
      <c r="A180" s="525"/>
      <c r="B180" s="525"/>
      <c r="C180" s="57" t="s">
        <v>9</v>
      </c>
      <c r="D180" s="57"/>
      <c r="E180" s="148">
        <v>3</v>
      </c>
      <c r="F180" s="255">
        <f>IF(E180="","",IF(OR('Quantification Tool'!$B$9="A",'Quantification Tool'!$B$9="Ba",'Quantification Tool'!$B$9="B", 'Quantification Tool'!$B$9="Bc"),IF(E180&lt;1.2,0,IF(E180&gt;=2.2,1,ROUND(IF(E180&lt;1.4,E180*'Performance Standards'!$K$84+'Performance Standards'!$K$85,E180*'Performance Standards'!$L$84+'Performance Standards'!$L$85),2))),IF(OR('Quantification Tool'!$B$9="C",'Quantification Tool'!$B$9="Cb",'Quantification Tool'!$B$9="E"),IF(E180&lt;2,0,IF(E180&gt;=5,1,ROUND(IF(E180&lt;2.4,E180*'Performance Standards'!$L$49+'Performance Standards'!$L$50,E180*'Performance Standards'!$K$49+'Performance Standards'!$K$50),2))))))</f>
        <v>0.77</v>
      </c>
      <c r="G180" s="527"/>
      <c r="H180" s="532"/>
      <c r="I180" s="534"/>
      <c r="J180" s="460"/>
      <c r="K180" s="460"/>
    </row>
    <row r="181" spans="1:11" ht="15.5" x14ac:dyDescent="0.35">
      <c r="A181" s="477" t="s">
        <v>23</v>
      </c>
      <c r="B181" s="477" t="s">
        <v>24</v>
      </c>
      <c r="C181" s="64" t="s">
        <v>22</v>
      </c>
      <c r="D181" s="67"/>
      <c r="E181" s="115">
        <v>375</v>
      </c>
      <c r="F181" s="246">
        <f>IF(E181="","",IF(E181&gt;600,1,IF(E181&lt;300,ROUND('Performance Standards'!$S$15*(E181^2)+'Performance Standards'!$S$16*E181+'Performance Standards'!$S$17,2),ROUND('Performance Standards'!$T$16*E181+'Performance Standards'!$T$17,2))))</f>
        <v>0.78</v>
      </c>
      <c r="G181" s="466">
        <f>IFERROR(AVERAGE(F181:F182),"")</f>
        <v>0.78</v>
      </c>
      <c r="H181" s="531">
        <f>IFERROR(ROUND(AVERAGE(G181:G204),2),"")</f>
        <v>0.81</v>
      </c>
      <c r="I181" s="460" t="str">
        <f>IF(H181="","",IF(H181&gt;0.69,"Functioning",IF(H181&gt;0.29,"Functioning At Risk",IF(H181&gt;-1,"Not Functioning"))))</f>
        <v>Functioning</v>
      </c>
      <c r="J181" s="460"/>
      <c r="K181" s="460"/>
    </row>
    <row r="182" spans="1:11" ht="15.5" x14ac:dyDescent="0.35">
      <c r="A182" s="478"/>
      <c r="B182" s="479"/>
      <c r="C182" s="66" t="s">
        <v>357</v>
      </c>
      <c r="D182" s="68"/>
      <c r="E182" s="148"/>
      <c r="F182" s="192" t="str">
        <f>IF(E182="","",IF(E182&lt;=0,0,IF(E182&gt;=30,1,ROUND(IF(E182&lt;=15,'Performance Standards'!$S$49*E182^2+'Performance Standards'!$S$50*E182,'Performance Standards'!$T$50*E182+'Performance Standards'!$T$51),2))))</f>
        <v/>
      </c>
      <c r="G182" s="468"/>
      <c r="H182" s="531"/>
      <c r="I182" s="460"/>
      <c r="J182" s="460"/>
      <c r="K182" s="460"/>
    </row>
    <row r="183" spans="1:11" ht="15.5" x14ac:dyDescent="0.35">
      <c r="A183" s="478"/>
      <c r="B183" s="478" t="s">
        <v>46</v>
      </c>
      <c r="C183" s="61" t="s">
        <v>91</v>
      </c>
      <c r="D183" s="61"/>
      <c r="E183" s="115"/>
      <c r="F183" s="238" t="str">
        <f>IF(E183="","",ROUND(IF(E183&gt;0.7,0,IF(E183&lt;=0.1,1,E183^3*'Performance Standards'!S$83+E183^2*'Performance Standards'!S$84+E183*'Performance Standards'!S$85+'Performance Standards'!S$86)),2))</f>
        <v/>
      </c>
      <c r="G183" s="467">
        <f>IFERROR(IF(E183="",AVERAGE(F184:F185),IF(E184="",F183,MAX(F183,AVERAGE(F184:F185)))),"")</f>
        <v>0.85</v>
      </c>
      <c r="H183" s="531"/>
      <c r="I183" s="460"/>
      <c r="J183" s="460"/>
      <c r="K183" s="460"/>
    </row>
    <row r="184" spans="1:11" ht="15.5" x14ac:dyDescent="0.35">
      <c r="A184" s="478"/>
      <c r="B184" s="478"/>
      <c r="C184" s="61" t="s">
        <v>47</v>
      </c>
      <c r="D184" s="61"/>
      <c r="E184" s="147" t="s">
        <v>27</v>
      </c>
      <c r="F184" s="256">
        <f>IF(E184="","",IF(OR(E184="Ex/Ex",E184="Ex/VH"),0, IF(OR(E184="Ex/H",E184="VH/Ex",E184="VH/VH", E184="H/Ex",E184="H/VH",E184="M/Ex"),0.1,IF(OR(E184="Ex/M",E184="VH/H",E184="H/H", E184="M/VH"),0.2, IF(OR(E184="Ex/L",E184="VH/M",E184="H/M", E184="M/H",E184="L/Ex"),0.3, IF(OR(E184="Ex/VL",E184="VH/L",E184="H/L"),0.4, IF(OR(E184="VH/VL",E184="H/VL",E184="M/M", E184="L/VH"),0.5, IF(OR(E184="M/L",E184="L/H"),0.6, IF(OR(E184="M/VL",E184="L/M"),0.7, IF(OR(E184="L/L",E184="L/VL"),1))))))))))</f>
        <v>0.7</v>
      </c>
      <c r="G184" s="467"/>
      <c r="H184" s="531"/>
      <c r="I184" s="460"/>
      <c r="J184" s="460"/>
      <c r="K184" s="460"/>
    </row>
    <row r="185" spans="1:11" ht="15.5" x14ac:dyDescent="0.35">
      <c r="A185" s="478"/>
      <c r="B185" s="478"/>
      <c r="C185" s="63" t="s">
        <v>102</v>
      </c>
      <c r="D185" s="63"/>
      <c r="E185" s="148">
        <v>5</v>
      </c>
      <c r="F185" s="213">
        <f>IF(E185="","",ROUND(IF(E185&gt;50,0,IF(E185&lt;5,1,IF(E185&gt;9,E185^2*'Performance Standards'!S$119+E185*'Performance Standards'!S$120+'Performance Standards'!S$121,'Performance Standards'!$T$120*E185+'Performance Standards'!$T$121))),2))</f>
        <v>1</v>
      </c>
      <c r="G185" s="467"/>
      <c r="H185" s="531"/>
      <c r="I185" s="460"/>
      <c r="J185" s="460"/>
      <c r="K185" s="460"/>
    </row>
    <row r="186" spans="1:11" ht="15.5" x14ac:dyDescent="0.35">
      <c r="A186" s="478"/>
      <c r="B186" s="477" t="s">
        <v>48</v>
      </c>
      <c r="C186" s="67" t="s">
        <v>447</v>
      </c>
      <c r="D186" s="67"/>
      <c r="E186" s="147">
        <v>100</v>
      </c>
      <c r="F186" s="256">
        <f>IF(E186="","",IF('Quantification Tool'!$B$22="Unconfined Alluvial",IF(E186&gt;=100,1,IF(E186&lt;30,0,ROUND('Performance Standards'!$S$155*E186^2+'Performance Standards'!$S$156*E186+'Performance Standards'!$S$157,2))),IF('Quantification Tool'!$B$22="Confined Alluvial",(IF(E186&gt;=100,1,IF(E186&lt;60,0,ROUND('Performance Standards'!$T$155*E186^2+'Performance Standards'!$T$156*E186+'Performance Standards'!$T$157,2)))),IF('Quantification Tool'!$B$22="Colluvial/V-Shaped",(IF(E186&gt;=100,1,IF(E186&lt;80,0,ROUND('Performance Standards'!$U$155*E186^2+'Performance Standards'!$U$156*E186+'Performance Standards'!$U$157,2))))))))</f>
        <v>1</v>
      </c>
      <c r="G186" s="466">
        <f>IFERROR(AVERAGE(F186:F198),"")</f>
        <v>0.79692307692307685</v>
      </c>
      <c r="H186" s="531"/>
      <c r="I186" s="460"/>
      <c r="J186" s="460"/>
      <c r="K186" s="460"/>
    </row>
    <row r="187" spans="1:11" ht="15.5" x14ac:dyDescent="0.35">
      <c r="A187" s="478"/>
      <c r="B187" s="478"/>
      <c r="C187" s="61" t="s">
        <v>448</v>
      </c>
      <c r="D187" s="61"/>
      <c r="E187" s="147">
        <v>100</v>
      </c>
      <c r="F187" s="256">
        <f>IF(E187="","",IF('Quantification Tool'!$B$22="Unconfined Alluvial",IF(E187&gt;=100,1,IF(E187&lt;30,0,ROUND('Performance Standards'!$S$155*E187^2+'Performance Standards'!$S$156*E187+'Performance Standards'!$S$157,2))),IF('Quantification Tool'!$B$22="Confined Alluvial",(IF(E187&gt;=100,1,IF(E187&lt;60,0,ROUND('Performance Standards'!$T$155*E187^2+'Performance Standards'!$T$156*E187+'Performance Standards'!$T$157,2)))),IF('Quantification Tool'!$B$22="Colluvial/V-Shaped",(IF(E187&gt;=100,1,IF(E187&lt;80,0,ROUND('Performance Standards'!$U$155*E187^2+'Performance Standards'!$U$156*E187+'Performance Standards'!$U$157,2))))))))</f>
        <v>1</v>
      </c>
      <c r="G187" s="467"/>
      <c r="H187" s="531"/>
      <c r="I187" s="460"/>
      <c r="J187" s="460"/>
      <c r="K187" s="460"/>
    </row>
    <row r="188" spans="1:11" ht="15.5" x14ac:dyDescent="0.35">
      <c r="A188" s="478"/>
      <c r="B188" s="478"/>
      <c r="C188" s="61" t="s">
        <v>299</v>
      </c>
      <c r="D188" s="61"/>
      <c r="E188" s="147">
        <v>50</v>
      </c>
      <c r="F188" s="256">
        <f>IF(E188="","",IF('Quantification Tool'!$B$20="Herbaceous","",IF(E188="","",IF('Quantification Tool'!$B$10="Mountains",(IF(E188&gt;=90,1,ROUND('Performance Standards'!$S$191*E188^3+'Performance Standards'!$S$192*E188^2+'Performance Standards'!$S$193*E188+'Performance Standards'!$S$194,2))),IF('Quantification Tool'!$B$10="Basin",(IF(E188&gt;=90,1,ROUND('Performance Standards'!$T$191*E188^3+'Performance Standards'!$T$192*E188^2+'Performance Standards'!$T$193*E188+'Performance Standards'!$T$194,2))),(IF('Quantification Tool'!$B$10="Plains",(IF(E188&gt;=75,1,ROUND('Performance Standards'!$U$191*E188^3+'Performance Standards'!$U$192*E188^2+'Performance Standards'!$U$193*E188+'Performance Standards'!$U$194,2))))))))))</f>
        <v>0.48</v>
      </c>
      <c r="G188" s="467"/>
      <c r="H188" s="531"/>
      <c r="I188" s="460"/>
      <c r="J188" s="460"/>
      <c r="K188" s="460"/>
    </row>
    <row r="189" spans="1:11" ht="15.5" x14ac:dyDescent="0.35">
      <c r="A189" s="478"/>
      <c r="B189" s="478"/>
      <c r="C189" s="61" t="s">
        <v>300</v>
      </c>
      <c r="D189" s="61"/>
      <c r="E189" s="147">
        <v>50</v>
      </c>
      <c r="F189" s="256">
        <f>IF(E189="","",IF('Quantification Tool'!$B$20="Herbaceous","",IF(E189="","",IF('Quantification Tool'!$B$10="Mountains",(IF(E189&gt;=90,1,ROUND('Performance Standards'!$S$191*E189^3+'Performance Standards'!$S$192*E189^2+'Performance Standards'!$S$193*E189+'Performance Standards'!$S$194,2))),IF('Quantification Tool'!$B$10="Basin",(IF(E189&gt;=90,1,ROUND('Performance Standards'!$T$191*E189^3+'Performance Standards'!$T$192*E189^2+'Performance Standards'!$T$193*E189+'Performance Standards'!$T$194,2))),(IF('Quantification Tool'!$B$10="Plains",(IF(E189&gt;=75,1,ROUND('Performance Standards'!$U$191*E189^3+'Performance Standards'!$U$192*E189^2+'Performance Standards'!$U$193*E189+'Performance Standards'!$U$194,2))))))))))</f>
        <v>0.48</v>
      </c>
      <c r="G189" s="467"/>
      <c r="H189" s="531"/>
      <c r="I189" s="460"/>
      <c r="J189" s="460"/>
      <c r="K189" s="460"/>
    </row>
    <row r="190" spans="1:11" ht="15.5" x14ac:dyDescent="0.35">
      <c r="A190" s="478"/>
      <c r="B190" s="478"/>
      <c r="C190" s="61" t="s">
        <v>301</v>
      </c>
      <c r="D190" s="61"/>
      <c r="E190" s="147">
        <v>40</v>
      </c>
      <c r="F190" s="256">
        <f>IF(E190="","",IF('Quantification Tool'!$B$20="Herbaceous",IF(E190&lt;30,0,IF(E190&gt;=100,1,ROUND(E190^2*'Performance Standards'!$S$225+E190*'Performance Standards'!$S$226+'Performance Standards'!$S$227,2))),IF('Quantification Tool'!$B$22="Colluvial/V-Shaped",IF(E190&gt;=100,0,IF(AND(E190&gt;=0,E190&lt;=15),ROUND(E190*'Performance Standards'!$S$259+'Performance Standards'!$S$260,2),IF(AND(E190&gt;=15,E190&lt;=55),ROUND(E190*'Performance Standards'!$T$259+'Performance Standards'!$T$260,2),IF(AND(E190&gt;=56,E190&lt;=100),ROUND(E190^2*'Performance Standards'!$U$259+E190*'Performance Standards'!$U$260+'Performance Standards'!$U$261,2))))),IF(OR(E190&gt;=100,E190&lt;=0),0,IF(AND(E190&gt;0,E190&lt;=70),ROUND(E190^2*'Performance Standards'!$S$292+E190*'Performance Standards'!$S$293+'Performance Standards'!$S$294,2),IF(AND(E190&gt;70,E190&lt;100),ROUND(E190^2*'Performance Standards'!$T$292+E190*'Performance Standards'!$T$293+'Performance Standards'!$T$294,2)))))))</f>
        <v>0.83</v>
      </c>
      <c r="G190" s="467"/>
      <c r="H190" s="531"/>
      <c r="I190" s="460"/>
      <c r="J190" s="460"/>
      <c r="K190" s="460"/>
    </row>
    <row r="191" spans="1:11" ht="15.5" x14ac:dyDescent="0.35">
      <c r="A191" s="478"/>
      <c r="B191" s="478"/>
      <c r="C191" s="61" t="s">
        <v>302</v>
      </c>
      <c r="D191" s="61"/>
      <c r="E191" s="147">
        <v>40</v>
      </c>
      <c r="F191" s="256">
        <f>IF(E191="","",IF('Quantification Tool'!$B$20="Herbaceous",IF(E191&lt;30,0,IF(E191&gt;=100,1,ROUND(E191^2*'Performance Standards'!$S$225+E191*'Performance Standards'!$S$226+'Performance Standards'!$S$227,2))),IF('Quantification Tool'!$B$22="Colluvial/V-Shaped",IF(E191&gt;=100,0,IF(AND(E191&gt;=0,E191&lt;=15),ROUND(E191*'Performance Standards'!$S$259+'Performance Standards'!$S$260,2),IF(AND(E191&gt;=15,E191&lt;=55),ROUND(E191*'Performance Standards'!$T$259+'Performance Standards'!$T$260,2),IF(AND(E191&gt;=56,E191&lt;=100),ROUND(E191^2*'Performance Standards'!$U$259+E191*'Performance Standards'!$U$260+'Performance Standards'!$U$261,2))))),IF(OR(E191&gt;=100,E191&lt;=0),0,IF(AND(E191&gt;0,E191&lt;=70),ROUND(E191^2*'Performance Standards'!$S$292+E191*'Performance Standards'!$S$293+'Performance Standards'!$S$294,2),IF(AND(E191&gt;70,E191&lt;100),ROUND(E191^2*'Performance Standards'!$T$292+E191*'Performance Standards'!$T$293+'Performance Standards'!$T$294,2)))))))</f>
        <v>0.83</v>
      </c>
      <c r="G191" s="467"/>
      <c r="H191" s="531"/>
      <c r="I191" s="460"/>
      <c r="J191" s="460"/>
      <c r="K191" s="460"/>
    </row>
    <row r="192" spans="1:11" ht="15.5" x14ac:dyDescent="0.35">
      <c r="A192" s="478"/>
      <c r="B192" s="478"/>
      <c r="C192" s="61" t="s">
        <v>304</v>
      </c>
      <c r="D192" s="61"/>
      <c r="E192" s="147">
        <v>5</v>
      </c>
      <c r="F192" s="256">
        <f>IF(E192="","",ROUND(IF(E192&gt;=100,0,E192^2*'Performance Standards'!$S$324+E192*'Performance Standards'!$S$325+'Performance Standards'!$S$326),2))</f>
        <v>0.91</v>
      </c>
      <c r="G192" s="467"/>
      <c r="H192" s="531"/>
      <c r="I192" s="460"/>
      <c r="J192" s="460"/>
      <c r="K192" s="460"/>
    </row>
    <row r="193" spans="1:13" ht="15.5" x14ac:dyDescent="0.35">
      <c r="A193" s="478"/>
      <c r="B193" s="478"/>
      <c r="C193" s="61" t="s">
        <v>305</v>
      </c>
      <c r="D193" s="61"/>
      <c r="E193" s="147">
        <v>5</v>
      </c>
      <c r="F193" s="256">
        <f>IF(E193="","",ROUND(IF(E193&gt;=100,0,E193^2*'Performance Standards'!$S$324+E193*'Performance Standards'!$S$325+'Performance Standards'!$S$326),2))</f>
        <v>0.91</v>
      </c>
      <c r="G193" s="467"/>
      <c r="H193" s="531"/>
      <c r="I193" s="460"/>
      <c r="J193" s="460"/>
      <c r="K193" s="460"/>
    </row>
    <row r="194" spans="1:13" ht="15.5" x14ac:dyDescent="0.35">
      <c r="A194" s="478"/>
      <c r="B194" s="478"/>
      <c r="C194" s="61" t="s">
        <v>307</v>
      </c>
      <c r="D194" s="61"/>
      <c r="E194" s="147">
        <v>60</v>
      </c>
      <c r="F194" s="256">
        <f>IF(E194="","",ROUND(IF(E194&gt;=100,1,E194^3*'Performance Standards'!$S$357+E194^2*'Performance Standards'!$S$358+E194*'Performance Standards'!$S$359+$S$139),2))</f>
        <v>0.61</v>
      </c>
      <c r="G194" s="467"/>
      <c r="H194" s="531"/>
      <c r="I194" s="460"/>
      <c r="J194" s="460"/>
      <c r="K194" s="460"/>
    </row>
    <row r="195" spans="1:13" ht="15.5" x14ac:dyDescent="0.35">
      <c r="A195" s="478"/>
      <c r="B195" s="478"/>
      <c r="C195" s="61" t="s">
        <v>308</v>
      </c>
      <c r="D195" s="61"/>
      <c r="E195" s="147">
        <v>60</v>
      </c>
      <c r="F195" s="256">
        <f>IF(E195="","",ROUND(IF(E195&gt;=100,1,E195^3*'Performance Standards'!$S$357+E195^2*'Performance Standards'!$S$358+E195*'Performance Standards'!$S$359+$S$139),2))</f>
        <v>0.61</v>
      </c>
      <c r="G195" s="467"/>
      <c r="H195" s="531"/>
      <c r="I195" s="460"/>
      <c r="J195" s="460"/>
      <c r="K195" s="460"/>
    </row>
    <row r="196" spans="1:13" ht="15.5" x14ac:dyDescent="0.35">
      <c r="A196" s="478"/>
      <c r="B196" s="478"/>
      <c r="C196" s="61" t="s">
        <v>158</v>
      </c>
      <c r="D196" s="61"/>
      <c r="E196" s="159">
        <v>30</v>
      </c>
      <c r="F196" s="192">
        <f>IF(E196="","",IF(OR(E196&gt;=50,E196&lt;=0),0,IF(AND(E196&gt;=25,E196&lt;=36),1,ROUND(IF(E196&lt;25,'Performance Standards'!$S$394*E196^3+'Performance Standards'!$S$395*E196^2+'Performance Standards'!$S$396*E196+'Performance Standards'!$S$397,'Performance Standards'!$T$394*E196^3+'Performance Standards'!$T$395*E196^2+'Performance Standards'!$T$396*E196+'Performance Standards'!$T$397),2))))</f>
        <v>1</v>
      </c>
      <c r="G196" s="467"/>
      <c r="H196" s="531"/>
      <c r="I196" s="460"/>
      <c r="J196" s="460"/>
      <c r="K196" s="460"/>
    </row>
    <row r="197" spans="1:13" ht="15.5" x14ac:dyDescent="0.35">
      <c r="A197" s="478"/>
      <c r="B197" s="478"/>
      <c r="C197" s="61" t="s">
        <v>159</v>
      </c>
      <c r="D197" s="61"/>
      <c r="E197" s="147">
        <v>30</v>
      </c>
      <c r="F197" s="192">
        <f>IF(E197="","",IF(OR(E197&gt;=50,E197&lt;=0),0,IF(AND(E197&gt;=25,E197&lt;=36),1,ROUND(IF(E197&lt;25,'Performance Standards'!$S$394*E197^3+'Performance Standards'!$S$395*E197^2+'Performance Standards'!$S$396*E197+'Performance Standards'!$S$397,'Performance Standards'!$T$394*E197^3+'Performance Standards'!$T$395*E197^2+'Performance Standards'!$T$396*E197+'Performance Standards'!$T$397),2))))</f>
        <v>1</v>
      </c>
      <c r="G197" s="467"/>
      <c r="H197" s="531"/>
      <c r="I197" s="460"/>
      <c r="J197" s="460"/>
      <c r="K197" s="460"/>
      <c r="M197" s="7"/>
    </row>
    <row r="198" spans="1:13" ht="15.5" x14ac:dyDescent="0.35">
      <c r="A198" s="478"/>
      <c r="B198" s="479"/>
      <c r="C198" s="61" t="s">
        <v>298</v>
      </c>
      <c r="D198" s="68"/>
      <c r="E198" s="148">
        <v>7</v>
      </c>
      <c r="F198" s="256">
        <f>IF(E198="","",ROUND(IF(E198&lt;=2,0,IF(E198&gt;=9,1,E198^3*'Performance Standards'!S$430+E198^2*'Performance Standards'!$S$431+E198*'Performance Standards'!$S$432+'Performance Standards'!$S$433)),2))</f>
        <v>0.7</v>
      </c>
      <c r="G198" s="468"/>
      <c r="H198" s="531"/>
      <c r="I198" s="460"/>
      <c r="J198" s="460"/>
      <c r="K198" s="460"/>
    </row>
    <row r="199" spans="1:13" ht="15.5" x14ac:dyDescent="0.35">
      <c r="A199" s="478"/>
      <c r="B199" s="59" t="s">
        <v>121</v>
      </c>
      <c r="C199" s="74" t="s">
        <v>160</v>
      </c>
      <c r="D199" s="61"/>
      <c r="E199" s="43"/>
      <c r="F199" s="191" t="str">
        <f>IF(E199="","",IF('Quantification Tool'!$B$13="Sand","NA",IF(E199&gt;0.1,1,IF(E199&lt;=0.01,0,ROUND(E199*'Performance Standards'!$S$464+'Performance Standards'!$S$465,2)))))</f>
        <v/>
      </c>
      <c r="G199" s="83" t="str">
        <f>IFERROR(AVERAGE(F199),"")</f>
        <v/>
      </c>
      <c r="H199" s="531"/>
      <c r="I199" s="460"/>
      <c r="J199" s="460"/>
      <c r="K199" s="460"/>
    </row>
    <row r="200" spans="1:13" ht="15.5" x14ac:dyDescent="0.35">
      <c r="A200" s="478"/>
      <c r="B200" s="477" t="s">
        <v>49</v>
      </c>
      <c r="C200" s="67" t="s">
        <v>50</v>
      </c>
      <c r="D200" s="67"/>
      <c r="E200" s="160">
        <v>7</v>
      </c>
      <c r="F200" s="161">
        <f>IF(E200="","",IF('Quantification Tool'!$B$9="Bc",IF(OR(E200&gt;9.2,E200&lt;=0.1),0,IF(E200&lt;=4,1,ROUND('Performance Standards'!$S$598*E200^2+'Performance Standards'!$S$599*E200+'Performance Standards'!$S$600,2))),IF(OR('Quantification Tool'!$B$9="B",'Quantification Tool'!$B$9="Ba"),IF(OR(E200&gt;7.5,E200&lt;=0.1),0,IF(E200&lt;=3,1,ROUND(IF(E200&gt;4,'Performance Standards'!$S$567*E200+'Performance Standards'!$S$568,'Performance Standards'!$T$567*E200+'Performance Standards'!$T$568),2))),IF('Quantification Tool'!$B$9="Cb",IF(OR(E200&gt;=7.6,E200&lt;=2.4),0,IF(AND(E200&gt;=3.7,E200&lt;=5),1,ROUND(IF(E200&lt;4,'Performance Standards'!$S$534*E200^2+'Performance Standards'!$S$535*E200+'Performance Standards'!$S$536,'Performance Standards'!$T$534*E200^2+'Performance Standards'!$T$535*E200+'Performance Standards'!$T$536),2))),IF('Quantification Tool'!$B$9="C",IF(OR(E200&gt;9.3,E200&lt;=3),0,IF(AND(E200&gt;=4,E200&lt;=6),1,ROUND(IF(E200&lt;4,'Performance Standards'!$S$500*E200+'Performance Standards'!$S$501,'Performance Standards'!$T$500*E200+'Performance Standards'!$T$501),2))))))))</f>
        <v>0.7</v>
      </c>
      <c r="G200" s="466">
        <f>IFERROR(AVERAGE(F200:F203),"")</f>
        <v>0.9</v>
      </c>
      <c r="H200" s="531"/>
      <c r="I200" s="460"/>
      <c r="J200" s="460"/>
      <c r="K200" s="460"/>
    </row>
    <row r="201" spans="1:13" ht="15.5" x14ac:dyDescent="0.35">
      <c r="A201" s="478"/>
      <c r="B201" s="478"/>
      <c r="C201" s="61" t="s">
        <v>51</v>
      </c>
      <c r="D201" s="61"/>
      <c r="E201" s="159">
        <v>3</v>
      </c>
      <c r="F201" s="85">
        <f>IF(E201="","",IF(E201&lt;=1.1,0,IF(E201&gt;=2.5,1,ROUND(IF(E201&lt;1.2,'Performance Standards'!$S$632*E201+'Performance Standards'!$S$633,'Performance Standards'!$T$631*E201^2+'Performance Standards'!$T$632*E201+'Performance Standards'!$T$633),2))))</f>
        <v>1</v>
      </c>
      <c r="G201" s="467"/>
      <c r="H201" s="531"/>
      <c r="I201" s="460"/>
      <c r="J201" s="460"/>
      <c r="K201" s="460"/>
    </row>
    <row r="202" spans="1:13" ht="15.5" x14ac:dyDescent="0.35">
      <c r="A202" s="478"/>
      <c r="B202" s="478"/>
      <c r="C202" s="61" t="s">
        <v>52</v>
      </c>
      <c r="D202" s="61"/>
      <c r="E202" s="159">
        <v>50</v>
      </c>
      <c r="F202" s="245">
        <f>IF(E202="","",IF('Quantification Tool'!$B$11="Volcanic Mountains &amp; Valleys", IF(OR(E202&gt;95,E202&lt;58),0,IF(AND(E202&gt;=73,E202&lt;=80),1, ROUND(IF(E202&lt;73,'Performance Standards'!$S$665*E202^2+'Performance Standards'!$S$666*E202+'Performance Standards'!$S$667, 'Performance Standards'!$T$665*E202^2+'Performance Standards'!$T$666*E202+'Performance Standards'!$T$667),2))), IF('Quantification Tool'!$B$16="","Need Slope",IF('Quantification Tool'!$B$16&lt;3,IF( OR(E202&gt;73,E202&lt;37),0, IF(AND(E202&gt;=50,E202&lt;= 60), 1, ROUND(IF(E202&lt;50,'Performance Standards'!$S$699*E202^2+'Performance Standards'!$S$700*E202+'Performance Standards'!$S$701, IF(E202&gt;60,'Performance Standards'!$T$699*E202^2+'Performance Standards'!$T$700*E202+'Performance Standards'!$T$701)),2))), IF('Quantification Tool'!$B$16&gt;=3,IF(OR(E202&gt;88,E202&lt;57),0, IF(AND(E202 &gt;=70, E202&lt;=76),1, ROUND(IF(E202&lt;70,'Performance Standards'!$S$734*E202^2+'Performance Standards'!$S$735*E202+'Performance Standards'!$S$736,'Performance Standards'!$T$734*E202^2+'Performance Standards'!$T$735*E202+'Performance Standards'!$T$736),2) )))))))</f>
        <v>1</v>
      </c>
      <c r="G202" s="467"/>
      <c r="H202" s="531"/>
      <c r="I202" s="460"/>
      <c r="J202" s="460"/>
      <c r="K202" s="460"/>
    </row>
    <row r="203" spans="1:13" ht="15.5" x14ac:dyDescent="0.35">
      <c r="A203" s="478"/>
      <c r="B203" s="479"/>
      <c r="C203" s="66" t="s">
        <v>248</v>
      </c>
      <c r="D203" s="68"/>
      <c r="E203" s="154"/>
      <c r="F203" s="248" t="str">
        <f>IF(E203="","",IF(E203&gt;=1.6,0,IF(E203&lt;=1,1,ROUND('Performance Standards'!$S$766*E203^3+'Performance Standards'!$S$767*E203^2+'Performance Standards'!$S$768*E203+'Performance Standards'!$S$769,2))))</f>
        <v/>
      </c>
      <c r="G203" s="468"/>
      <c r="H203" s="531"/>
      <c r="I203" s="460"/>
      <c r="J203" s="460"/>
      <c r="K203" s="460"/>
      <c r="L203" s="2"/>
    </row>
    <row r="204" spans="1:13" ht="15.5" x14ac:dyDescent="0.35">
      <c r="A204" s="479"/>
      <c r="B204" s="424" t="s">
        <v>54</v>
      </c>
      <c r="C204" s="68" t="s">
        <v>53</v>
      </c>
      <c r="D204" s="68"/>
      <c r="E204" s="148">
        <v>1.2</v>
      </c>
      <c r="F204" s="70">
        <f>IF(E204="","",IF('Quantification Tool'!$B$9="E",IF(OR(E204&gt;2,E204&lt;1.2),0, IF(AND(E204&gt;=1.6, E204&lt;=1.7),1, ROUND(IF(E204&lt;1.3,E204*'Performance Standards'!S$803+'Performance Standards'!S$804,IF(E204&lt;=1.6,E204*'Performance Standards'!T$803+'Performance Standards'!T$804, E204^2*'Performance Standards'!U$802+E204*'Performance Standards'!U$803+'Performance Standards'!$U$804)),2))),IF(LEFT('Quantification Tool'!$B$9,1)="C",IF(OR(E204&lt;1.15, E204&gt;1.5),0, IF(AND(E204&lt;=1.35,E204&gt;=1.25),1,ROUND(IF(E204&lt;1.25,E204^2*'Performance Standards'!$S$836+E204*'Performance Standards'!$S$837+'Performance Standards'!$S$838, E204^2*'Performance Standards'!$T$836+E204*'Performance Standards'!$T$837+'Performance Standards'!$T$838),2))),IF(LEFT('Quantification Tool'!$B$9,1)="B",IF(OR(E204&gt;1.4,E204&lt;1),0, IF(AND(E204&gt;=1.15,E204&lt;=1.25),1, ROUND(IF(E204&lt;=1.15,E204^2*'Performance Standards'!$S$867+E204*'Performance Standards'!$S$868+'Performance Standards'!$S$869,E204^2*'Performance Standards'!$T$867+E204*'Performance Standards'!$T$868+'Performance Standards'!$T$869),2)))))))</f>
        <v>0.7</v>
      </c>
      <c r="G204" s="85">
        <f>IFERROR(AVERAGE(F204),"")</f>
        <v>0.7</v>
      </c>
      <c r="H204" s="531"/>
      <c r="I204" s="460"/>
      <c r="J204" s="460"/>
      <c r="K204" s="460"/>
      <c r="L204" s="2"/>
    </row>
    <row r="205" spans="1:13" ht="15.5" x14ac:dyDescent="0.35">
      <c r="A205" s="453" t="s">
        <v>58</v>
      </c>
      <c r="B205" s="453" t="s">
        <v>93</v>
      </c>
      <c r="C205" s="182" t="s">
        <v>272</v>
      </c>
      <c r="D205" s="71"/>
      <c r="E205" s="147"/>
      <c r="F205" s="178" t="str">
        <f>IF(E205="","",IF('Quantification Tool'!$B$18="","Enter Stream Temperature",IF('Quantification Tool'!$B$18="Tier I (Cold) ",IF(E205&gt;=24.6,0,IF(E205&lt;=15.5,1,ROUND(E205*'Performance Standards'!$AB$19+'Performance Standards'!$AB$20,2))),IF('Quantification Tool'!$B$18="Tier II (Cold-Cool)",IF(E205&gt;=27.8,0,IF(E205&lt;=15.6,1,ROUND(E205*'Performance Standards'!$AC$19+'Performance Standards'!$AC$20,2))),IF('Quantification Tool'!$B$18="Tier III (Cool) ",IF(E205&gt;=32.4,0,IF(E205&lt;=17.8,1,ROUND(E205*'Performance Standards'!$AD$19+'Performance Standards'!$AD$20,2))),IF('Quantification Tool'!$B$18="Tier IV (Cool-Warm)",IF(E205&gt;=34.6,0,IF(E205&lt;=20,1,ROUND(E205*'Performance Standards'!$AE$19+'Performance Standards'!$AE$20,2))),IF('Quantification Tool'!$B$18="Tier V (Warm)",IF(E205&gt;35.4,0,IF(E205&lt;=24.6,1,ROUND(E205*'Performance Standards'!$AF$19+'Performance Standards'!$AF$20,2))))))))))</f>
        <v/>
      </c>
      <c r="G205" s="455">
        <f>IFERROR(IF(E205="",F206,IF(E206="",F205,MIN(F205:F206))),"")</f>
        <v>0.61</v>
      </c>
      <c r="H205" s="455">
        <f>IFERROR(ROUND(AVERAGE(G205:G207),2),"")</f>
        <v>0.53</v>
      </c>
      <c r="I205" s="459" t="str">
        <f>IF(H205="","",IF(H205&gt;0.69,"Functioning",IF(H205&gt;0.29,"Functioning At Risk",IF(H205&gt;-1,"Not Functioning"))))</f>
        <v>Functioning At Risk</v>
      </c>
      <c r="J205" s="460"/>
      <c r="K205" s="460"/>
      <c r="L205" s="7"/>
    </row>
    <row r="206" spans="1:13" ht="15.5" x14ac:dyDescent="0.35">
      <c r="A206" s="469"/>
      <c r="B206" s="454"/>
      <c r="C206" s="183" t="s">
        <v>273</v>
      </c>
      <c r="D206" s="71"/>
      <c r="E206" s="147">
        <v>17</v>
      </c>
      <c r="F206" s="179">
        <f>IF(E206="","",IF('Quantification Tool'!$B$18="","Enter Stream Temperature",IF('Quantification Tool'!$B$18="Tier I (Cold) ",IF(E206&gt;=19.3,0,IF(E206&lt;=15.5,1,ROUND(E206*'Performance Standards'!$AB$55+'Performance Standards'!$AB$56,2))),IF('Quantification Tool'!$B$18="Tier II (Cold-Cool)",IF(E206&gt;=21,0,IF(E206&lt;=15.6,1,ROUND(E206*'Performance Standards'!$AC$55+'Performance Standards'!$AC$56,2))),IF('Quantification Tool'!$B$18="Tier III (Cool) ",IF(E206&gt;=24,0,IF(E206&lt;=17.8,1,ROUND(E206*'Performance Standards'!$AD$55+'Performance Standards'!$AD$56,2))),IF('Quantification Tool'!$B$18="Tier IV (Cool-Warm)",IF(E206&gt;=28.8,0,IF(E206&lt;=20,1,ROUND(E206*'Performance Standards'!$AE$55+'Performance Standards'!$AE$56,2))),IF('Quantification Tool'!$B$18="Tier V (Warm)",IF(E206&gt;=31,0,IF(E206&lt;=24.5,1,ROUND(E206*'Performance Standards'!$AF$55+'Performance Standards'!$AF$56,2))))))))))</f>
        <v>0.61</v>
      </c>
      <c r="G206" s="456"/>
      <c r="H206" s="535"/>
      <c r="I206" s="459"/>
      <c r="J206" s="460"/>
      <c r="K206" s="460"/>
      <c r="L206" s="7"/>
    </row>
    <row r="207" spans="1:13" ht="15.5" x14ac:dyDescent="0.35">
      <c r="A207" s="454"/>
      <c r="B207" s="243" t="s">
        <v>297</v>
      </c>
      <c r="C207" s="75" t="s">
        <v>238</v>
      </c>
      <c r="D207" s="72"/>
      <c r="E207" s="43">
        <v>40</v>
      </c>
      <c r="F207" s="163">
        <f>IF(E207="","",IF(OR('Quantification Tool'!$B$10="Basin",'Quantification Tool'!$B$10="Plains"),IF(E207&gt;=150,0,IF(E207&lt;21,1,ROUND('Performance Standards'!$AB$87*LN(E207)+'Performance Standards'!$AB$88,2))),IF(E207&gt;=97,0,IF(E207&lt;=13,1,ROUND('Performance Standards'!$AB$120*LN(E207)+'Performance Standards'!$AB$121,2)))))</f>
        <v>0.45</v>
      </c>
      <c r="G207" s="87">
        <f>IFERROR(AVERAGE(F207),"")</f>
        <v>0.45</v>
      </c>
      <c r="H207" s="456"/>
      <c r="I207" s="459"/>
      <c r="J207" s="460"/>
      <c r="K207" s="460"/>
      <c r="L207" s="7"/>
    </row>
    <row r="208" spans="1:13" ht="15.5" x14ac:dyDescent="0.35">
      <c r="A208" s="482" t="s">
        <v>59</v>
      </c>
      <c r="B208" s="457" t="s">
        <v>73</v>
      </c>
      <c r="C208" s="112" t="s">
        <v>217</v>
      </c>
      <c r="D208" s="113"/>
      <c r="E208" s="115">
        <v>0.7</v>
      </c>
      <c r="F208" s="153">
        <f>IF(E208="","",IF('Quantification Tool'!$B$11="","Enter Bioregion",IF('Quantification Tool'!$B$11="Wyoming Basin",IF(E208&lt;0.26,0,IF(E208&gt;0.94,1,ROUND('Performance Standards'!$AK$18*E208+'Performance Standards'!$AK$19,2))), IF('Quantification Tool'!$B$11="Black Hills",IF(E208&lt;0.2,0,IF(E208&gt;0.98,1,ROUND('Performance Standards'!$AL$18*E208+'Performance Standards'!$AL$19,2))), IF('Quantification Tool'!$B$11="High Valleys",IF(E208&lt;0.23,0,IF(E208&gt;0.95,1,ROUND('Performance Standards'!$AM$18*E208+'Performance Standards'!$AM$19,2))), IF('Quantification Tool'!$B$11="Sedimentary Mountains",IF(E208&lt;=0.23,0,IF(E208&gt;=1,1,ROUND('Performance Standards'!$AN$18*E208+'Performance Standards'!$AN$19,2))), IF('Quantification Tool'!$B$11="Southern Rockies",IF(E208&lt;0.07,0,IF(E208&gt;0.96,1,ROUND('Performance Standards'!$AK$54*E208+'Performance Standards'!$AK$55,2))), IF('Quantification Tool'!$B$11="SE Plains",IF(E208&lt;0.2,0,IF(E208&gt;0.95,1,ROUND('Performance Standards'!$AL$54*E208+'Performance Standards'!$AL$55,2))), IF('Quantification Tool'!$B$11="NE Plains",IF(E208&lt;0.2,0,IF(E208&gt;0.94,1,ROUND('Performance Standards'!$AM$54*E208+'Performance Standards'!$AM$55,2))),IF('Quantification Tool'!$B$11="Granitic Mountains",IF(E208&lt;0.45,0,IF(E208&gt;=1,1,ROUND('Performance Standards'!$AK$92*E208+'Performance Standards'!$AK$93,2))),IF('Quantification Tool'!$B$11="Bighorn Basin Foothills",IF(E208&lt;=0.1,0,IF(E208&gt;=1,1,ROUND('Performance Standards'!$AL$92*E208+'Performance Standards'!$AL$93,2))),IF('Quantification Tool'!$B$11="Volcanic Mountains &amp; Valleys",IF(E208&lt;0.35,0,IF(E208&gt;=1,1,ROUND('Performance Standards'!$AN$92*E208+'Performance Standards'!$AN$93,2))), IF('Quantification Tool'!$B$11="Southern Foothills &amp; Laramie Range",IF(E208&lt;0.3,0,IF(E208&gt;=1,1,ROUND('Performance Standards'!$AM$92*E208+'Performance Standards'!$AM$93,2))) )))))))))))))</f>
        <v>0.67</v>
      </c>
      <c r="G208" s="473">
        <f>IFERROR(IF(AND(F208="",F209=""),"",IF(OR(F208="",F209=""),AVERAGE(F208:F209),IF(OR(F208&lt;0.3,F209&lt;0.3),IF(OR(F208&gt;=0.7,F209&gt;=0.7),MIN(0.69,AVERAGE(F208:F209)),MIN(0.29,AVERAGE(F208:F209))), IF(OR(F208&gt;=0.7,F209&gt;=0.7),IF(AVERAGE(F208:F209)&lt;0.7,0.7,AVERAGE(F208:F209)),AVERAGE(F208:F209))))),"")</f>
        <v>0.60000000000000009</v>
      </c>
      <c r="H208" s="485">
        <f>IFERROR(ROUND(AVERAGE(G208:G212),2),"")</f>
        <v>0.8</v>
      </c>
      <c r="I208" s="459" t="str">
        <f>IF(H208="","",IF(H208&gt;0.69,"Functioning",IF(H208&gt;0.29,"Functioning At Risk",IF(H208&gt;-1,"Not Functioning"))))</f>
        <v>Functioning</v>
      </c>
      <c r="J208" s="460"/>
      <c r="K208" s="460"/>
      <c r="L208" s="7"/>
    </row>
    <row r="209" spans="1:12" ht="15.5" x14ac:dyDescent="0.35">
      <c r="A209" s="483"/>
      <c r="B209" s="458"/>
      <c r="C209" s="249" t="s">
        <v>218</v>
      </c>
      <c r="D209" s="250"/>
      <c r="E209" s="154">
        <v>0.7</v>
      </c>
      <c r="F209" s="88">
        <f>IF(E209="","",IF('Quantification Tool'!$B$11="","Enter Bioregion",IF('Quantification Tool'!$B$11="Wyoming Basin",IF(E209&lt;0.34,0,IF(E209&gt;0.96,1,ROUND('Performance Standards'!$AK$128*E209+'Performance Standards'!$AK$129,2))), IF('Quantification Tool'!$B$11="Black Hills",IF(E209&lt;0.36,0,IF(E209&gt;=1,1,ROUND('Performance Standards'!$AL$128*E209+'Performance Standards'!$AL$129,2))), IF('Quantification Tool'!$B$11="High Valleys",IF(E209&lt;0.38,0,IF(E209&gt;0.98,1,ROUND('Performance Standards'!$AM$128*E209+'Performance Standards'!$AM$129,2))), IF('Quantification Tool'!$B$11="Sedimentary Mountains",IF(E209&lt;0.36,0,IF(E209&gt;0.97,1,ROUND('Performance Standards'!$AN$128*E209+'Performance Standards'!$AN$129,2))), IF('Quantification Tool'!$B$11="Southern Rockies",IF(E209&lt;0.25,0,IF(E209&gt;=1,1,ROUND('Performance Standards'!$AK$165*E209+'Performance Standards'!$AK$166,2))), IF('Quantification Tool'!$B$11="SE Plains",IF(E209&lt;0.33,0,IF(E209&gt;0.95,1,ROUND('Performance Standards'!$AL$165*E209+'Performance Standards'!$AL$166,2))), IF('Quantification Tool'!$B$11="NE Plains",IF(E209&lt;0.35,0,IF(E209&gt;0.98,1,ROUND('Performance Standards'!$AM$165*E209+'Performance Standards'!$AM$166,2))),IF('Quantification Tool'!$B$11="Granitic Mountains",IF(E209&lt;0.5,0,IF(E209&gt;0.98,1,ROUND('Performance Standards'!$AK$202*E209+'Performance Standards'!$AK$203,2))),IF('Quantification Tool'!$B$11="Bighorn Basin Foothills",IF(E209&lt;0.48,0,IF(E209&gt;=1,1,ROUND('Performance Standards'!$AL$202*E209+'Performance Standards'!$AL$203,2))),IF('Quantification Tool'!$B$11="Volcanic Mountains &amp; Valleys",IF(E209&lt;=0.2,0,IF(E209&gt;=1,1,ROUND('Performance Standards'!$AN$202*E209+'Performance Standards'!$AN$203,2))), IF('Quantification Tool'!$B$11="Southern Foothills &amp; Laramie Range",IF(E209&lt;0.28,0,IF(E209&gt;=1,1,ROUND('Performance Standards'!$AM$202*E209+'Performance Standards'!$AM$203,2))) )))))))))))))</f>
        <v>0.53</v>
      </c>
      <c r="G209" s="475"/>
      <c r="H209" s="485"/>
      <c r="I209" s="459"/>
      <c r="J209" s="460"/>
      <c r="K209" s="460"/>
      <c r="L209" s="7"/>
    </row>
    <row r="210" spans="1:12" ht="15.5" x14ac:dyDescent="0.35">
      <c r="A210" s="483"/>
      <c r="B210" s="457" t="s">
        <v>85</v>
      </c>
      <c r="C210" s="180" t="s">
        <v>264</v>
      </c>
      <c r="D210" s="113"/>
      <c r="E210" s="160">
        <v>100</v>
      </c>
      <c r="F210" s="172">
        <f>IF(E210="","",IF(E210&lt;58,0,IF(E210&gt;=100,1,ROUND(E210*'Performance Standards'!$AK$240+'Performance Standards'!$AK$241,2))))</f>
        <v>1</v>
      </c>
      <c r="G210" s="473">
        <f>IFERROR(AVERAGE(F210:F212),"")</f>
        <v>1</v>
      </c>
      <c r="H210" s="485"/>
      <c r="I210" s="459"/>
      <c r="J210" s="460"/>
      <c r="K210" s="460"/>
      <c r="L210" s="7"/>
    </row>
    <row r="211" spans="1:12" ht="15.5" x14ac:dyDescent="0.35">
      <c r="A211" s="483"/>
      <c r="B211" s="476"/>
      <c r="C211" s="181" t="s">
        <v>265</v>
      </c>
      <c r="D211" s="250"/>
      <c r="E211" s="159">
        <v>0</v>
      </c>
      <c r="F211" s="172">
        <f>IF(E211="","",ROUND(IF(E211&gt;=3,0,IF(E211&lt;=1,1,0.69)),2))</f>
        <v>1</v>
      </c>
      <c r="G211" s="474"/>
      <c r="H211" s="485"/>
      <c r="I211" s="459"/>
      <c r="J211" s="460"/>
      <c r="K211" s="460"/>
      <c r="L211" s="7"/>
    </row>
    <row r="212" spans="1:12" ht="15.5" x14ac:dyDescent="0.35">
      <c r="A212" s="484"/>
      <c r="B212" s="458"/>
      <c r="C212" s="114" t="s">
        <v>266</v>
      </c>
      <c r="D212" s="73"/>
      <c r="E212" s="154"/>
      <c r="F212" s="88" t="str">
        <f>IF(E212="","",IF('Quantification Tool'!$B$21="","Enter Stream Producitvity Rating",IF('Quantification Tool'!$B$21="Blue Ribbon and non-trout",IF(E212&lt;5,0,IF(E212&gt;=40,1,ROUND(E212*'Performance Standards'!$AK$316+'Performance Standards'!$AK$317,2))),IF('Quantification Tool'!$B$21="Red Ribbon",IF(E212&lt;10,0,IF(E212&gt;=80,1,ROUND(E212*'Performance Standards'!$AL$316+'Performance Standards'!$AL$317,2))),IF('Quantification Tool'!$B$21="Yellow Ribbon",IF(E212&lt;15,0,IF(E212&gt;=119,1,ROUND(E212*'Performance Standards'!$AM$316+'Performance Standards'!$AM$317,2))),IF('Quantification Tool'!$B$21="Green Ribbon",IF(E212&lt;20,0,IF(E212&gt;=160,1,ROUND(E212*'Performance Standards'!$AN$316+'Performance Standards'!$AN$317,2)))))))))</f>
        <v/>
      </c>
      <c r="G212" s="475"/>
      <c r="H212" s="485"/>
      <c r="I212" s="459"/>
      <c r="J212" s="460"/>
      <c r="K212" s="460"/>
      <c r="L212" s="7"/>
    </row>
    <row r="213" spans="1:12" x14ac:dyDescent="0.35">
      <c r="L213" s="7"/>
    </row>
    <row r="214" spans="1:12" ht="14" customHeight="1" x14ac:dyDescent="0.35">
      <c r="L214" s="7"/>
    </row>
    <row r="215" spans="1:12" ht="21" x14ac:dyDescent="0.5">
      <c r="A215" s="134" t="s">
        <v>165</v>
      </c>
      <c r="B215" s="577">
        <v>5</v>
      </c>
      <c r="C215" s="577"/>
      <c r="D215" s="577"/>
      <c r="E215" s="577"/>
      <c r="F215" s="578"/>
      <c r="G215" s="463" t="s">
        <v>16</v>
      </c>
      <c r="H215" s="464"/>
      <c r="I215" s="464"/>
      <c r="J215" s="464"/>
      <c r="K215" s="465"/>
      <c r="L215" s="7"/>
    </row>
    <row r="216" spans="1:12" ht="15.5" x14ac:dyDescent="0.35">
      <c r="A216" s="145" t="s">
        <v>1</v>
      </c>
      <c r="B216" s="145" t="s">
        <v>2</v>
      </c>
      <c r="C216" s="461" t="s">
        <v>3</v>
      </c>
      <c r="D216" s="576"/>
      <c r="E216" s="145" t="s">
        <v>14</v>
      </c>
      <c r="F216" s="145" t="s">
        <v>15</v>
      </c>
      <c r="G216" s="145" t="s">
        <v>17</v>
      </c>
      <c r="H216" s="145" t="s">
        <v>18</v>
      </c>
      <c r="I216" s="145" t="s">
        <v>18</v>
      </c>
      <c r="J216" s="145" t="s">
        <v>19</v>
      </c>
      <c r="K216" s="50" t="s">
        <v>19</v>
      </c>
    </row>
    <row r="217" spans="1:12" ht="15.5" x14ac:dyDescent="0.35">
      <c r="A217" s="493" t="s">
        <v>63</v>
      </c>
      <c r="B217" s="244" t="s">
        <v>100</v>
      </c>
      <c r="C217" s="52" t="s">
        <v>101</v>
      </c>
      <c r="D217" s="52"/>
      <c r="E217" s="147" t="s">
        <v>455</v>
      </c>
      <c r="F217" s="251">
        <f>IF(E217="","",IF(E217="G1",0.8,IF(E217="G2",0.9,IF(E217="G3",1,IF(E217="F1",0.4,IF(E217="F2",0.5,IF(E217="F3",0.6,IF(E217="P1",0.1,IF(E217="P2",0.2,IF(E217="P3",0.3,))))))))))</f>
        <v>0.9</v>
      </c>
      <c r="G217" s="84">
        <f>IFERROR(AVERAGE(F217),"")</f>
        <v>0.9</v>
      </c>
      <c r="H217" s="499">
        <f>IFERROR(ROUND(AVERAGE(G217:G221),2),"")</f>
        <v>0.88</v>
      </c>
      <c r="I217" s="459" t="str">
        <f>IF(H217="","",IF(H217&gt;0.69,"Functioning",IF(H217&gt;0.29,"Functioning At Risk",IF(H217&gt;-1,"Not Functioning"))))</f>
        <v>Functioning</v>
      </c>
      <c r="J217" s="460">
        <f>IF(AND(H217="",H222="",H224="",H248="",H251=""),"",(IF(H217="",0,H217)*0.2)+(IF(H222="",0,H222)*0.2)+(IF(H224="",0,H224)*0.3)+(IF(H248="",0,H248)*0.15)+(IF(H251="",0,H251)*0.15))</f>
        <v>0.86399999999999988</v>
      </c>
      <c r="K217" s="460" t="str">
        <f>IF(J217="","",IF(J217&lt;0.3, "Not Functioning",IF(OR(H217&lt;0.7,H222&lt;0.7,H224&lt;0.7,H248&lt;0.7,H251&lt;0.7),"Functioning At Risk",IF(J217&lt;0.7,"Functioning At Risk","Functioning"))))</f>
        <v>Functioning</v>
      </c>
    </row>
    <row r="218" spans="1:12" ht="15.5" x14ac:dyDescent="0.35">
      <c r="A218" s="494"/>
      <c r="B218" s="493" t="s">
        <v>146</v>
      </c>
      <c r="C218" s="118" t="s">
        <v>147</v>
      </c>
      <c r="D218" s="117"/>
      <c r="E218" s="115">
        <v>60</v>
      </c>
      <c r="F218" s="251">
        <f>IF(E218="","",IF('Quantification Tool'!$B$20="Forested",IF(E218&gt;71,0,IF(E218&lt;=41,1,ROUND(E218^2*'Performance Standards'!$C$16+E218*'Performance Standards'!$C$17+'Performance Standards'!$C$18,2))),IF('Quantification Tool'!$B$20="Scrub-Shrub",IF(E218&gt;59.6,0,IF(E218&lt;=35,1,ROUND(E218^2*'Performance Standards'!$D$16+E218*'Performance Standards'!$D$17+'Performance Standards'!$D$18,2))),IF('Quantification Tool'!$B$20="Herbaceous",IF(E218&gt;85,0,IF(E218&lt;=62,1,ROUND(E218^2*'Performance Standards'!$E$16+E218*'Performance Standards'!$E$17+'Performance Standards'!$E$18,2)))))))</f>
        <v>0.73</v>
      </c>
      <c r="G218" s="470">
        <f>IFERROR(AVERAGE(F218:F220),"")</f>
        <v>0.86499999999999999</v>
      </c>
      <c r="H218" s="500"/>
      <c r="I218" s="459"/>
      <c r="J218" s="460"/>
      <c r="K218" s="460"/>
    </row>
    <row r="219" spans="1:12" ht="15.5" x14ac:dyDescent="0.35">
      <c r="A219" s="494"/>
      <c r="B219" s="494"/>
      <c r="C219" s="119" t="s">
        <v>148</v>
      </c>
      <c r="D219" s="52"/>
      <c r="E219" s="147">
        <v>0</v>
      </c>
      <c r="F219" s="252">
        <f>IF(E219="","",IF(E219&gt;3,0,IF(E219=0,1,ROUND('Performance Standards'!C$49*E219+'Performance Standards'!C$50,2))))</f>
        <v>1</v>
      </c>
      <c r="G219" s="471"/>
      <c r="H219" s="500"/>
      <c r="I219" s="459"/>
      <c r="J219" s="460"/>
      <c r="K219" s="460"/>
    </row>
    <row r="220" spans="1:12" ht="15.5" x14ac:dyDescent="0.35">
      <c r="A220" s="494"/>
      <c r="B220" s="512"/>
      <c r="C220" s="120" t="s">
        <v>149</v>
      </c>
      <c r="D220" s="54"/>
      <c r="E220" s="148"/>
      <c r="F220" s="253" t="str">
        <f>IF(E220="","",IF('Quantification Tool'!$B$19="Sandy",IF(E220&gt;1.94,0,IF(E220&lt;1.45,1,ROUND(E220*'Performance Standards'!$C$85+'Performance Standards'!$C$86,2))),IF('Quantification Tool'!$B$19="Silty",IF(E220&gt;1.83,0,IF(E220&lt;1.21,1,ROUND(E220*'Performance Standards'!$D$85+'Performance Standards'!$D$86,2))),IF('Quantification Tool'!$B$19="Clayey",IF(E220&gt;1.74,0,IF(E220&lt;0.82,1,ROUND(E220*'Performance Standards'!$E$85+'Performance Standards'!$E$86,2)))))))</f>
        <v/>
      </c>
      <c r="G220" s="472"/>
      <c r="H220" s="500"/>
      <c r="I220" s="459"/>
      <c r="J220" s="460"/>
      <c r="K220" s="460"/>
    </row>
    <row r="221" spans="1:12" ht="15.5" x14ac:dyDescent="0.35">
      <c r="A221" s="512"/>
      <c r="B221" s="156" t="s">
        <v>170</v>
      </c>
      <c r="C221" s="513" t="s">
        <v>285</v>
      </c>
      <c r="D221" s="579"/>
      <c r="E221" s="174"/>
      <c r="F221" s="253" t="str">
        <f>IF(E221="","",IF(OR(E221&gt;=2,E221&lt;=0.6),0,IF(AND(E221&gt;=1,E221&lt;=1.1),1,ROUND(IF(E221&lt;1,'Performance Standards'!$C$121*E221^2+'Performance Standards'!$C$122*E221+'Performance Standards'!$C$123,'Performance Standards'!$D$121*E221^2+'Performance Standards'!$D$122*E221+'Performance Standards'!$D$123),2))))</f>
        <v/>
      </c>
      <c r="G221" s="247" t="str">
        <f>IFERROR(F221,"")</f>
        <v/>
      </c>
      <c r="H221" s="500"/>
      <c r="I221" s="459"/>
      <c r="J221" s="460"/>
      <c r="K221" s="460"/>
    </row>
    <row r="222" spans="1:12" ht="15.5" x14ac:dyDescent="0.35">
      <c r="A222" s="524" t="s">
        <v>6</v>
      </c>
      <c r="B222" s="524" t="s">
        <v>7</v>
      </c>
      <c r="C222" s="55" t="s">
        <v>8</v>
      </c>
      <c r="D222" s="55"/>
      <c r="E222" s="147">
        <v>1</v>
      </c>
      <c r="F222" s="254">
        <f>IF(E222="","",ROUND(IF(E222&gt;1.6,0,IF(E222&lt;=1,1,E222^2*'Performance Standards'!K$14+E222*'Performance Standards'!K$15+'Performance Standards'!K$16)),2))</f>
        <v>1</v>
      </c>
      <c r="G222" s="526">
        <f>IFERROR(AVERAGE(F222:F223),"")</f>
        <v>0.88500000000000001</v>
      </c>
      <c r="H222" s="526">
        <f>IFERROR(ROUND(AVERAGE(G222:G223),2),"")</f>
        <v>0.89</v>
      </c>
      <c r="I222" s="533" t="str">
        <f>IF(H222="","",IF(H222&gt;0.69,"Functioning",IF(H222&gt;0.29,"Functioning At Risk",IF(H222&gt;-1,"Not Functioning"))))</f>
        <v>Functioning</v>
      </c>
      <c r="J222" s="460"/>
      <c r="K222" s="460"/>
    </row>
    <row r="223" spans="1:12" ht="15.5" x14ac:dyDescent="0.35">
      <c r="A223" s="525"/>
      <c r="B223" s="525"/>
      <c r="C223" s="57" t="s">
        <v>9</v>
      </c>
      <c r="D223" s="57"/>
      <c r="E223" s="148">
        <v>3</v>
      </c>
      <c r="F223" s="255">
        <f>IF(E223="","",IF(OR('Quantification Tool'!$B$9="A",'Quantification Tool'!$B$9="Ba",'Quantification Tool'!$B$9="B", 'Quantification Tool'!$B$9="Bc"),IF(E223&lt;1.2,0,IF(E223&gt;=2.2,1,ROUND(IF(E223&lt;1.4,E223*'Performance Standards'!$K$84+'Performance Standards'!$K$85,E223*'Performance Standards'!$L$84+'Performance Standards'!$L$85),2))),IF(OR('Quantification Tool'!$B$9="C",'Quantification Tool'!$B$9="Cb",'Quantification Tool'!$B$9="E"),IF(E223&lt;2,0,IF(E223&gt;=5,1,ROUND(IF(E223&lt;2.4,E223*'Performance Standards'!$L$49+'Performance Standards'!$L$50,E223*'Performance Standards'!$K$49+'Performance Standards'!$K$50),2))))))</f>
        <v>0.77</v>
      </c>
      <c r="G223" s="527"/>
      <c r="H223" s="532"/>
      <c r="I223" s="534"/>
      <c r="J223" s="460"/>
      <c r="K223" s="460"/>
    </row>
    <row r="224" spans="1:12" ht="15.5" x14ac:dyDescent="0.35">
      <c r="A224" s="477" t="s">
        <v>23</v>
      </c>
      <c r="B224" s="477" t="s">
        <v>24</v>
      </c>
      <c r="C224" s="64" t="s">
        <v>22</v>
      </c>
      <c r="D224" s="67"/>
      <c r="E224" s="115">
        <v>375</v>
      </c>
      <c r="F224" s="246">
        <f>IF(E224="","",IF(E224&gt;600,1,IF(E224&lt;300,ROUND('Performance Standards'!$S$15*(E224^2)+'Performance Standards'!$S$16*E224+'Performance Standards'!$S$17,2),ROUND('Performance Standards'!$T$16*E224+'Performance Standards'!$T$17,2))))</f>
        <v>0.78</v>
      </c>
      <c r="G224" s="466">
        <f>IFERROR(AVERAGE(F224:F225),"")</f>
        <v>0.78</v>
      </c>
      <c r="H224" s="531">
        <f>IFERROR(ROUND(AVERAGE(G224:G247),2),"")</f>
        <v>0.81</v>
      </c>
      <c r="I224" s="460" t="str">
        <f>IF(H224="","",IF(H224&gt;0.69,"Functioning",IF(H224&gt;0.29,"Functioning At Risk",IF(H224&gt;-1,"Not Functioning"))))</f>
        <v>Functioning</v>
      </c>
      <c r="J224" s="460"/>
      <c r="K224" s="460"/>
    </row>
    <row r="225" spans="1:13" ht="15.5" x14ac:dyDescent="0.35">
      <c r="A225" s="478"/>
      <c r="B225" s="479"/>
      <c r="C225" s="66" t="s">
        <v>357</v>
      </c>
      <c r="D225" s="68"/>
      <c r="E225" s="148"/>
      <c r="F225" s="192" t="str">
        <f>IF(E225="","",IF(E225&lt;=0,0,IF(E225&gt;=30,1,ROUND(IF(E225&lt;=15,'Performance Standards'!$S$49*E225^2+'Performance Standards'!$S$50*E225,'Performance Standards'!$T$50*E225+'Performance Standards'!$T$51),2))))</f>
        <v/>
      </c>
      <c r="G225" s="468"/>
      <c r="H225" s="531"/>
      <c r="I225" s="460"/>
      <c r="J225" s="460"/>
      <c r="K225" s="460"/>
    </row>
    <row r="226" spans="1:13" ht="15.5" x14ac:dyDescent="0.35">
      <c r="A226" s="478"/>
      <c r="B226" s="478" t="s">
        <v>46</v>
      </c>
      <c r="C226" s="61" t="s">
        <v>91</v>
      </c>
      <c r="D226" s="61"/>
      <c r="E226" s="115"/>
      <c r="F226" s="238" t="str">
        <f>IF(E226="","",ROUND(IF(E226&gt;0.7,0,IF(E226&lt;=0.1,1,E226^3*'Performance Standards'!S$83+E226^2*'Performance Standards'!S$84+E226*'Performance Standards'!S$85+'Performance Standards'!S$86)),2))</f>
        <v/>
      </c>
      <c r="G226" s="467">
        <f>IFERROR(IF(E226="",AVERAGE(F227:F228),IF(E227="",F226,MAX(F226,AVERAGE(F227:F228)))),"")</f>
        <v>0.85</v>
      </c>
      <c r="H226" s="531"/>
      <c r="I226" s="460"/>
      <c r="J226" s="460"/>
      <c r="K226" s="460"/>
    </row>
    <row r="227" spans="1:13" ht="15.5" x14ac:dyDescent="0.35">
      <c r="A227" s="478"/>
      <c r="B227" s="478"/>
      <c r="C227" s="61" t="s">
        <v>47</v>
      </c>
      <c r="D227" s="61"/>
      <c r="E227" s="147" t="s">
        <v>27</v>
      </c>
      <c r="F227" s="256">
        <f>IF(E227="","",IF(OR(E227="Ex/Ex",E227="Ex/VH"),0, IF(OR(E227="Ex/H",E227="VH/Ex",E227="VH/VH", E227="H/Ex",E227="H/VH",E227="M/Ex"),0.1,IF(OR(E227="Ex/M",E227="VH/H",E227="H/H", E227="M/VH"),0.2, IF(OR(E227="Ex/L",E227="VH/M",E227="H/M", E227="M/H",E227="L/Ex"),0.3, IF(OR(E227="Ex/VL",E227="VH/L",E227="H/L"),0.4, IF(OR(E227="VH/VL",E227="H/VL",E227="M/M", E227="L/VH"),0.5, IF(OR(E227="M/L",E227="L/H"),0.6, IF(OR(E227="M/VL",E227="L/M"),0.7, IF(OR(E227="L/L",E227="L/VL"),1))))))))))</f>
        <v>0.7</v>
      </c>
      <c r="G227" s="467"/>
      <c r="H227" s="531"/>
      <c r="I227" s="460"/>
      <c r="J227" s="460"/>
      <c r="K227" s="460"/>
    </row>
    <row r="228" spans="1:13" ht="15.5" x14ac:dyDescent="0.35">
      <c r="A228" s="478"/>
      <c r="B228" s="478"/>
      <c r="C228" s="63" t="s">
        <v>102</v>
      </c>
      <c r="D228" s="63"/>
      <c r="E228" s="148">
        <v>5</v>
      </c>
      <c r="F228" s="213">
        <f>IF(E228="","",ROUND(IF(E228&gt;50,0,IF(E228&lt;5,1,IF(E228&gt;9,E228^2*'Performance Standards'!S$119+E228*'Performance Standards'!S$120+'Performance Standards'!S$121,'Performance Standards'!$T$120*E228+'Performance Standards'!$T$121))),2))</f>
        <v>1</v>
      </c>
      <c r="G228" s="467"/>
      <c r="H228" s="531"/>
      <c r="I228" s="460"/>
      <c r="J228" s="460"/>
      <c r="K228" s="460"/>
    </row>
    <row r="229" spans="1:13" ht="15.5" x14ac:dyDescent="0.35">
      <c r="A229" s="478"/>
      <c r="B229" s="477" t="s">
        <v>48</v>
      </c>
      <c r="C229" s="67" t="s">
        <v>447</v>
      </c>
      <c r="D229" s="67"/>
      <c r="E229" s="147">
        <v>100</v>
      </c>
      <c r="F229" s="256">
        <f>IF(E229="","",IF('Quantification Tool'!$B$22="Unconfined Alluvial",IF(E229&gt;=100,1,IF(E229&lt;30,0,ROUND('Performance Standards'!$S$155*E229^2+'Performance Standards'!$S$156*E229+'Performance Standards'!$S$157,2))),IF('Quantification Tool'!$B$22="Confined Alluvial",(IF(E229&gt;=100,1,IF(E229&lt;60,0,ROUND('Performance Standards'!$T$155*E229^2+'Performance Standards'!$T$156*E229+'Performance Standards'!$T$157,2)))),IF('Quantification Tool'!$B$22="Colluvial/V-Shaped",(IF(E229&gt;=100,1,IF(E229&lt;80,0,ROUND('Performance Standards'!$U$155*E229^2+'Performance Standards'!$U$156*E229+'Performance Standards'!$U$157,2))))))))</f>
        <v>1</v>
      </c>
      <c r="G229" s="466">
        <f>IFERROR(AVERAGE(F229:F241),"")</f>
        <v>0.79692307692307685</v>
      </c>
      <c r="H229" s="531"/>
      <c r="I229" s="460"/>
      <c r="J229" s="460"/>
      <c r="K229" s="460"/>
    </row>
    <row r="230" spans="1:13" ht="15.5" x14ac:dyDescent="0.35">
      <c r="A230" s="478"/>
      <c r="B230" s="478"/>
      <c r="C230" s="61" t="s">
        <v>448</v>
      </c>
      <c r="D230" s="61"/>
      <c r="E230" s="147">
        <v>100</v>
      </c>
      <c r="F230" s="256">
        <f>IF(E230="","",IF('Quantification Tool'!$B$22="Unconfined Alluvial",IF(E230&gt;=100,1,IF(E230&lt;30,0,ROUND('Performance Standards'!$S$155*E230^2+'Performance Standards'!$S$156*E230+'Performance Standards'!$S$157,2))),IF('Quantification Tool'!$B$22="Confined Alluvial",(IF(E230&gt;=100,1,IF(E230&lt;60,0,ROUND('Performance Standards'!$T$155*E230^2+'Performance Standards'!$T$156*E230+'Performance Standards'!$T$157,2)))),IF('Quantification Tool'!$B$22="Colluvial/V-Shaped",(IF(E230&gt;=100,1,IF(E230&lt;80,0,ROUND('Performance Standards'!$U$155*E230^2+'Performance Standards'!$U$156*E230+'Performance Standards'!$U$157,2))))))))</f>
        <v>1</v>
      </c>
      <c r="G230" s="467"/>
      <c r="H230" s="531"/>
      <c r="I230" s="460"/>
      <c r="J230" s="460"/>
      <c r="K230" s="460"/>
    </row>
    <row r="231" spans="1:13" ht="15.5" x14ac:dyDescent="0.35">
      <c r="A231" s="478"/>
      <c r="B231" s="478"/>
      <c r="C231" s="61" t="s">
        <v>299</v>
      </c>
      <c r="D231" s="61"/>
      <c r="E231" s="147">
        <v>50</v>
      </c>
      <c r="F231" s="256">
        <f>IF(E231="","",IF('Quantification Tool'!$B$20="Herbaceous","",IF(E231="","",IF('Quantification Tool'!$B$10="Mountains",(IF(E231&gt;=90,1,ROUND('Performance Standards'!$S$191*E231^3+'Performance Standards'!$S$192*E231^2+'Performance Standards'!$S$193*E231+'Performance Standards'!$S$194,2))),IF('Quantification Tool'!$B$10="Basin",(IF(E231&gt;=90,1,ROUND('Performance Standards'!$T$191*E231^3+'Performance Standards'!$T$192*E231^2+'Performance Standards'!$T$193*E231+'Performance Standards'!$T$194,2))),(IF('Quantification Tool'!$B$10="Plains",(IF(E231&gt;=75,1,ROUND('Performance Standards'!$U$191*E231^3+'Performance Standards'!$U$192*E231^2+'Performance Standards'!$U$193*E231+'Performance Standards'!$U$194,2))))))))))</f>
        <v>0.48</v>
      </c>
      <c r="G231" s="467"/>
      <c r="H231" s="531"/>
      <c r="I231" s="460"/>
      <c r="J231" s="460"/>
      <c r="K231" s="460"/>
    </row>
    <row r="232" spans="1:13" ht="15.5" x14ac:dyDescent="0.35">
      <c r="A232" s="478"/>
      <c r="B232" s="478"/>
      <c r="C232" s="61" t="s">
        <v>300</v>
      </c>
      <c r="D232" s="61"/>
      <c r="E232" s="147">
        <v>50</v>
      </c>
      <c r="F232" s="256">
        <f>IF(E232="","",IF('Quantification Tool'!$B$20="Herbaceous","",IF(E232="","",IF('Quantification Tool'!$B$10="Mountains",(IF(E232&gt;=90,1,ROUND('Performance Standards'!$S$191*E232^3+'Performance Standards'!$S$192*E232^2+'Performance Standards'!$S$193*E232+'Performance Standards'!$S$194,2))),IF('Quantification Tool'!$B$10="Basin",(IF(E232&gt;=90,1,ROUND('Performance Standards'!$T$191*E232^3+'Performance Standards'!$T$192*E232^2+'Performance Standards'!$T$193*E232+'Performance Standards'!$T$194,2))),(IF('Quantification Tool'!$B$10="Plains",(IF(E232&gt;=75,1,ROUND('Performance Standards'!$U$191*E232^3+'Performance Standards'!$U$192*E232^2+'Performance Standards'!$U$193*E232+'Performance Standards'!$U$194,2))))))))))</f>
        <v>0.48</v>
      </c>
      <c r="G232" s="467"/>
      <c r="H232" s="531"/>
      <c r="I232" s="460"/>
      <c r="J232" s="460"/>
      <c r="K232" s="460"/>
    </row>
    <row r="233" spans="1:13" ht="15.5" x14ac:dyDescent="0.35">
      <c r="A233" s="478"/>
      <c r="B233" s="478"/>
      <c r="C233" s="61" t="s">
        <v>301</v>
      </c>
      <c r="D233" s="61"/>
      <c r="E233" s="147">
        <v>40</v>
      </c>
      <c r="F233" s="256">
        <f>IF(E233="","",IF('Quantification Tool'!$B$20="Herbaceous",IF(E233&lt;30,0,IF(E233&gt;=100,1,ROUND(E233^2*'Performance Standards'!$S$225+E233*'Performance Standards'!$S$226+'Performance Standards'!$S$227,2))),IF('Quantification Tool'!$B$22="Colluvial/V-Shaped",IF(E233&gt;=100,0,IF(AND(E233&gt;=0,E233&lt;=15),ROUND(E233*'Performance Standards'!$S$259+'Performance Standards'!$S$260,2),IF(AND(E233&gt;=15,E233&lt;=55),ROUND(E233*'Performance Standards'!$T$259+'Performance Standards'!$T$260,2),IF(AND(E233&gt;=56,E233&lt;=100),ROUND(E233^2*'Performance Standards'!$U$259+E233*'Performance Standards'!$U$260+'Performance Standards'!$U$261,2))))),IF(OR(E233&gt;=100,E233&lt;=0),0,IF(AND(E233&gt;0,E233&lt;=70),ROUND(E233^2*'Performance Standards'!$S$292+E233*'Performance Standards'!$S$293+'Performance Standards'!$S$294,2),IF(AND(E233&gt;70,E233&lt;100),ROUND(E233^2*'Performance Standards'!$T$292+E233*'Performance Standards'!$T$293+'Performance Standards'!$T$294,2)))))))</f>
        <v>0.83</v>
      </c>
      <c r="G233" s="467"/>
      <c r="H233" s="531"/>
      <c r="I233" s="460"/>
      <c r="J233" s="460"/>
      <c r="K233" s="460"/>
    </row>
    <row r="234" spans="1:13" ht="15.5" x14ac:dyDescent="0.35">
      <c r="A234" s="478"/>
      <c r="B234" s="478"/>
      <c r="C234" s="61" t="s">
        <v>302</v>
      </c>
      <c r="D234" s="61"/>
      <c r="E234" s="147">
        <v>40</v>
      </c>
      <c r="F234" s="256">
        <f>IF(E234="","",IF('Quantification Tool'!$B$20="Herbaceous",IF(E234&lt;30,0,IF(E234&gt;=100,1,ROUND(E234^2*'Performance Standards'!$S$225+E234*'Performance Standards'!$S$226+'Performance Standards'!$S$227,2))),IF('Quantification Tool'!$B$22="Colluvial/V-Shaped",IF(E234&gt;=100,0,IF(AND(E234&gt;=0,E234&lt;=15),ROUND(E234*'Performance Standards'!$S$259+'Performance Standards'!$S$260,2),IF(AND(E234&gt;=15,E234&lt;=55),ROUND(E234*'Performance Standards'!$T$259+'Performance Standards'!$T$260,2),IF(AND(E234&gt;=56,E234&lt;=100),ROUND(E234^2*'Performance Standards'!$U$259+E234*'Performance Standards'!$U$260+'Performance Standards'!$U$261,2))))),IF(OR(E234&gt;=100,E234&lt;=0),0,IF(AND(E234&gt;0,E234&lt;=70),ROUND(E234^2*'Performance Standards'!$S$292+E234*'Performance Standards'!$S$293+'Performance Standards'!$S$294,2),IF(AND(E234&gt;70,E234&lt;100),ROUND(E234^2*'Performance Standards'!$T$292+E234*'Performance Standards'!$T$293+'Performance Standards'!$T$294,2)))))))</f>
        <v>0.83</v>
      </c>
      <c r="G234" s="467"/>
      <c r="H234" s="531"/>
      <c r="I234" s="460"/>
      <c r="J234" s="460"/>
      <c r="K234" s="460"/>
    </row>
    <row r="235" spans="1:13" ht="15.5" x14ac:dyDescent="0.35">
      <c r="A235" s="478"/>
      <c r="B235" s="478"/>
      <c r="C235" s="61" t="s">
        <v>304</v>
      </c>
      <c r="D235" s="61"/>
      <c r="E235" s="147">
        <v>5</v>
      </c>
      <c r="F235" s="256">
        <f>IF(E235="","",ROUND(IF(E235&gt;=100,0,E235^2*'Performance Standards'!$S$324+E235*'Performance Standards'!$S$325+'Performance Standards'!$S$326),2))</f>
        <v>0.91</v>
      </c>
      <c r="G235" s="467"/>
      <c r="H235" s="531"/>
      <c r="I235" s="460"/>
      <c r="J235" s="460"/>
      <c r="K235" s="460"/>
    </row>
    <row r="236" spans="1:13" ht="15.5" x14ac:dyDescent="0.35">
      <c r="A236" s="478"/>
      <c r="B236" s="478"/>
      <c r="C236" s="61" t="s">
        <v>305</v>
      </c>
      <c r="D236" s="61"/>
      <c r="E236" s="147">
        <v>5</v>
      </c>
      <c r="F236" s="256">
        <f>IF(E236="","",ROUND(IF(E236&gt;=100,0,E236^2*'Performance Standards'!$S$324+E236*'Performance Standards'!$S$325+'Performance Standards'!$S$326),2))</f>
        <v>0.91</v>
      </c>
      <c r="G236" s="467"/>
      <c r="H236" s="531"/>
      <c r="I236" s="460"/>
      <c r="J236" s="460"/>
      <c r="K236" s="460"/>
    </row>
    <row r="237" spans="1:13" ht="15.5" x14ac:dyDescent="0.35">
      <c r="A237" s="478"/>
      <c r="B237" s="478"/>
      <c r="C237" s="61" t="s">
        <v>307</v>
      </c>
      <c r="D237" s="61"/>
      <c r="E237" s="147">
        <v>60</v>
      </c>
      <c r="F237" s="256">
        <f>IF(E237="","",ROUND(IF(E237&gt;=100,1,E237^3*'Performance Standards'!$S$357+E237^2*'Performance Standards'!$S$358+E237*'Performance Standards'!$S$359+$S$139),2))</f>
        <v>0.61</v>
      </c>
      <c r="G237" s="467"/>
      <c r="H237" s="531"/>
      <c r="I237" s="460"/>
      <c r="J237" s="460"/>
      <c r="K237" s="460"/>
    </row>
    <row r="238" spans="1:13" ht="15.5" x14ac:dyDescent="0.35">
      <c r="A238" s="478"/>
      <c r="B238" s="478"/>
      <c r="C238" s="61" t="s">
        <v>308</v>
      </c>
      <c r="D238" s="61"/>
      <c r="E238" s="147">
        <v>60</v>
      </c>
      <c r="F238" s="256">
        <f>IF(E238="","",ROUND(IF(E238&gt;=100,1,E238^3*'Performance Standards'!$S$357+E238^2*'Performance Standards'!$S$358+E238*'Performance Standards'!$S$359+$S$139),2))</f>
        <v>0.61</v>
      </c>
      <c r="G238" s="467"/>
      <c r="H238" s="531"/>
      <c r="I238" s="460"/>
      <c r="J238" s="460"/>
      <c r="K238" s="460"/>
    </row>
    <row r="239" spans="1:13" ht="15.5" x14ac:dyDescent="0.35">
      <c r="A239" s="478"/>
      <c r="B239" s="478"/>
      <c r="C239" s="61" t="s">
        <v>158</v>
      </c>
      <c r="D239" s="61"/>
      <c r="E239" s="159">
        <v>30</v>
      </c>
      <c r="F239" s="192">
        <f>IF(E239="","",IF(OR(E239&gt;=50,E239&lt;=0),0,IF(AND(E239&gt;=25,E239&lt;=36),1,ROUND(IF(E239&lt;25,'Performance Standards'!$S$394*E239^3+'Performance Standards'!$S$395*E239^2+'Performance Standards'!$S$396*E239+'Performance Standards'!$S$397,'Performance Standards'!$T$394*E239^3+'Performance Standards'!$T$395*E239^2+'Performance Standards'!$T$396*E239+'Performance Standards'!$T$397),2))))</f>
        <v>1</v>
      </c>
      <c r="G239" s="467"/>
      <c r="H239" s="531"/>
      <c r="I239" s="460"/>
      <c r="J239" s="460"/>
      <c r="K239" s="460"/>
    </row>
    <row r="240" spans="1:13" ht="15.5" x14ac:dyDescent="0.35">
      <c r="A240" s="478"/>
      <c r="B240" s="478"/>
      <c r="C240" s="61" t="s">
        <v>159</v>
      </c>
      <c r="D240" s="61"/>
      <c r="E240" s="147">
        <v>30</v>
      </c>
      <c r="F240" s="192">
        <f>IF(E240="","",IF(OR(E240&gt;=50,E240&lt;=0),0,IF(AND(E240&gt;=25,E240&lt;=36),1,ROUND(IF(E240&lt;25,'Performance Standards'!$S$394*E240^3+'Performance Standards'!$S$395*E240^2+'Performance Standards'!$S$396*E240+'Performance Standards'!$S$397,'Performance Standards'!$T$394*E240^3+'Performance Standards'!$T$395*E240^2+'Performance Standards'!$T$396*E240+'Performance Standards'!$T$397),2))))</f>
        <v>1</v>
      </c>
      <c r="G240" s="467"/>
      <c r="H240" s="531"/>
      <c r="I240" s="460"/>
      <c r="J240" s="460"/>
      <c r="K240" s="460"/>
      <c r="M240" s="7"/>
    </row>
    <row r="241" spans="1:12" ht="15.5" x14ac:dyDescent="0.35">
      <c r="A241" s="478"/>
      <c r="B241" s="479"/>
      <c r="C241" s="61" t="s">
        <v>298</v>
      </c>
      <c r="D241" s="68"/>
      <c r="E241" s="148">
        <v>7</v>
      </c>
      <c r="F241" s="256">
        <f>IF(E241="","",ROUND(IF(E241&lt;=2,0,IF(E241&gt;=9,1,E241^3*'Performance Standards'!S$430+E241^2*'Performance Standards'!$S$431+E241*'Performance Standards'!$S$432+'Performance Standards'!$S$433)),2))</f>
        <v>0.7</v>
      </c>
      <c r="G241" s="468"/>
      <c r="H241" s="531"/>
      <c r="I241" s="460"/>
      <c r="J241" s="460"/>
      <c r="K241" s="460"/>
    </row>
    <row r="242" spans="1:12" ht="15.5" x14ac:dyDescent="0.35">
      <c r="A242" s="478"/>
      <c r="B242" s="59" t="s">
        <v>121</v>
      </c>
      <c r="C242" s="74" t="s">
        <v>160</v>
      </c>
      <c r="D242" s="61"/>
      <c r="E242" s="43"/>
      <c r="F242" s="191" t="str">
        <f>IF(E242="","",IF('Quantification Tool'!$B$13="Sand","NA",IF(E242&gt;0.1,1,IF(E242&lt;=0.01,0,ROUND(E242*'Performance Standards'!$S$464+'Performance Standards'!$S$465,2)))))</f>
        <v/>
      </c>
      <c r="G242" s="83" t="str">
        <f>IFERROR(AVERAGE(F242),"")</f>
        <v/>
      </c>
      <c r="H242" s="531"/>
      <c r="I242" s="460"/>
      <c r="J242" s="460"/>
      <c r="K242" s="460"/>
    </row>
    <row r="243" spans="1:12" ht="15.5" x14ac:dyDescent="0.35">
      <c r="A243" s="478"/>
      <c r="B243" s="477" t="s">
        <v>49</v>
      </c>
      <c r="C243" s="67" t="s">
        <v>50</v>
      </c>
      <c r="D243" s="67"/>
      <c r="E243" s="160">
        <v>7</v>
      </c>
      <c r="F243" s="161">
        <f>IF(E243="","",IF('Quantification Tool'!$B$9="Bc",IF(OR(E243&gt;9.2,E243&lt;=0.1),0,IF(E243&lt;=4,1,ROUND('Performance Standards'!$S$598*E243^2+'Performance Standards'!$S$599*E243+'Performance Standards'!$S$600,2))),IF(OR('Quantification Tool'!$B$9="B",'Quantification Tool'!$B$9="Ba"),IF(OR(E243&gt;7.5,E243&lt;=0.1),0,IF(E243&lt;=3,1,ROUND(IF(E243&gt;4,'Performance Standards'!$S$567*E243+'Performance Standards'!$S$568,'Performance Standards'!$T$567*E243+'Performance Standards'!$T$568),2))),IF('Quantification Tool'!$B$9="Cb",IF(OR(E243&gt;=7.6,E243&lt;=2.4),0,IF(AND(E243&gt;=3.7,E243&lt;=5),1,ROUND(IF(E243&lt;4,'Performance Standards'!$S$534*E243^2+'Performance Standards'!$S$535*E243+'Performance Standards'!$S$536,'Performance Standards'!$T$534*E243^2+'Performance Standards'!$T$535*E243+'Performance Standards'!$T$536),2))),IF('Quantification Tool'!$B$9="C",IF(OR(E243&gt;9.3,E243&lt;=3),0,IF(AND(E243&gt;=4,E243&lt;=6),1,ROUND(IF(E243&lt;4,'Performance Standards'!$S$500*E243+'Performance Standards'!$S$501,'Performance Standards'!$T$500*E243+'Performance Standards'!$T$501),2))))))))</f>
        <v>0.7</v>
      </c>
      <c r="G243" s="466">
        <f>IFERROR(AVERAGE(F243:F246),"")</f>
        <v>0.9</v>
      </c>
      <c r="H243" s="531"/>
      <c r="I243" s="460"/>
      <c r="J243" s="460"/>
      <c r="K243" s="460"/>
    </row>
    <row r="244" spans="1:12" ht="15.5" x14ac:dyDescent="0.35">
      <c r="A244" s="478"/>
      <c r="B244" s="478"/>
      <c r="C244" s="61" t="s">
        <v>51</v>
      </c>
      <c r="D244" s="61"/>
      <c r="E244" s="159">
        <v>3</v>
      </c>
      <c r="F244" s="85">
        <f>IF(E244="","",IF(E244&lt;=1.1,0,IF(E244&gt;=2.5,1,ROUND(IF(E244&lt;1.2,'Performance Standards'!$S$632*E244+'Performance Standards'!$S$633,'Performance Standards'!$T$631*E244^2+'Performance Standards'!$T$632*E244+'Performance Standards'!$T$633),2))))</f>
        <v>1</v>
      </c>
      <c r="G244" s="467"/>
      <c r="H244" s="531"/>
      <c r="I244" s="460"/>
      <c r="J244" s="460"/>
      <c r="K244" s="460"/>
    </row>
    <row r="245" spans="1:12" ht="15.5" x14ac:dyDescent="0.35">
      <c r="A245" s="478"/>
      <c r="B245" s="478"/>
      <c r="C245" s="61" t="s">
        <v>52</v>
      </c>
      <c r="D245" s="61"/>
      <c r="E245" s="159">
        <v>50</v>
      </c>
      <c r="F245" s="245">
        <f>IF(E245="","",IF('Quantification Tool'!$B$11="Volcanic Mountains &amp; Valleys", IF(OR(E245&gt;95,E245&lt;58),0,IF(AND(E245&gt;=73,E245&lt;=80),1, ROUND(IF(E245&lt;73,'Performance Standards'!$S$665*E245^2+'Performance Standards'!$S$666*E245+'Performance Standards'!$S$667, 'Performance Standards'!$T$665*E245^2+'Performance Standards'!$T$666*E245+'Performance Standards'!$T$667),2))), IF('Quantification Tool'!$B$16="","Need Slope",IF('Quantification Tool'!$B$16&lt;3,IF( OR(E245&gt;73,E245&lt;37),0, IF(AND(E245&gt;=50,E245&lt;= 60), 1, ROUND(IF(E245&lt;50,'Performance Standards'!$S$699*E245^2+'Performance Standards'!$S$700*E245+'Performance Standards'!$S$701, IF(E245&gt;60,'Performance Standards'!$T$699*E245^2+'Performance Standards'!$T$700*E245+'Performance Standards'!$T$701)),2))), IF('Quantification Tool'!$B$16&gt;=3,IF(OR(E245&gt;88,E245&lt;57),0, IF(AND(E245 &gt;=70, E245&lt;=76),1, ROUND(IF(E245&lt;70,'Performance Standards'!$S$734*E245^2+'Performance Standards'!$S$735*E245+'Performance Standards'!$S$736,'Performance Standards'!$T$734*E245^2+'Performance Standards'!$T$735*E245+'Performance Standards'!$T$736),2) )))))))</f>
        <v>1</v>
      </c>
      <c r="G245" s="467"/>
      <c r="H245" s="531"/>
      <c r="I245" s="460"/>
      <c r="J245" s="460"/>
      <c r="K245" s="460"/>
    </row>
    <row r="246" spans="1:12" ht="15.5" x14ac:dyDescent="0.35">
      <c r="A246" s="478"/>
      <c r="B246" s="479"/>
      <c r="C246" s="66" t="s">
        <v>248</v>
      </c>
      <c r="D246" s="68"/>
      <c r="E246" s="154"/>
      <c r="F246" s="248" t="str">
        <f>IF(E246="","",IF(E246&gt;=1.6,0,IF(E246&lt;=1,1,ROUND('Performance Standards'!$S$766*E246^3+'Performance Standards'!$S$767*E246^2+'Performance Standards'!$S$768*E246+'Performance Standards'!$S$769,2))))</f>
        <v/>
      </c>
      <c r="G246" s="468"/>
      <c r="H246" s="531"/>
      <c r="I246" s="460"/>
      <c r="J246" s="460"/>
      <c r="K246" s="460"/>
      <c r="L246" s="2"/>
    </row>
    <row r="247" spans="1:12" ht="15.5" x14ac:dyDescent="0.35">
      <c r="A247" s="479"/>
      <c r="B247" s="424" t="s">
        <v>54</v>
      </c>
      <c r="C247" s="68" t="s">
        <v>53</v>
      </c>
      <c r="D247" s="68"/>
      <c r="E247" s="148">
        <v>1.2</v>
      </c>
      <c r="F247" s="70">
        <f>IF(E247="","",IF('Quantification Tool'!$B$9="E",IF(OR(E247&gt;2,E247&lt;1.2),0, IF(AND(E247&gt;=1.6, E247&lt;=1.7),1, ROUND(IF(E247&lt;1.3,E247*'Performance Standards'!S$803+'Performance Standards'!S$804,IF(E247&lt;=1.6,E247*'Performance Standards'!T$803+'Performance Standards'!T$804, E247^2*'Performance Standards'!U$802+E247*'Performance Standards'!U$803+'Performance Standards'!$U$804)),2))),IF(LEFT('Quantification Tool'!$B$9,1)="C",IF(OR(E247&lt;1.15, E247&gt;1.5),0, IF(AND(E247&lt;=1.35,E247&gt;=1.25),1,ROUND(IF(E247&lt;1.25,E247^2*'Performance Standards'!$S$836+E247*'Performance Standards'!$S$837+'Performance Standards'!$S$838, E247^2*'Performance Standards'!$T$836+E247*'Performance Standards'!$T$837+'Performance Standards'!$T$838),2))),IF(LEFT('Quantification Tool'!$B$9,1)="B",IF(OR(E247&gt;1.4,E247&lt;1),0, IF(AND(E247&gt;=1.15,E247&lt;=1.25),1, ROUND(IF(E247&lt;=1.15,E247^2*'Performance Standards'!$S$867+E247*'Performance Standards'!$S$868+'Performance Standards'!$S$869,E247^2*'Performance Standards'!$T$867+E247*'Performance Standards'!$T$868+'Performance Standards'!$T$869),2)))))))</f>
        <v>0.7</v>
      </c>
      <c r="G247" s="85">
        <f>IFERROR(AVERAGE(F247),"")</f>
        <v>0.7</v>
      </c>
      <c r="H247" s="531"/>
      <c r="I247" s="460"/>
      <c r="J247" s="460"/>
      <c r="K247" s="460"/>
      <c r="L247" s="2"/>
    </row>
    <row r="248" spans="1:12" ht="15.5" x14ac:dyDescent="0.35">
      <c r="A248" s="453" t="s">
        <v>58</v>
      </c>
      <c r="B248" s="453" t="s">
        <v>93</v>
      </c>
      <c r="C248" s="182" t="s">
        <v>272</v>
      </c>
      <c r="D248" s="71"/>
      <c r="E248" s="147"/>
      <c r="F248" s="178" t="str">
        <f>IF(E248="","",IF('Quantification Tool'!$B$18="","Enter Stream Temperature",IF('Quantification Tool'!$B$18="Tier I (Cold) ",IF(E248&gt;=24.6,0,IF(E248&lt;=15.5,1,ROUND(E248*'Performance Standards'!$AB$19+'Performance Standards'!$AB$20,2))),IF('Quantification Tool'!$B$18="Tier II (Cold-Cool)",IF(E248&gt;=27.8,0,IF(E248&lt;=15.6,1,ROUND(E248*'Performance Standards'!$AC$19+'Performance Standards'!$AC$20,2))),IF('Quantification Tool'!$B$18="Tier III (Cool) ",IF(E248&gt;=32.4,0,IF(E248&lt;=17.8,1,ROUND(E248*'Performance Standards'!$AD$19+'Performance Standards'!$AD$20,2))),IF('Quantification Tool'!$B$18="Tier IV (Cool-Warm)",IF(E248&gt;=34.6,0,IF(E248&lt;=20,1,ROUND(E248*'Performance Standards'!$AE$19+'Performance Standards'!$AE$20,2))),IF('Quantification Tool'!$B$18="Tier V (Warm)",IF(E248&gt;35.4,0,IF(E248&lt;=24.6,1,ROUND(E248*'Performance Standards'!$AF$19+'Performance Standards'!$AF$20,2))))))))))</f>
        <v/>
      </c>
      <c r="G248" s="455">
        <f>IFERROR(IF(E248="",F249,IF(E249="",F248,MIN(F248:F249))),"")</f>
        <v>0.87</v>
      </c>
      <c r="H248" s="455">
        <f>IFERROR(ROUND(AVERAGE(G248:G250),2),"")</f>
        <v>0.83</v>
      </c>
      <c r="I248" s="459" t="str">
        <f>IF(H248="","",IF(H248&gt;0.69,"Functioning",IF(H248&gt;0.29,"Functioning At Risk",IF(H248&gt;-1,"Not Functioning"))))</f>
        <v>Functioning</v>
      </c>
      <c r="J248" s="460"/>
      <c r="K248" s="460"/>
      <c r="L248" s="7"/>
    </row>
    <row r="249" spans="1:12" ht="15.5" x14ac:dyDescent="0.35">
      <c r="A249" s="469"/>
      <c r="B249" s="454"/>
      <c r="C249" s="183" t="s">
        <v>273</v>
      </c>
      <c r="D249" s="71"/>
      <c r="E249" s="147">
        <v>16</v>
      </c>
      <c r="F249" s="179">
        <f>IF(E249="","",IF('Quantification Tool'!$B$18="","Enter Stream Temperature",IF('Quantification Tool'!$B$18="Tier I (Cold) ",IF(E249&gt;=19.3,0,IF(E249&lt;=15.5,1,ROUND(E249*'Performance Standards'!$AB$55+'Performance Standards'!$AB$56,2))),IF('Quantification Tool'!$B$18="Tier II (Cold-Cool)",IF(E249&gt;=21,0,IF(E249&lt;=15.6,1,ROUND(E249*'Performance Standards'!$AC$55+'Performance Standards'!$AC$56,2))),IF('Quantification Tool'!$B$18="Tier III (Cool) ",IF(E249&gt;=24,0,IF(E249&lt;=17.8,1,ROUND(E249*'Performance Standards'!$AD$55+'Performance Standards'!$AD$56,2))),IF('Quantification Tool'!$B$18="Tier IV (Cool-Warm)",IF(E249&gt;=28.8,0,IF(E249&lt;=20,1,ROUND(E249*'Performance Standards'!$AE$55+'Performance Standards'!$AE$56,2))),IF('Quantification Tool'!$B$18="Tier V (Warm)",IF(E249&gt;=31,0,IF(E249&lt;=24.5,1,ROUND(E249*'Performance Standards'!$AF$55+'Performance Standards'!$AF$56,2))))))))))</f>
        <v>0.87</v>
      </c>
      <c r="G249" s="456"/>
      <c r="H249" s="535"/>
      <c r="I249" s="459"/>
      <c r="J249" s="460"/>
      <c r="K249" s="460"/>
      <c r="L249" s="7"/>
    </row>
    <row r="250" spans="1:12" ht="15.5" x14ac:dyDescent="0.35">
      <c r="A250" s="454"/>
      <c r="B250" s="243" t="s">
        <v>297</v>
      </c>
      <c r="C250" s="75" t="s">
        <v>238</v>
      </c>
      <c r="D250" s="72"/>
      <c r="E250" s="43">
        <v>20</v>
      </c>
      <c r="F250" s="163">
        <f>IF(E250="","",IF(OR('Quantification Tool'!$B$10="Basin",'Quantification Tool'!$B$10="Plains"),IF(E250&gt;=150,0,IF(E250&lt;21,1,ROUND('Performance Standards'!$AB$87*LN(E250)+'Performance Standards'!$AB$88,2))),IF(E250&gt;=97,0,IF(E250&lt;=13,1,ROUND('Performance Standards'!$AB$120*LN(E250)+'Performance Standards'!$AB$121,2)))))</f>
        <v>0.79</v>
      </c>
      <c r="G250" s="87">
        <f>IFERROR(AVERAGE(F250),"")</f>
        <v>0.79</v>
      </c>
      <c r="H250" s="456"/>
      <c r="I250" s="459"/>
      <c r="J250" s="460"/>
      <c r="K250" s="460"/>
      <c r="L250" s="7"/>
    </row>
    <row r="251" spans="1:12" ht="15.5" x14ac:dyDescent="0.35">
      <c r="A251" s="482" t="s">
        <v>59</v>
      </c>
      <c r="B251" s="457" t="s">
        <v>73</v>
      </c>
      <c r="C251" s="112" t="s">
        <v>217</v>
      </c>
      <c r="D251" s="113"/>
      <c r="E251" s="115">
        <v>0.9</v>
      </c>
      <c r="F251" s="153">
        <f>IF(E251="","",IF('Quantification Tool'!$B$11="","Enter Bioregion",IF('Quantification Tool'!$B$11="Wyoming Basin",IF(E251&lt;0.26,0,IF(E251&gt;0.94,1,ROUND('Performance Standards'!$AK$18*E251+'Performance Standards'!$AK$19,2))), IF('Quantification Tool'!$B$11="Black Hills",IF(E251&lt;0.2,0,IF(E251&gt;0.98,1,ROUND('Performance Standards'!$AL$18*E251+'Performance Standards'!$AL$19,2))), IF('Quantification Tool'!$B$11="High Valleys",IF(E251&lt;0.23,0,IF(E251&gt;0.95,1,ROUND('Performance Standards'!$AM$18*E251+'Performance Standards'!$AM$19,2))), IF('Quantification Tool'!$B$11="Sedimentary Mountains",IF(E251&lt;=0.23,0,IF(E251&gt;=1,1,ROUND('Performance Standards'!$AN$18*E251+'Performance Standards'!$AN$19,2))), IF('Quantification Tool'!$B$11="Southern Rockies",IF(E251&lt;0.07,0,IF(E251&gt;0.96,1,ROUND('Performance Standards'!$AK$54*E251+'Performance Standards'!$AK$55,2))), IF('Quantification Tool'!$B$11="SE Plains",IF(E251&lt;0.2,0,IF(E251&gt;0.95,1,ROUND('Performance Standards'!$AL$54*E251+'Performance Standards'!$AL$55,2))), IF('Quantification Tool'!$B$11="NE Plains",IF(E251&lt;0.2,0,IF(E251&gt;0.94,1,ROUND('Performance Standards'!$AM$54*E251+'Performance Standards'!$AM$55,2))),IF('Quantification Tool'!$B$11="Granitic Mountains",IF(E251&lt;0.45,0,IF(E251&gt;=1,1,ROUND('Performance Standards'!$AK$92*E251+'Performance Standards'!$AK$93,2))),IF('Quantification Tool'!$B$11="Bighorn Basin Foothills",IF(E251&lt;=0.1,0,IF(E251&gt;=1,1,ROUND('Performance Standards'!$AL$92*E251+'Performance Standards'!$AL$93,2))),IF('Quantification Tool'!$B$11="Volcanic Mountains &amp; Valleys",IF(E251&lt;0.35,0,IF(E251&gt;=1,1,ROUND('Performance Standards'!$AN$92*E251+'Performance Standards'!$AN$93,2))), IF('Quantification Tool'!$B$11="Southern Foothills &amp; Laramie Range",IF(E251&lt;0.3,0,IF(E251&gt;=1,1,ROUND('Performance Standards'!$AM$92*E251+'Performance Standards'!$AM$93,2))) )))))))))))))</f>
        <v>0.93</v>
      </c>
      <c r="G251" s="473">
        <f>IFERROR(IF(AND(F251="",F252=""),"",IF(OR(F251="",F252=""),AVERAGE(F251:F252),IF(OR(F251&lt;0.3,F252&lt;0.3),IF(OR(F251&gt;=0.7,F252&gt;=0.7),MIN(0.69,AVERAGE(F251:F252)),MIN(0.29,AVERAGE(F251:F252))), IF(OR(F251&gt;=0.7,F252&gt;=0.7),IF(AVERAGE(F251:F252)&lt;0.7,0.7,AVERAGE(F251:F252)),AVERAGE(F251:F252))))),"")</f>
        <v>0.89500000000000002</v>
      </c>
      <c r="H251" s="485">
        <f>IFERROR(ROUND(AVERAGE(G251:G255),2),"")</f>
        <v>0.95</v>
      </c>
      <c r="I251" s="459" t="str">
        <f>IF(H251="","",IF(H251&gt;0.69,"Functioning",IF(H251&gt;0.29,"Functioning At Risk",IF(H251&gt;-1,"Not Functioning"))))</f>
        <v>Functioning</v>
      </c>
      <c r="J251" s="460"/>
      <c r="K251" s="460"/>
      <c r="L251" s="7"/>
    </row>
    <row r="252" spans="1:12" ht="15.5" x14ac:dyDescent="0.35">
      <c r="A252" s="483"/>
      <c r="B252" s="458"/>
      <c r="C252" s="249" t="s">
        <v>218</v>
      </c>
      <c r="D252" s="250"/>
      <c r="E252" s="154">
        <v>0.9</v>
      </c>
      <c r="F252" s="88">
        <f>IF(E252="","",IF('Quantification Tool'!$B$11="","Enter Bioregion",IF('Quantification Tool'!$B$11="Wyoming Basin",IF(E252&lt;0.34,0,IF(E252&gt;0.96,1,ROUND('Performance Standards'!$AK$128*E252+'Performance Standards'!$AK$129,2))), IF('Quantification Tool'!$B$11="Black Hills",IF(E252&lt;0.36,0,IF(E252&gt;=1,1,ROUND('Performance Standards'!$AL$128*E252+'Performance Standards'!$AL$129,2))), IF('Quantification Tool'!$B$11="High Valleys",IF(E252&lt;0.38,0,IF(E252&gt;0.98,1,ROUND('Performance Standards'!$AM$128*E252+'Performance Standards'!$AM$129,2))), IF('Quantification Tool'!$B$11="Sedimentary Mountains",IF(E252&lt;0.36,0,IF(E252&gt;0.97,1,ROUND('Performance Standards'!$AN$128*E252+'Performance Standards'!$AN$129,2))), IF('Quantification Tool'!$B$11="Southern Rockies",IF(E252&lt;0.25,0,IF(E252&gt;=1,1,ROUND('Performance Standards'!$AK$165*E252+'Performance Standards'!$AK$166,2))), IF('Quantification Tool'!$B$11="SE Plains",IF(E252&lt;0.33,0,IF(E252&gt;0.95,1,ROUND('Performance Standards'!$AL$165*E252+'Performance Standards'!$AL$166,2))), IF('Quantification Tool'!$B$11="NE Plains",IF(E252&lt;0.35,0,IF(E252&gt;0.98,1,ROUND('Performance Standards'!$AM$165*E252+'Performance Standards'!$AM$166,2))),IF('Quantification Tool'!$B$11="Granitic Mountains",IF(E252&lt;0.5,0,IF(E252&gt;0.98,1,ROUND('Performance Standards'!$AK$202*E252+'Performance Standards'!$AK$203,2))),IF('Quantification Tool'!$B$11="Bighorn Basin Foothills",IF(E252&lt;0.48,0,IF(E252&gt;=1,1,ROUND('Performance Standards'!$AL$202*E252+'Performance Standards'!$AL$203,2))),IF('Quantification Tool'!$B$11="Volcanic Mountains &amp; Valleys",IF(E252&lt;=0.2,0,IF(E252&gt;=1,1,ROUND('Performance Standards'!$AN$202*E252+'Performance Standards'!$AN$203,2))), IF('Quantification Tool'!$B$11="Southern Foothills &amp; Laramie Range",IF(E252&lt;0.28,0,IF(E252&gt;=1,1,ROUND('Performance Standards'!$AM$202*E252+'Performance Standards'!$AM$203,2))) )))))))))))))</f>
        <v>0.86</v>
      </c>
      <c r="G252" s="475"/>
      <c r="H252" s="485"/>
      <c r="I252" s="459"/>
      <c r="J252" s="460"/>
      <c r="K252" s="460"/>
      <c r="L252" s="7"/>
    </row>
    <row r="253" spans="1:12" ht="15.5" x14ac:dyDescent="0.35">
      <c r="A253" s="483"/>
      <c r="B253" s="457" t="s">
        <v>85</v>
      </c>
      <c r="C253" s="180" t="s">
        <v>264</v>
      </c>
      <c r="D253" s="113"/>
      <c r="E253" s="160">
        <v>100</v>
      </c>
      <c r="F253" s="172">
        <f>IF(E253="","",IF(E253&lt;58,0,IF(E253&gt;=100,1,ROUND(E253*'Performance Standards'!$AK$240+'Performance Standards'!$AK$241,2))))</f>
        <v>1</v>
      </c>
      <c r="G253" s="473">
        <f>IFERROR(AVERAGE(F253:F255),"")</f>
        <v>1</v>
      </c>
      <c r="H253" s="485"/>
      <c r="I253" s="459"/>
      <c r="J253" s="460"/>
      <c r="K253" s="460"/>
      <c r="L253" s="7"/>
    </row>
    <row r="254" spans="1:12" ht="15.5" x14ac:dyDescent="0.35">
      <c r="A254" s="483"/>
      <c r="B254" s="476"/>
      <c r="C254" s="181" t="s">
        <v>265</v>
      </c>
      <c r="D254" s="250"/>
      <c r="E254" s="159">
        <v>0</v>
      </c>
      <c r="F254" s="172">
        <f>IF(E254="","",ROUND(IF(E254&gt;=3,0,IF(E254&lt;=1,1,0.69)),2))</f>
        <v>1</v>
      </c>
      <c r="G254" s="474"/>
      <c r="H254" s="485"/>
      <c r="I254" s="459"/>
      <c r="J254" s="460"/>
      <c r="K254" s="460"/>
      <c r="L254" s="7"/>
    </row>
    <row r="255" spans="1:12" ht="15.5" x14ac:dyDescent="0.35">
      <c r="A255" s="484"/>
      <c r="B255" s="458"/>
      <c r="C255" s="114" t="s">
        <v>266</v>
      </c>
      <c r="D255" s="73"/>
      <c r="E255" s="154"/>
      <c r="F255" s="88" t="str">
        <f>IF(E255="","",IF('Quantification Tool'!$B$21="","Enter Stream Producitvity Rating",IF('Quantification Tool'!$B$21="Blue Ribbon and non-trout",IF(E255&lt;5,0,IF(E255&gt;=40,1,ROUND(E255*'Performance Standards'!$AK$316+'Performance Standards'!$AK$317,2))),IF('Quantification Tool'!$B$21="Red Ribbon",IF(E255&lt;10,0,IF(E255&gt;=80,1,ROUND(E255*'Performance Standards'!$AL$316+'Performance Standards'!$AL$317,2))),IF('Quantification Tool'!$B$21="Yellow Ribbon",IF(E255&lt;15,0,IF(E255&gt;=119,1,ROUND(E255*'Performance Standards'!$AM$316+'Performance Standards'!$AM$317,2))),IF('Quantification Tool'!$B$21="Green Ribbon",IF(E255&lt;20,0,IF(E255&gt;=160,1,ROUND(E255*'Performance Standards'!$AN$316+'Performance Standards'!$AN$317,2)))))))))</f>
        <v/>
      </c>
      <c r="G255" s="475"/>
      <c r="H255" s="485"/>
      <c r="I255" s="459"/>
      <c r="J255" s="460"/>
      <c r="K255" s="460"/>
      <c r="L255" s="7"/>
    </row>
    <row r="256" spans="1:12" x14ac:dyDescent="0.35">
      <c r="L256" s="7"/>
    </row>
    <row r="257" spans="1:12" x14ac:dyDescent="0.35">
      <c r="L257" s="7"/>
    </row>
    <row r="258" spans="1:12" ht="21" x14ac:dyDescent="0.5">
      <c r="A258" s="134" t="s">
        <v>165</v>
      </c>
      <c r="B258" s="577"/>
      <c r="C258" s="577"/>
      <c r="D258" s="577"/>
      <c r="E258" s="577"/>
      <c r="F258" s="578"/>
      <c r="G258" s="463" t="s">
        <v>16</v>
      </c>
      <c r="H258" s="464"/>
      <c r="I258" s="464"/>
      <c r="J258" s="464"/>
      <c r="K258" s="465"/>
      <c r="L258" s="7"/>
    </row>
    <row r="259" spans="1:12" ht="15.5" x14ac:dyDescent="0.35">
      <c r="A259" s="145" t="s">
        <v>1</v>
      </c>
      <c r="B259" s="145" t="s">
        <v>2</v>
      </c>
      <c r="C259" s="461" t="s">
        <v>3</v>
      </c>
      <c r="D259" s="576"/>
      <c r="E259" s="145" t="s">
        <v>14</v>
      </c>
      <c r="F259" s="145" t="s">
        <v>15</v>
      </c>
      <c r="G259" s="145" t="s">
        <v>17</v>
      </c>
      <c r="H259" s="145" t="s">
        <v>18</v>
      </c>
      <c r="I259" s="145" t="s">
        <v>18</v>
      </c>
      <c r="J259" s="145" t="s">
        <v>19</v>
      </c>
      <c r="K259" s="50" t="s">
        <v>19</v>
      </c>
    </row>
    <row r="260" spans="1:12" ht="15.5" x14ac:dyDescent="0.35">
      <c r="A260" s="493" t="s">
        <v>63</v>
      </c>
      <c r="B260" s="244" t="s">
        <v>100</v>
      </c>
      <c r="C260" s="52" t="s">
        <v>101</v>
      </c>
      <c r="D260" s="52"/>
      <c r="E260" s="147"/>
      <c r="F260" s="251" t="str">
        <f>IF(E260="","",IF(E260="G1",0.8,IF(E260="G2",0.9,IF(E260="G3",1,IF(E260="F1",0.4,IF(E260="F2",0.5,IF(E260="F3",0.6,IF(E260="P1",0.1,IF(E260="P2",0.2,IF(E260="P3",0.3,))))))))))</f>
        <v/>
      </c>
      <c r="G260" s="84" t="str">
        <f>IFERROR(AVERAGE(F260),"")</f>
        <v/>
      </c>
      <c r="H260" s="499" t="str">
        <f>IFERROR(ROUND(AVERAGE(G260:G264),2),"")</f>
        <v/>
      </c>
      <c r="I260" s="459" t="str">
        <f>IF(H260="","",IF(H260&gt;0.69,"Functioning",IF(H260&gt;0.29,"Functioning At Risk",IF(H260&gt;-1,"Not Functioning"))))</f>
        <v/>
      </c>
      <c r="J260" s="460" t="str">
        <f>IF(AND(H260="",H265="",H267="",H291="",H294=""),"",(IF(H260="",0,H260)*0.2)+(IF(H265="",0,H265)*0.2)+(IF(H267="",0,H267)*0.3)+(IF(H291="",0,H291)*0.15)+(IF(H294="",0,H294)*0.15))</f>
        <v/>
      </c>
      <c r="K260" s="460" t="str">
        <f>IF(J260="","",IF(J260&lt;0.3, "Not Functioning",IF(OR(H260&lt;0.7,H265&lt;0.7,H267&lt;0.7,H291&lt;0.7,H294&lt;0.7),"Functioning At Risk",IF(J260&lt;0.7,"Functioning At Risk","Functioning"))))</f>
        <v/>
      </c>
    </row>
    <row r="261" spans="1:12" ht="15.5" x14ac:dyDescent="0.35">
      <c r="A261" s="494"/>
      <c r="B261" s="493" t="s">
        <v>146</v>
      </c>
      <c r="C261" s="118" t="s">
        <v>147</v>
      </c>
      <c r="D261" s="117"/>
      <c r="E261" s="115"/>
      <c r="F261" s="251" t="str">
        <f>IF(E261="","",IF('Quantification Tool'!$B$20="Forested",IF(E261&gt;71,0,IF(E261&lt;=41,1,ROUND(E261^2*'Performance Standards'!$C$16+E261*'Performance Standards'!$C$17+'Performance Standards'!$C$18,2))),IF('Quantification Tool'!$B$20="Scrub-Shrub",IF(E261&gt;59.6,0,IF(E261&lt;=35,1,ROUND(E261^2*'Performance Standards'!$D$16+E261*'Performance Standards'!$D$17+'Performance Standards'!$D$18,2))),IF('Quantification Tool'!$B$20="Herbaceous",IF(E261&gt;85,0,IF(E261&lt;=62,1,ROUND(E261^2*'Performance Standards'!$E$16+E261*'Performance Standards'!$E$17+'Performance Standards'!$E$18,2)))))))</f>
        <v/>
      </c>
      <c r="G261" s="470" t="str">
        <f>IFERROR(AVERAGE(F261:F263),"")</f>
        <v/>
      </c>
      <c r="H261" s="500"/>
      <c r="I261" s="459"/>
      <c r="J261" s="460"/>
      <c r="K261" s="460"/>
    </row>
    <row r="262" spans="1:12" ht="15.5" x14ac:dyDescent="0.35">
      <c r="A262" s="494"/>
      <c r="B262" s="494"/>
      <c r="C262" s="119" t="s">
        <v>148</v>
      </c>
      <c r="D262" s="52"/>
      <c r="E262" s="147"/>
      <c r="F262" s="252" t="str">
        <f>IF(E262="","",IF(E262&gt;3,0,IF(E262=0,1,ROUND('Performance Standards'!C$49*E262+'Performance Standards'!C$50,2))))</f>
        <v/>
      </c>
      <c r="G262" s="471"/>
      <c r="H262" s="500"/>
      <c r="I262" s="459"/>
      <c r="J262" s="460"/>
      <c r="K262" s="460"/>
    </row>
    <row r="263" spans="1:12" ht="15.5" x14ac:dyDescent="0.35">
      <c r="A263" s="494"/>
      <c r="B263" s="512"/>
      <c r="C263" s="120" t="s">
        <v>149</v>
      </c>
      <c r="D263" s="54"/>
      <c r="E263" s="148"/>
      <c r="F263" s="253" t="str">
        <f>IF(E263="","",IF('Quantification Tool'!$B$19="Sandy",IF(E263&gt;1.94,0,IF(E263&lt;1.45,1,ROUND(E263*'Performance Standards'!$C$85+'Performance Standards'!$C$86,2))),IF('Quantification Tool'!$B$19="Silty",IF(E263&gt;1.83,0,IF(E263&lt;1.21,1,ROUND(E263*'Performance Standards'!$D$85+'Performance Standards'!$D$86,2))),IF('Quantification Tool'!$B$19="Clayey",IF(E263&gt;1.74,0,IF(E263&lt;0.82,1,ROUND(E263*'Performance Standards'!$E$85+'Performance Standards'!$E$86,2)))))))</f>
        <v/>
      </c>
      <c r="G263" s="472"/>
      <c r="H263" s="500"/>
      <c r="I263" s="459"/>
      <c r="J263" s="460"/>
      <c r="K263" s="460"/>
    </row>
    <row r="264" spans="1:12" ht="15.5" x14ac:dyDescent="0.35">
      <c r="A264" s="512"/>
      <c r="B264" s="156" t="s">
        <v>170</v>
      </c>
      <c r="C264" s="513" t="s">
        <v>285</v>
      </c>
      <c r="D264" s="579"/>
      <c r="E264" s="174"/>
      <c r="F264" s="253" t="str">
        <f>IF(E264="","",IF(OR(E264&gt;=2,E264&lt;=0.6),0,IF(AND(E264&gt;=1,E264&lt;=1.1),1,ROUND(IF(E264&lt;1,'Performance Standards'!$C$121*E264^2+'Performance Standards'!$C$122*E264+'Performance Standards'!$C$123,'Performance Standards'!$D$121*E264^2+'Performance Standards'!$D$122*E264+'Performance Standards'!$D$123),2))))</f>
        <v/>
      </c>
      <c r="G264" s="247" t="str">
        <f>IFERROR(F264,"")</f>
        <v/>
      </c>
      <c r="H264" s="500"/>
      <c r="I264" s="459"/>
      <c r="J264" s="460"/>
      <c r="K264" s="460"/>
    </row>
    <row r="265" spans="1:12" ht="15.5" x14ac:dyDescent="0.35">
      <c r="A265" s="524" t="s">
        <v>6</v>
      </c>
      <c r="B265" s="524" t="s">
        <v>7</v>
      </c>
      <c r="C265" s="55" t="s">
        <v>8</v>
      </c>
      <c r="D265" s="55"/>
      <c r="E265" s="147"/>
      <c r="F265" s="254" t="str">
        <f>IF(E265="","",ROUND(IF(E265&gt;1.6,0,IF(E265&lt;=1,1,E265^2*'Performance Standards'!K$14+E265*'Performance Standards'!K$15+'Performance Standards'!K$16)),2))</f>
        <v/>
      </c>
      <c r="G265" s="526" t="str">
        <f>IFERROR(AVERAGE(F265:F266),"")</f>
        <v/>
      </c>
      <c r="H265" s="526" t="str">
        <f>IFERROR(ROUND(AVERAGE(G265:G266),2),"")</f>
        <v/>
      </c>
      <c r="I265" s="533" t="str">
        <f>IF(H265="","",IF(H265&gt;0.69,"Functioning",IF(H265&gt;0.29,"Functioning At Risk",IF(H265&gt;-1,"Not Functioning"))))</f>
        <v/>
      </c>
      <c r="J265" s="460"/>
      <c r="K265" s="460"/>
    </row>
    <row r="266" spans="1:12" ht="15.5" x14ac:dyDescent="0.35">
      <c r="A266" s="525"/>
      <c r="B266" s="525"/>
      <c r="C266" s="57" t="s">
        <v>9</v>
      </c>
      <c r="D266" s="57"/>
      <c r="E266" s="148"/>
      <c r="F266" s="255" t="str">
        <f>IF(E266="","",IF(OR('Quantification Tool'!$B$9="A",'Quantification Tool'!$B$9="Ba",'Quantification Tool'!$B$9="B", 'Quantification Tool'!$B$9="Bc"),IF(E266&lt;1.2,0,IF(E266&gt;=2.2,1,ROUND(IF(E266&lt;1.4,E266*'Performance Standards'!$K$84+'Performance Standards'!$K$85,E266*'Performance Standards'!$L$84+'Performance Standards'!$L$85),2))),IF(OR('Quantification Tool'!$B$9="C",'Quantification Tool'!$B$9="Cb",'Quantification Tool'!$B$9="E"),IF(E266&lt;2,0,IF(E266&gt;=5,1,ROUND(IF(E266&lt;2.4,E266*'Performance Standards'!$L$49+'Performance Standards'!$L$50,E266*'Performance Standards'!$K$49+'Performance Standards'!$K$50),2))))))</f>
        <v/>
      </c>
      <c r="G266" s="527"/>
      <c r="H266" s="532"/>
      <c r="I266" s="534"/>
      <c r="J266" s="460"/>
      <c r="K266" s="460"/>
    </row>
    <row r="267" spans="1:12" ht="15.5" x14ac:dyDescent="0.35">
      <c r="A267" s="477" t="s">
        <v>23</v>
      </c>
      <c r="B267" s="477" t="s">
        <v>24</v>
      </c>
      <c r="C267" s="64" t="s">
        <v>22</v>
      </c>
      <c r="D267" s="67"/>
      <c r="E267" s="115"/>
      <c r="F267" s="246" t="str">
        <f>IF(E267="","",IF(E267&gt;600,1,IF(E267&lt;300,ROUND('Performance Standards'!$S$15*(E267^2)+'Performance Standards'!$S$16*E267+'Performance Standards'!$S$17,2),ROUND('Performance Standards'!$T$16*E267+'Performance Standards'!$T$17,2))))</f>
        <v/>
      </c>
      <c r="G267" s="466" t="str">
        <f>IFERROR(AVERAGE(F267:F268),"")</f>
        <v/>
      </c>
      <c r="H267" s="531" t="str">
        <f>IFERROR(ROUND(AVERAGE(G267:G290),2),"")</f>
        <v/>
      </c>
      <c r="I267" s="460" t="str">
        <f>IF(H267="","",IF(H267&gt;0.69,"Functioning",IF(H267&gt;0.29,"Functioning At Risk",IF(H267&gt;-1,"Not Functioning"))))</f>
        <v/>
      </c>
      <c r="J267" s="460"/>
      <c r="K267" s="460"/>
    </row>
    <row r="268" spans="1:12" ht="15.5" x14ac:dyDescent="0.35">
      <c r="A268" s="478"/>
      <c r="B268" s="479"/>
      <c r="C268" s="66" t="s">
        <v>357</v>
      </c>
      <c r="D268" s="68"/>
      <c r="E268" s="148"/>
      <c r="F268" s="192" t="str">
        <f>IF(E268="","",IF(E268&lt;=0,0,IF(E268&gt;=30,1,ROUND(IF(E268&lt;=15,'Performance Standards'!$S$49*E268^2+'Performance Standards'!$S$50*E268,'Performance Standards'!$T$50*E268+'Performance Standards'!$T$51),2))))</f>
        <v/>
      </c>
      <c r="G268" s="468"/>
      <c r="H268" s="531"/>
      <c r="I268" s="460"/>
      <c r="J268" s="460"/>
      <c r="K268" s="460"/>
    </row>
    <row r="269" spans="1:12" ht="15.5" x14ac:dyDescent="0.35">
      <c r="A269" s="478"/>
      <c r="B269" s="478" t="s">
        <v>46</v>
      </c>
      <c r="C269" s="61" t="s">
        <v>91</v>
      </c>
      <c r="D269" s="61"/>
      <c r="E269" s="115"/>
      <c r="F269" s="238" t="str">
        <f>IF(E269="","",ROUND(IF(E269&gt;0.7,0,IF(E269&lt;=0.1,1,E269^3*'Performance Standards'!S$83+E269^2*'Performance Standards'!S$84+E269*'Performance Standards'!S$85+'Performance Standards'!S$86)),2))</f>
        <v/>
      </c>
      <c r="G269" s="467" t="str">
        <f>IFERROR(IF(E269="",AVERAGE(F270:F271),IF(E270="",F269,MAX(F269,AVERAGE(F270:F271)))),"")</f>
        <v/>
      </c>
      <c r="H269" s="531"/>
      <c r="I269" s="460"/>
      <c r="J269" s="460"/>
      <c r="K269" s="460"/>
    </row>
    <row r="270" spans="1:12" ht="15.5" x14ac:dyDescent="0.35">
      <c r="A270" s="478"/>
      <c r="B270" s="478"/>
      <c r="C270" s="61" t="s">
        <v>47</v>
      </c>
      <c r="D270" s="61"/>
      <c r="E270" s="147"/>
      <c r="F270" s="256" t="str">
        <f>IF(E270="","",IF(OR(E270="Ex/Ex",E270="Ex/VH"),0, IF(OR(E270="Ex/H",E270="VH/Ex",E270="VH/VH", E270="H/Ex",E270="H/VH",E270="M/Ex"),0.1,IF(OR(E270="Ex/M",E270="VH/H",E270="H/H", E270="M/VH"),0.2, IF(OR(E270="Ex/L",E270="VH/M",E270="H/M", E270="M/H",E270="L/Ex"),0.3, IF(OR(E270="Ex/VL",E270="VH/L",E270="H/L"),0.4, IF(OR(E270="VH/VL",E270="H/VL",E270="M/M", E270="L/VH"),0.5, IF(OR(E270="M/L",E270="L/H"),0.6, IF(OR(E270="M/VL",E270="L/M"),0.7, IF(OR(E270="L/L",E270="L/VL"),1))))))))))</f>
        <v/>
      </c>
      <c r="G270" s="467"/>
      <c r="H270" s="531"/>
      <c r="I270" s="460"/>
      <c r="J270" s="460"/>
      <c r="K270" s="460"/>
    </row>
    <row r="271" spans="1:12" ht="15.5" x14ac:dyDescent="0.35">
      <c r="A271" s="478"/>
      <c r="B271" s="478"/>
      <c r="C271" s="63" t="s">
        <v>102</v>
      </c>
      <c r="D271" s="63"/>
      <c r="E271" s="148"/>
      <c r="F271" s="213" t="str">
        <f>IF(E271="","",ROUND(IF(E271&gt;50,0,IF(E271&lt;5,1,IF(E271&gt;9,E271^2*'Performance Standards'!S$119+E271*'Performance Standards'!S$120+'Performance Standards'!S$121,'Performance Standards'!$T$120*E271+'Performance Standards'!$T$121))),2))</f>
        <v/>
      </c>
      <c r="G271" s="467"/>
      <c r="H271" s="531"/>
      <c r="I271" s="460"/>
      <c r="J271" s="460"/>
      <c r="K271" s="460"/>
    </row>
    <row r="272" spans="1:12" ht="15.5" x14ac:dyDescent="0.35">
      <c r="A272" s="478"/>
      <c r="B272" s="477" t="s">
        <v>48</v>
      </c>
      <c r="C272" s="67" t="s">
        <v>447</v>
      </c>
      <c r="D272" s="67"/>
      <c r="E272" s="147"/>
      <c r="F272" s="256" t="str">
        <f>IF(E272="","",IF('Quantification Tool'!$B$22="Unconfined Alluvial",IF(E272&gt;=100,1,IF(E272&lt;30,0,ROUND('Performance Standards'!$S$155*E272^2+'Performance Standards'!$S$156*E272+'Performance Standards'!$S$157,2))),IF('Quantification Tool'!$B$22="Confined Alluvial",(IF(E272&gt;=100,1,IF(E272&lt;60,0,ROUND('Performance Standards'!$T$155*E272^2+'Performance Standards'!$T$156*E272+'Performance Standards'!$T$157,2)))),IF('Quantification Tool'!$B$22="Colluvial/V-Shaped",(IF(E272&gt;=100,1,IF(E272&lt;80,0,ROUND('Performance Standards'!$U$155*E272^2+'Performance Standards'!$U$156*E272+'Performance Standards'!$U$157,2))))))))</f>
        <v/>
      </c>
      <c r="G272" s="466" t="str">
        <f>IFERROR(AVERAGE(F272:F284),"")</f>
        <v/>
      </c>
      <c r="H272" s="531"/>
      <c r="I272" s="460"/>
      <c r="J272" s="460"/>
      <c r="K272" s="460"/>
    </row>
    <row r="273" spans="1:13" ht="15.5" x14ac:dyDescent="0.35">
      <c r="A273" s="478"/>
      <c r="B273" s="478"/>
      <c r="C273" s="61" t="s">
        <v>448</v>
      </c>
      <c r="D273" s="61"/>
      <c r="E273" s="147"/>
      <c r="F273" s="256" t="str">
        <f>IF(E273="","",IF('Quantification Tool'!$B$22="Unconfined Alluvial",IF(E273&gt;=100,1,IF(E273&lt;30,0,ROUND('Performance Standards'!$S$155*E273^2+'Performance Standards'!$S$156*E273+'Performance Standards'!$S$157,2))),IF('Quantification Tool'!$B$22="Confined Alluvial",(IF(E273&gt;=100,1,IF(E273&lt;60,0,ROUND('Performance Standards'!$T$155*E273^2+'Performance Standards'!$T$156*E273+'Performance Standards'!$T$157,2)))),IF('Quantification Tool'!$B$22="Colluvial/V-Shaped",(IF(E273&gt;=100,1,IF(E273&lt;80,0,ROUND('Performance Standards'!$U$155*E273^2+'Performance Standards'!$U$156*E273+'Performance Standards'!$U$157,2))))))))</f>
        <v/>
      </c>
      <c r="G273" s="467"/>
      <c r="H273" s="531"/>
      <c r="I273" s="460"/>
      <c r="J273" s="460"/>
      <c r="K273" s="460"/>
    </row>
    <row r="274" spans="1:13" ht="15.5" x14ac:dyDescent="0.35">
      <c r="A274" s="478"/>
      <c r="B274" s="478"/>
      <c r="C274" s="61" t="s">
        <v>299</v>
      </c>
      <c r="D274" s="61"/>
      <c r="E274" s="147"/>
      <c r="F274" s="256" t="str">
        <f>IF(E274="","",IF('Quantification Tool'!$B$20="Herbaceous","",IF(E274="","",IF('Quantification Tool'!$B$10="Mountains",(IF(E274&gt;=90,1,ROUND('Performance Standards'!$S$191*E274^3+'Performance Standards'!$S$192*E274^2+'Performance Standards'!$S$193*E274+'Performance Standards'!$S$194,2))),IF('Quantification Tool'!$B$10="Basin",(IF(E274&gt;=90,1,ROUND('Performance Standards'!$T$191*E274^3+'Performance Standards'!$T$192*E274^2+'Performance Standards'!$T$193*E274+'Performance Standards'!$T$194,2))),(IF('Quantification Tool'!$B$10="Plains",(IF(E274&gt;=75,1,ROUND('Performance Standards'!$U$191*E274^3+'Performance Standards'!$U$192*E274^2+'Performance Standards'!$U$193*E274+'Performance Standards'!$U$194,2))))))))))</f>
        <v/>
      </c>
      <c r="G274" s="467"/>
      <c r="H274" s="531"/>
      <c r="I274" s="460"/>
      <c r="J274" s="460"/>
      <c r="K274" s="460"/>
    </row>
    <row r="275" spans="1:13" ht="15.5" x14ac:dyDescent="0.35">
      <c r="A275" s="478"/>
      <c r="B275" s="478"/>
      <c r="C275" s="61" t="s">
        <v>300</v>
      </c>
      <c r="D275" s="61"/>
      <c r="E275" s="147"/>
      <c r="F275" s="256" t="str">
        <f>IF(E275="","",IF('Quantification Tool'!$B$20="Herbaceous","",IF(E275="","",IF('Quantification Tool'!$B$10="Mountains",(IF(E275&gt;=90,1,ROUND('Performance Standards'!$S$191*E275^3+'Performance Standards'!$S$192*E275^2+'Performance Standards'!$S$193*E275+'Performance Standards'!$S$194,2))),IF('Quantification Tool'!$B$10="Basin",(IF(E275&gt;=90,1,ROUND('Performance Standards'!$T$191*E275^3+'Performance Standards'!$T$192*E275^2+'Performance Standards'!$T$193*E275+'Performance Standards'!$T$194,2))),(IF('Quantification Tool'!$B$10="Plains",(IF(E275&gt;=75,1,ROUND('Performance Standards'!$U$191*E275^3+'Performance Standards'!$U$192*E275^2+'Performance Standards'!$U$193*E275+'Performance Standards'!$U$194,2))))))))))</f>
        <v/>
      </c>
      <c r="G275" s="467"/>
      <c r="H275" s="531"/>
      <c r="I275" s="460"/>
      <c r="J275" s="460"/>
      <c r="K275" s="460"/>
    </row>
    <row r="276" spans="1:13" ht="15.5" x14ac:dyDescent="0.35">
      <c r="A276" s="478"/>
      <c r="B276" s="478"/>
      <c r="C276" s="61" t="s">
        <v>301</v>
      </c>
      <c r="D276" s="61"/>
      <c r="E276" s="147"/>
      <c r="F276" s="256" t="str">
        <f>IF(E276="","",IF('Quantification Tool'!$B$20="Herbaceous",IF(E276&lt;30,0,IF(E276&gt;=100,1,ROUND(E276^2*'Performance Standards'!$S$225+E276*'Performance Standards'!$S$226+'Performance Standards'!$S$227,2))),IF('Quantification Tool'!$B$22="Colluvial/V-Shaped",IF(E276&gt;=100,0,IF(AND(E276&gt;=0,E276&lt;=15),ROUND(E276*'Performance Standards'!$S$259+'Performance Standards'!$S$260,2),IF(AND(E276&gt;=15,E276&lt;=55),ROUND(E276*'Performance Standards'!$T$259+'Performance Standards'!$T$260,2),IF(AND(E276&gt;=56,E276&lt;=100),ROUND(E276^2*'Performance Standards'!$U$259+E276*'Performance Standards'!$U$260+'Performance Standards'!$U$261,2))))),IF(OR(E276&gt;=100,E276&lt;=0),0,IF(AND(E276&gt;0,E276&lt;=70),ROUND(E276^2*'Performance Standards'!$S$292+E276*'Performance Standards'!$S$293+'Performance Standards'!$S$294,2),IF(AND(E276&gt;70,E276&lt;100),ROUND(E276^2*'Performance Standards'!$T$292+E276*'Performance Standards'!$T$293+'Performance Standards'!$T$294,2)))))))</f>
        <v/>
      </c>
      <c r="G276" s="467"/>
      <c r="H276" s="531"/>
      <c r="I276" s="460"/>
      <c r="J276" s="460"/>
      <c r="K276" s="460"/>
    </row>
    <row r="277" spans="1:13" ht="15.5" x14ac:dyDescent="0.35">
      <c r="A277" s="478"/>
      <c r="B277" s="478"/>
      <c r="C277" s="61" t="s">
        <v>302</v>
      </c>
      <c r="D277" s="61"/>
      <c r="E277" s="147"/>
      <c r="F277" s="256" t="str">
        <f>IF(E277="","",IF('Quantification Tool'!$B$20="Herbaceous",IF(E277&lt;30,0,IF(E277&gt;=100,1,ROUND(E277^2*'Performance Standards'!$S$225+E277*'Performance Standards'!$S$226+'Performance Standards'!$S$227,2))),IF('Quantification Tool'!$B$22="Colluvial/V-Shaped",IF(E277&gt;=100,0,IF(AND(E277&gt;=0,E277&lt;=15),ROUND(E277*'Performance Standards'!$S$259+'Performance Standards'!$S$260,2),IF(AND(E277&gt;=15,E277&lt;=55),ROUND(E277*'Performance Standards'!$T$259+'Performance Standards'!$T$260,2),IF(AND(E277&gt;=56,E277&lt;=100),ROUND(E277^2*'Performance Standards'!$U$259+E277*'Performance Standards'!$U$260+'Performance Standards'!$U$261,2))))),IF(OR(E277&gt;=100,E277&lt;=0),0,IF(AND(E277&gt;0,E277&lt;=70),ROUND(E277^2*'Performance Standards'!$S$292+E277*'Performance Standards'!$S$293+'Performance Standards'!$S$294,2),IF(AND(E277&gt;70,E277&lt;100),ROUND(E277^2*'Performance Standards'!$T$292+E277*'Performance Standards'!$T$293+'Performance Standards'!$T$294,2)))))))</f>
        <v/>
      </c>
      <c r="G277" s="467"/>
      <c r="H277" s="531"/>
      <c r="I277" s="460"/>
      <c r="J277" s="460"/>
      <c r="K277" s="460"/>
    </row>
    <row r="278" spans="1:13" ht="15.5" x14ac:dyDescent="0.35">
      <c r="A278" s="478"/>
      <c r="B278" s="478"/>
      <c r="C278" s="61" t="s">
        <v>304</v>
      </c>
      <c r="D278" s="61"/>
      <c r="E278" s="147"/>
      <c r="F278" s="256" t="str">
        <f>IF(E278="","",ROUND(IF(E278&gt;=100,0,E278^2*'Performance Standards'!$S$324+E278*'Performance Standards'!$S$325+'Performance Standards'!$S$326),2))</f>
        <v/>
      </c>
      <c r="G278" s="467"/>
      <c r="H278" s="531"/>
      <c r="I278" s="460"/>
      <c r="J278" s="460"/>
      <c r="K278" s="460"/>
    </row>
    <row r="279" spans="1:13" ht="15.5" x14ac:dyDescent="0.35">
      <c r="A279" s="478"/>
      <c r="B279" s="478"/>
      <c r="C279" s="61" t="s">
        <v>305</v>
      </c>
      <c r="D279" s="61"/>
      <c r="E279" s="147"/>
      <c r="F279" s="256" t="str">
        <f>IF(E279="","",ROUND(IF(E279&gt;=100,0,E279^2*'Performance Standards'!$S$324+E279*'Performance Standards'!$S$325+'Performance Standards'!$S$326),2))</f>
        <v/>
      </c>
      <c r="G279" s="467"/>
      <c r="H279" s="531"/>
      <c r="I279" s="460"/>
      <c r="J279" s="460"/>
      <c r="K279" s="460"/>
    </row>
    <row r="280" spans="1:13" ht="15.5" x14ac:dyDescent="0.35">
      <c r="A280" s="478"/>
      <c r="B280" s="478"/>
      <c r="C280" s="61" t="s">
        <v>307</v>
      </c>
      <c r="D280" s="61"/>
      <c r="E280" s="147"/>
      <c r="F280" s="256" t="str">
        <f>IF(E280="","",ROUND(IF(E280&gt;=100,1,E280^3*'Performance Standards'!$S$357+E280^2*'Performance Standards'!$S$358+E280*'Performance Standards'!$S$359+$S$139),2))</f>
        <v/>
      </c>
      <c r="G280" s="467"/>
      <c r="H280" s="531"/>
      <c r="I280" s="460"/>
      <c r="J280" s="460"/>
      <c r="K280" s="460"/>
    </row>
    <row r="281" spans="1:13" ht="15.5" x14ac:dyDescent="0.35">
      <c r="A281" s="478"/>
      <c r="B281" s="478"/>
      <c r="C281" s="61" t="s">
        <v>308</v>
      </c>
      <c r="D281" s="61"/>
      <c r="E281" s="147"/>
      <c r="F281" s="256" t="str">
        <f>IF(E281="","",ROUND(IF(E281&gt;=100,1,E281^3*'Performance Standards'!$S$357+E281^2*'Performance Standards'!$S$358+E281*'Performance Standards'!$S$359+$S$139),2))</f>
        <v/>
      </c>
      <c r="G281" s="467"/>
      <c r="H281" s="531"/>
      <c r="I281" s="460"/>
      <c r="J281" s="460"/>
      <c r="K281" s="460"/>
    </row>
    <row r="282" spans="1:13" ht="15.5" x14ac:dyDescent="0.35">
      <c r="A282" s="478"/>
      <c r="B282" s="478"/>
      <c r="C282" s="61" t="s">
        <v>158</v>
      </c>
      <c r="D282" s="61"/>
      <c r="E282" s="159"/>
      <c r="F282" s="192" t="str">
        <f>IF(E282="","",IF(OR(E282&gt;=50,E282&lt;=0),0,IF(AND(E282&gt;=25,E282&lt;=36),1,ROUND(IF(E282&lt;25,'Performance Standards'!$S$394*E282^3+'Performance Standards'!$S$395*E282^2+'Performance Standards'!$S$396*E282+'Performance Standards'!$S$397,'Performance Standards'!$T$394*E282^3+'Performance Standards'!$T$395*E282^2+'Performance Standards'!$T$396*E282+'Performance Standards'!$T$397),2))))</f>
        <v/>
      </c>
      <c r="G282" s="467"/>
      <c r="H282" s="531"/>
      <c r="I282" s="460"/>
      <c r="J282" s="460"/>
      <c r="K282" s="460"/>
    </row>
    <row r="283" spans="1:13" ht="15.5" x14ac:dyDescent="0.35">
      <c r="A283" s="478"/>
      <c r="B283" s="478"/>
      <c r="C283" s="61" t="s">
        <v>159</v>
      </c>
      <c r="D283" s="61"/>
      <c r="E283" s="147"/>
      <c r="F283" s="192" t="str">
        <f>IF(E283="","",IF(OR(E283&gt;=50,E283&lt;=0),0,IF(AND(E283&gt;=25,E283&lt;=36),1,ROUND(IF(E283&lt;25,'Performance Standards'!$S$394*E283^3+'Performance Standards'!$S$395*E283^2+'Performance Standards'!$S$396*E283+'Performance Standards'!$S$397,'Performance Standards'!$T$394*E283^3+'Performance Standards'!$T$395*E283^2+'Performance Standards'!$T$396*E283+'Performance Standards'!$T$397),2))))</f>
        <v/>
      </c>
      <c r="G283" s="467"/>
      <c r="H283" s="531"/>
      <c r="I283" s="460"/>
      <c r="J283" s="460"/>
      <c r="K283" s="460"/>
      <c r="M283" s="7"/>
    </row>
    <row r="284" spans="1:13" ht="15.5" x14ac:dyDescent="0.35">
      <c r="A284" s="478"/>
      <c r="B284" s="479"/>
      <c r="C284" s="61" t="s">
        <v>298</v>
      </c>
      <c r="D284" s="68"/>
      <c r="E284" s="148"/>
      <c r="F284" s="256" t="str">
        <f>IF(E284="","",ROUND(IF(E284&lt;=2,0,IF(E284&gt;=9,1,E284^3*'Performance Standards'!S$430+E284^2*'Performance Standards'!$S$431+E284*'Performance Standards'!$S$432+'Performance Standards'!$S$433)),2))</f>
        <v/>
      </c>
      <c r="G284" s="468"/>
      <c r="H284" s="531"/>
      <c r="I284" s="460"/>
      <c r="J284" s="460"/>
      <c r="K284" s="460"/>
    </row>
    <row r="285" spans="1:13" ht="15.5" x14ac:dyDescent="0.35">
      <c r="A285" s="478"/>
      <c r="B285" s="59" t="s">
        <v>121</v>
      </c>
      <c r="C285" s="74" t="s">
        <v>160</v>
      </c>
      <c r="D285" s="61"/>
      <c r="E285" s="43"/>
      <c r="F285" s="191" t="str">
        <f>IF(E285="","",IF('Quantification Tool'!$B$13="Sand","NA",IF(E285&gt;0.1,1,IF(E285&lt;=0.01,0,ROUND(E285*'Performance Standards'!$S$464+'Performance Standards'!$S$465,2)))))</f>
        <v/>
      </c>
      <c r="G285" s="83" t="str">
        <f>IFERROR(AVERAGE(F285),"")</f>
        <v/>
      </c>
      <c r="H285" s="531"/>
      <c r="I285" s="460"/>
      <c r="J285" s="460"/>
      <c r="K285" s="460"/>
    </row>
    <row r="286" spans="1:13" ht="15.5" x14ac:dyDescent="0.35">
      <c r="A286" s="478"/>
      <c r="B286" s="477" t="s">
        <v>49</v>
      </c>
      <c r="C286" s="67" t="s">
        <v>50</v>
      </c>
      <c r="D286" s="67"/>
      <c r="E286" s="160"/>
      <c r="F286" s="161" t="str">
        <f>IF(E286="","",IF('Quantification Tool'!$B$9="Bc",IF(OR(E286&gt;9.2,E286&lt;=0.1),0,IF(E286&lt;=4,1,ROUND('Performance Standards'!$S$598*E286^2+'Performance Standards'!$S$599*E286+'Performance Standards'!$S$600,2))),IF(OR('Quantification Tool'!$B$9="B",'Quantification Tool'!$B$9="Ba"),IF(OR(E286&gt;7.5,E286&lt;=0.1),0,IF(E286&lt;=3,1,ROUND(IF(E286&gt;4,'Performance Standards'!$S$567*E286+'Performance Standards'!$S$568,'Performance Standards'!$T$567*E286+'Performance Standards'!$T$568),2))),IF('Quantification Tool'!$B$9="Cb",IF(OR(E286&gt;=7.6,E286&lt;=2.4),0,IF(AND(E286&gt;=3.7,E286&lt;=5),1,ROUND(IF(E286&lt;4,'Performance Standards'!$S$534*E286^2+'Performance Standards'!$S$535*E286+'Performance Standards'!$S$536,'Performance Standards'!$T$534*E286^2+'Performance Standards'!$T$535*E286+'Performance Standards'!$T$536),2))),IF('Quantification Tool'!$B$9="C",IF(OR(E286&gt;9.3,E286&lt;=3),0,IF(AND(E286&gt;=4,E286&lt;=6),1,ROUND(IF(E286&lt;4,'Performance Standards'!$S$500*E286+'Performance Standards'!$S$501,'Performance Standards'!$T$500*E286+'Performance Standards'!$T$501),2))))))))</f>
        <v/>
      </c>
      <c r="G286" s="466" t="str">
        <f>IFERROR(AVERAGE(F286:F289),"")</f>
        <v/>
      </c>
      <c r="H286" s="531"/>
      <c r="I286" s="460"/>
      <c r="J286" s="460"/>
      <c r="K286" s="460"/>
    </row>
    <row r="287" spans="1:13" ht="15.5" x14ac:dyDescent="0.35">
      <c r="A287" s="478"/>
      <c r="B287" s="478"/>
      <c r="C287" s="61" t="s">
        <v>51</v>
      </c>
      <c r="D287" s="61"/>
      <c r="E287" s="159"/>
      <c r="F287" s="85" t="str">
        <f>IF(E287="","",IF(E287&lt;=1.1,0,IF(E287&gt;=2.5,1,ROUND(IF(E287&lt;1.2,'Performance Standards'!$S$632*E287+'Performance Standards'!$S$633,'Performance Standards'!$T$631*E287^2+'Performance Standards'!$T$632*E287+'Performance Standards'!$T$633),2))))</f>
        <v/>
      </c>
      <c r="G287" s="467"/>
      <c r="H287" s="531"/>
      <c r="I287" s="460"/>
      <c r="J287" s="460"/>
      <c r="K287" s="460"/>
    </row>
    <row r="288" spans="1:13" ht="15.5" x14ac:dyDescent="0.35">
      <c r="A288" s="478"/>
      <c r="B288" s="478"/>
      <c r="C288" s="61" t="s">
        <v>52</v>
      </c>
      <c r="D288" s="61"/>
      <c r="E288" s="159"/>
      <c r="F288" s="245" t="str">
        <f>IF(E288="","",IF('Quantification Tool'!$B$11="Volcanic Mountains &amp; Valleys", IF(OR(E288&gt;95,E288&lt;58),0,IF(AND(E288&gt;=73,E288&lt;=80),1, ROUND(IF(E288&lt;73,'Performance Standards'!$S$665*E288^2+'Performance Standards'!$S$666*E288+'Performance Standards'!$S$667, 'Performance Standards'!$T$665*E288^2+'Performance Standards'!$T$666*E288+'Performance Standards'!$T$667),2))), IF('Quantification Tool'!$B$16="","Need Slope",IF('Quantification Tool'!$B$16&lt;3,IF( OR(E288&gt;73,E288&lt;37),0, IF(AND(E288&gt;=50,E288&lt;= 60), 1, ROUND(IF(E288&lt;50,'Performance Standards'!$S$699*E288^2+'Performance Standards'!$S$700*E288+'Performance Standards'!$S$701, IF(E288&gt;60,'Performance Standards'!$T$699*E288^2+'Performance Standards'!$T$700*E288+'Performance Standards'!$T$701)),2))), IF('Quantification Tool'!$B$16&gt;=3,IF(OR(E288&gt;88,E288&lt;57),0, IF(AND(E288 &gt;=70, E288&lt;=76),1, ROUND(IF(E288&lt;70,'Performance Standards'!$S$734*E288^2+'Performance Standards'!$S$735*E288+'Performance Standards'!$S$736,'Performance Standards'!$T$734*E288^2+'Performance Standards'!$T$735*E288+'Performance Standards'!$T$736),2) )))))))</f>
        <v/>
      </c>
      <c r="G288" s="467"/>
      <c r="H288" s="531"/>
      <c r="I288" s="460"/>
      <c r="J288" s="460"/>
      <c r="K288" s="460"/>
    </row>
    <row r="289" spans="1:12" ht="15.5" x14ac:dyDescent="0.35">
      <c r="A289" s="478"/>
      <c r="B289" s="479"/>
      <c r="C289" s="66" t="s">
        <v>248</v>
      </c>
      <c r="D289" s="68"/>
      <c r="E289" s="154"/>
      <c r="F289" s="248" t="str">
        <f>IF(E289="","",IF(E289&gt;=1.6,0,IF(E289&lt;=1,1,ROUND('Performance Standards'!$S$766*E289^3+'Performance Standards'!$S$767*E289^2+'Performance Standards'!$S$768*E289+'Performance Standards'!$S$769,2))))</f>
        <v/>
      </c>
      <c r="G289" s="468"/>
      <c r="H289" s="531"/>
      <c r="I289" s="460"/>
      <c r="J289" s="460"/>
      <c r="K289" s="460"/>
      <c r="L289" s="2"/>
    </row>
    <row r="290" spans="1:12" ht="15.5" x14ac:dyDescent="0.35">
      <c r="A290" s="479"/>
      <c r="B290" s="424" t="s">
        <v>54</v>
      </c>
      <c r="C290" s="68" t="s">
        <v>53</v>
      </c>
      <c r="D290" s="68"/>
      <c r="E290" s="148"/>
      <c r="F290" s="70" t="str">
        <f>IF(E290="","",IF('Quantification Tool'!$B$9="E",IF(OR(E290&gt;2,E290&lt;1.2),0, IF(AND(E290&gt;=1.6, E290&lt;=1.7),1, ROUND(IF(E290&lt;1.3,E290*'Performance Standards'!S$803+'Performance Standards'!S$804,IF(E290&lt;=1.6,E290*'Performance Standards'!T$803+'Performance Standards'!T$804, E290^2*'Performance Standards'!U$802+E290*'Performance Standards'!U$803+'Performance Standards'!$U$804)),2))),IF(LEFT('Quantification Tool'!$B$9,1)="C",IF(OR(E290&lt;1.15, E290&gt;1.5),0, IF(AND(E290&lt;=1.35,E290&gt;=1.25),1,ROUND(IF(E290&lt;1.25,E290^2*'Performance Standards'!$S$836+E290*'Performance Standards'!$S$837+'Performance Standards'!$S$838, E290^2*'Performance Standards'!$T$836+E290*'Performance Standards'!$T$837+'Performance Standards'!$T$838),2))),IF(LEFT('Quantification Tool'!$B$9,1)="B",IF(OR(E290&gt;1.4,E290&lt;1),0, IF(AND(E290&gt;=1.15,E290&lt;=1.25),1, ROUND(IF(E290&lt;=1.15,E290^2*'Performance Standards'!$S$867+E290*'Performance Standards'!$S$868+'Performance Standards'!$S$869,E290^2*'Performance Standards'!$T$867+E290*'Performance Standards'!$T$868+'Performance Standards'!$T$869),2)))))))</f>
        <v/>
      </c>
      <c r="G290" s="85" t="str">
        <f>IFERROR(AVERAGE(F290),"")</f>
        <v/>
      </c>
      <c r="H290" s="531"/>
      <c r="I290" s="460"/>
      <c r="J290" s="460"/>
      <c r="K290" s="460"/>
      <c r="L290" s="2"/>
    </row>
    <row r="291" spans="1:12" ht="15.5" x14ac:dyDescent="0.35">
      <c r="A291" s="453" t="s">
        <v>58</v>
      </c>
      <c r="B291" s="453" t="s">
        <v>93</v>
      </c>
      <c r="C291" s="182" t="s">
        <v>272</v>
      </c>
      <c r="D291" s="71"/>
      <c r="E291" s="147"/>
      <c r="F291" s="178" t="str">
        <f>IF(E291="","",IF('Quantification Tool'!$B$18="","Enter Stream Temperature",IF('Quantification Tool'!$B$18="Tier I (Cold) ",IF(E291&gt;=24.6,0,IF(E291&lt;=15.5,1,ROUND(E291*'Performance Standards'!$AB$19+'Performance Standards'!$AB$20,2))),IF('Quantification Tool'!$B$18="Tier II (Cold-Cool)",IF(E291&gt;=27.8,0,IF(E291&lt;=15.6,1,ROUND(E291*'Performance Standards'!$AC$19+'Performance Standards'!$AC$20,2))),IF('Quantification Tool'!$B$18="Tier III (Cool) ",IF(E291&gt;=32.4,0,IF(E291&lt;=17.8,1,ROUND(E291*'Performance Standards'!$AD$19+'Performance Standards'!$AD$20,2))),IF('Quantification Tool'!$B$18="Tier IV (Cool-Warm)",IF(E291&gt;=34.6,0,IF(E291&lt;=20,1,ROUND(E291*'Performance Standards'!$AE$19+'Performance Standards'!$AE$20,2))),IF('Quantification Tool'!$B$18="Tier V (Warm)",IF(E291&gt;35.4,0,IF(E291&lt;=24.6,1,ROUND(E291*'Performance Standards'!$AF$19+'Performance Standards'!$AF$20,2))))))))))</f>
        <v/>
      </c>
      <c r="G291" s="455" t="str">
        <f>IFERROR(IF(E291="",F292,IF(E292="",F291,MIN(F291:F292))),"")</f>
        <v/>
      </c>
      <c r="H291" s="455" t="str">
        <f>IFERROR(ROUND(AVERAGE(G291:G293),2),"")</f>
        <v/>
      </c>
      <c r="I291" s="459" t="str">
        <f>IF(H291="","",IF(H291&gt;0.69,"Functioning",IF(H291&gt;0.29,"Functioning At Risk",IF(H291&gt;-1,"Not Functioning"))))</f>
        <v/>
      </c>
      <c r="J291" s="460"/>
      <c r="K291" s="460"/>
      <c r="L291" s="7"/>
    </row>
    <row r="292" spans="1:12" ht="15.5" x14ac:dyDescent="0.35">
      <c r="A292" s="469"/>
      <c r="B292" s="454"/>
      <c r="C292" s="183" t="s">
        <v>273</v>
      </c>
      <c r="D292" s="71"/>
      <c r="E292" s="147"/>
      <c r="F292" s="179" t="str">
        <f>IF(E292="","",IF('Quantification Tool'!$B$18="","Enter Stream Temperature",IF('Quantification Tool'!$B$18="Tier I (Cold) ",IF(E292&gt;=19.3,0,IF(E292&lt;=15.5,1,ROUND(E292*'Performance Standards'!$AB$55+'Performance Standards'!$AB$56,2))),IF('Quantification Tool'!$B$18="Tier II (Cold-Cool)",IF(E292&gt;=21,0,IF(E292&lt;=15.6,1,ROUND(E292*'Performance Standards'!$AC$55+'Performance Standards'!$AC$56,2))),IF('Quantification Tool'!$B$18="Tier III (Cool) ",IF(E292&gt;=24,0,IF(E292&lt;=17.8,1,ROUND(E292*'Performance Standards'!$AD$55+'Performance Standards'!$AD$56,2))),IF('Quantification Tool'!$B$18="Tier IV (Cool-Warm)",IF(E292&gt;=28.8,0,IF(E292&lt;=20,1,ROUND(E292*'Performance Standards'!$AE$55+'Performance Standards'!$AE$56,2))),IF('Quantification Tool'!$B$18="Tier V (Warm)",IF(E292&gt;=31,0,IF(E292&lt;=24.5,1,ROUND(E292*'Performance Standards'!$AF$55+'Performance Standards'!$AF$56,2))))))))))</f>
        <v/>
      </c>
      <c r="G292" s="456"/>
      <c r="H292" s="535"/>
      <c r="I292" s="459"/>
      <c r="J292" s="460"/>
      <c r="K292" s="460"/>
      <c r="L292" s="7"/>
    </row>
    <row r="293" spans="1:12" ht="15.5" x14ac:dyDescent="0.35">
      <c r="A293" s="454"/>
      <c r="B293" s="243" t="s">
        <v>297</v>
      </c>
      <c r="C293" s="75" t="s">
        <v>238</v>
      </c>
      <c r="D293" s="72"/>
      <c r="E293" s="43"/>
      <c r="F293" s="163" t="str">
        <f>IF(E293="","",IF(OR('Quantification Tool'!$B$10="Basin",'Quantification Tool'!$B$10="Plains"),IF(E293&gt;=150,0,IF(E293&lt;21,1,ROUND('Performance Standards'!$AB$87*LN(E293)+'Performance Standards'!$AB$88,2))),IF(E293&gt;=97,0,IF(E293&lt;=13,1,ROUND('Performance Standards'!$AB$120*LN(E293)+'Performance Standards'!$AB$121,2)))))</f>
        <v/>
      </c>
      <c r="G293" s="87" t="str">
        <f>IFERROR(AVERAGE(F293),"")</f>
        <v/>
      </c>
      <c r="H293" s="456"/>
      <c r="I293" s="459"/>
      <c r="J293" s="460"/>
      <c r="K293" s="460"/>
      <c r="L293" s="7"/>
    </row>
    <row r="294" spans="1:12" ht="15.5" x14ac:dyDescent="0.35">
      <c r="A294" s="482" t="s">
        <v>59</v>
      </c>
      <c r="B294" s="457" t="s">
        <v>73</v>
      </c>
      <c r="C294" s="112" t="s">
        <v>217</v>
      </c>
      <c r="D294" s="113"/>
      <c r="E294" s="115"/>
      <c r="F294" s="153" t="str">
        <f>IF(E294="","",IF('Quantification Tool'!$B$11="","Enter Bioregion",IF('Quantification Tool'!$B$11="Wyoming Basin",IF(E294&lt;0.26,0,IF(E294&gt;0.94,1,ROUND('Performance Standards'!$AK$18*E294+'Performance Standards'!$AK$19,2))), IF('Quantification Tool'!$B$11="Black Hills",IF(E294&lt;0.2,0,IF(E294&gt;0.98,1,ROUND('Performance Standards'!$AL$18*E294+'Performance Standards'!$AL$19,2))), IF('Quantification Tool'!$B$11="High Valleys",IF(E294&lt;0.23,0,IF(E294&gt;0.95,1,ROUND('Performance Standards'!$AM$18*E294+'Performance Standards'!$AM$19,2))), IF('Quantification Tool'!$B$11="Sedimentary Mountains",IF(E294&lt;=0.23,0,IF(E294&gt;=1,1,ROUND('Performance Standards'!$AN$18*E294+'Performance Standards'!$AN$19,2))), IF('Quantification Tool'!$B$11="Southern Rockies",IF(E294&lt;0.07,0,IF(E294&gt;0.96,1,ROUND('Performance Standards'!$AK$54*E294+'Performance Standards'!$AK$55,2))), IF('Quantification Tool'!$B$11="SE Plains",IF(E294&lt;0.2,0,IF(E294&gt;0.95,1,ROUND('Performance Standards'!$AL$54*E294+'Performance Standards'!$AL$55,2))), IF('Quantification Tool'!$B$11="NE Plains",IF(E294&lt;0.2,0,IF(E294&gt;0.94,1,ROUND('Performance Standards'!$AM$54*E294+'Performance Standards'!$AM$55,2))),IF('Quantification Tool'!$B$11="Granitic Mountains",IF(E294&lt;0.45,0,IF(E294&gt;=1,1,ROUND('Performance Standards'!$AK$92*E294+'Performance Standards'!$AK$93,2))),IF('Quantification Tool'!$B$11="Bighorn Basin Foothills",IF(E294&lt;=0.1,0,IF(E294&gt;=1,1,ROUND('Performance Standards'!$AL$92*E294+'Performance Standards'!$AL$93,2))),IF('Quantification Tool'!$B$11="Volcanic Mountains &amp; Valleys",IF(E294&lt;0.35,0,IF(E294&gt;=1,1,ROUND('Performance Standards'!$AN$92*E294+'Performance Standards'!$AN$93,2))), IF('Quantification Tool'!$B$11="Southern Foothills &amp; Laramie Range",IF(E294&lt;0.3,0,IF(E294&gt;=1,1,ROUND('Performance Standards'!$AM$92*E294+'Performance Standards'!$AM$93,2))) )))))))))))))</f>
        <v/>
      </c>
      <c r="G294" s="473" t="str">
        <f>IFERROR(IF(AND(F294="",F295=""),"",IF(OR(F294="",F295=""),AVERAGE(F294:F295),IF(OR(F294&lt;0.3,F295&lt;0.3),IF(OR(F294&gt;=0.7,F295&gt;=0.7),MIN(0.69,AVERAGE(F294:F295)),MIN(0.29,AVERAGE(F294:F295))), IF(OR(F294&gt;=0.7,F295&gt;=0.7),IF(AVERAGE(F294:F295)&lt;0.7,0.7,AVERAGE(F294:F295)),AVERAGE(F294:F295))))),"")</f>
        <v/>
      </c>
      <c r="H294" s="485" t="str">
        <f>IFERROR(ROUND(AVERAGE(G294:G298),2),"")</f>
        <v/>
      </c>
      <c r="I294" s="459" t="str">
        <f>IF(H294="","",IF(H294&gt;0.69,"Functioning",IF(H294&gt;0.29,"Functioning At Risk",IF(H294&gt;-1,"Not Functioning"))))</f>
        <v/>
      </c>
      <c r="J294" s="460"/>
      <c r="K294" s="460"/>
      <c r="L294" s="7"/>
    </row>
    <row r="295" spans="1:12" ht="15.5" x14ac:dyDescent="0.35">
      <c r="A295" s="483"/>
      <c r="B295" s="458"/>
      <c r="C295" s="249" t="s">
        <v>218</v>
      </c>
      <c r="D295" s="250"/>
      <c r="E295" s="154"/>
      <c r="F295" s="88" t="str">
        <f>IF(E295="","",IF('Quantification Tool'!$B$11="","Enter Bioregion",IF('Quantification Tool'!$B$11="Wyoming Basin",IF(E295&lt;0.34,0,IF(E295&gt;0.96,1,ROUND('Performance Standards'!$AK$128*E295+'Performance Standards'!$AK$129,2))), IF('Quantification Tool'!$B$11="Black Hills",IF(E295&lt;0.36,0,IF(E295&gt;=1,1,ROUND('Performance Standards'!$AL$128*E295+'Performance Standards'!$AL$129,2))), IF('Quantification Tool'!$B$11="High Valleys",IF(E295&lt;0.38,0,IF(E295&gt;0.98,1,ROUND('Performance Standards'!$AM$128*E295+'Performance Standards'!$AM$129,2))), IF('Quantification Tool'!$B$11="Sedimentary Mountains",IF(E295&lt;0.36,0,IF(E295&gt;0.97,1,ROUND('Performance Standards'!$AN$128*E295+'Performance Standards'!$AN$129,2))), IF('Quantification Tool'!$B$11="Southern Rockies",IF(E295&lt;0.25,0,IF(E295&gt;=1,1,ROUND('Performance Standards'!$AK$165*E295+'Performance Standards'!$AK$166,2))), IF('Quantification Tool'!$B$11="SE Plains",IF(E295&lt;0.33,0,IF(E295&gt;0.95,1,ROUND('Performance Standards'!$AL$165*E295+'Performance Standards'!$AL$166,2))), IF('Quantification Tool'!$B$11="NE Plains",IF(E295&lt;0.35,0,IF(E295&gt;0.98,1,ROUND('Performance Standards'!$AM$165*E295+'Performance Standards'!$AM$166,2))),IF('Quantification Tool'!$B$11="Granitic Mountains",IF(E295&lt;0.5,0,IF(E295&gt;0.98,1,ROUND('Performance Standards'!$AK$202*E295+'Performance Standards'!$AK$203,2))),IF('Quantification Tool'!$B$11="Bighorn Basin Foothills",IF(E295&lt;0.48,0,IF(E295&gt;=1,1,ROUND('Performance Standards'!$AL$202*E295+'Performance Standards'!$AL$203,2))),IF('Quantification Tool'!$B$11="Volcanic Mountains &amp; Valleys",IF(E295&lt;=0.2,0,IF(E295&gt;=1,1,ROUND('Performance Standards'!$AN$202*E295+'Performance Standards'!$AN$203,2))), IF('Quantification Tool'!$B$11="Southern Foothills &amp; Laramie Range",IF(E295&lt;0.28,0,IF(E295&gt;=1,1,ROUND('Performance Standards'!$AM$202*E295+'Performance Standards'!$AM$203,2))) )))))))))))))</f>
        <v/>
      </c>
      <c r="G295" s="475"/>
      <c r="H295" s="485"/>
      <c r="I295" s="459"/>
      <c r="J295" s="460"/>
      <c r="K295" s="460"/>
      <c r="L295" s="7"/>
    </row>
    <row r="296" spans="1:12" ht="15.5" x14ac:dyDescent="0.35">
      <c r="A296" s="483"/>
      <c r="B296" s="457" t="s">
        <v>85</v>
      </c>
      <c r="C296" s="180" t="s">
        <v>264</v>
      </c>
      <c r="D296" s="113"/>
      <c r="E296" s="160"/>
      <c r="F296" s="172" t="str">
        <f>IF(E296="","",IF(E296&lt;58,0,IF(E296&gt;=100,1,ROUND(E296*'Performance Standards'!$AK$240+'Performance Standards'!$AK$241,2))))</f>
        <v/>
      </c>
      <c r="G296" s="473" t="str">
        <f>IFERROR(AVERAGE(F296:F298),"")</f>
        <v/>
      </c>
      <c r="H296" s="485"/>
      <c r="I296" s="459"/>
      <c r="J296" s="460"/>
      <c r="K296" s="460"/>
      <c r="L296" s="7"/>
    </row>
    <row r="297" spans="1:12" ht="15.5" x14ac:dyDescent="0.35">
      <c r="A297" s="483"/>
      <c r="B297" s="476"/>
      <c r="C297" s="181" t="s">
        <v>265</v>
      </c>
      <c r="D297" s="250"/>
      <c r="E297" s="159"/>
      <c r="F297" s="172" t="str">
        <f>IF(E297="","",ROUND(IF(E297&gt;=3,0,IF(E297&lt;=1,1,0.69)),2))</f>
        <v/>
      </c>
      <c r="G297" s="474"/>
      <c r="H297" s="485"/>
      <c r="I297" s="459"/>
      <c r="J297" s="460"/>
      <c r="K297" s="460"/>
      <c r="L297" s="7"/>
    </row>
    <row r="298" spans="1:12" ht="15.5" x14ac:dyDescent="0.35">
      <c r="A298" s="484"/>
      <c r="B298" s="458"/>
      <c r="C298" s="114" t="s">
        <v>266</v>
      </c>
      <c r="D298" s="73"/>
      <c r="E298" s="154"/>
      <c r="F298" s="88" t="str">
        <f>IF(E298="","",IF('Quantification Tool'!$B$21="","Enter Stream Producitvity Rating",IF('Quantification Tool'!$B$21="Blue Ribbon and non-trout",IF(E298&lt;5,0,IF(E298&gt;=40,1,ROUND(E298*'Performance Standards'!$AK$316+'Performance Standards'!$AK$317,2))),IF('Quantification Tool'!$B$21="Red Ribbon",IF(E298&lt;10,0,IF(E298&gt;=80,1,ROUND(E298*'Performance Standards'!$AL$316+'Performance Standards'!$AL$317,2))),IF('Quantification Tool'!$B$21="Yellow Ribbon",IF(E298&lt;15,0,IF(E298&gt;=119,1,ROUND(E298*'Performance Standards'!$AM$316+'Performance Standards'!$AM$317,2))),IF('Quantification Tool'!$B$21="Green Ribbon",IF(E298&lt;20,0,IF(E298&gt;=160,1,ROUND(E298*'Performance Standards'!$AN$316+'Performance Standards'!$AN$317,2)))))))))</f>
        <v/>
      </c>
      <c r="G298" s="475"/>
      <c r="H298" s="485"/>
      <c r="I298" s="459"/>
      <c r="J298" s="460"/>
      <c r="K298" s="460"/>
      <c r="L298" s="7"/>
    </row>
    <row r="299" spans="1:12" x14ac:dyDescent="0.35">
      <c r="L299" s="7"/>
    </row>
    <row r="300" spans="1:12" x14ac:dyDescent="0.35">
      <c r="L300" s="7"/>
    </row>
    <row r="301" spans="1:12" ht="21" x14ac:dyDescent="0.5">
      <c r="A301" s="134" t="s">
        <v>165</v>
      </c>
      <c r="B301" s="577"/>
      <c r="C301" s="577"/>
      <c r="D301" s="577"/>
      <c r="E301" s="577"/>
      <c r="F301" s="578"/>
      <c r="G301" s="463" t="s">
        <v>16</v>
      </c>
      <c r="H301" s="464"/>
      <c r="I301" s="464"/>
      <c r="J301" s="464"/>
      <c r="K301" s="465"/>
      <c r="L301" s="7"/>
    </row>
    <row r="302" spans="1:12" ht="15.5" x14ac:dyDescent="0.35">
      <c r="A302" s="145" t="s">
        <v>1</v>
      </c>
      <c r="B302" s="145" t="s">
        <v>2</v>
      </c>
      <c r="C302" s="461" t="s">
        <v>3</v>
      </c>
      <c r="D302" s="576"/>
      <c r="E302" s="145" t="s">
        <v>14</v>
      </c>
      <c r="F302" s="145" t="s">
        <v>15</v>
      </c>
      <c r="G302" s="145" t="s">
        <v>17</v>
      </c>
      <c r="H302" s="145" t="s">
        <v>18</v>
      </c>
      <c r="I302" s="145" t="s">
        <v>18</v>
      </c>
      <c r="J302" s="145" t="s">
        <v>19</v>
      </c>
      <c r="K302" s="50" t="s">
        <v>19</v>
      </c>
    </row>
    <row r="303" spans="1:12" ht="15.5" x14ac:dyDescent="0.35">
      <c r="A303" s="493" t="s">
        <v>63</v>
      </c>
      <c r="B303" s="244" t="s">
        <v>100</v>
      </c>
      <c r="C303" s="52" t="s">
        <v>101</v>
      </c>
      <c r="D303" s="52"/>
      <c r="E303" s="147"/>
      <c r="F303" s="251" t="str">
        <f>IF(E303="","",IF(E303="G1",0.8,IF(E303="G2",0.9,IF(E303="G3",1,IF(E303="F1",0.4,IF(E303="F2",0.5,IF(E303="F3",0.6,IF(E303="P1",0.1,IF(E303="P2",0.2,IF(E303="P3",0.3,))))))))))</f>
        <v/>
      </c>
      <c r="G303" s="84" t="str">
        <f>IFERROR(AVERAGE(F303),"")</f>
        <v/>
      </c>
      <c r="H303" s="499" t="str">
        <f>IFERROR(ROUND(AVERAGE(G303:G307),2),"")</f>
        <v/>
      </c>
      <c r="I303" s="459" t="str">
        <f>IF(H303="","",IF(H303&gt;0.69,"Functioning",IF(H303&gt;0.29,"Functioning At Risk",IF(H303&gt;-1,"Not Functioning"))))</f>
        <v/>
      </c>
      <c r="J303" s="460" t="str">
        <f>IF(AND(H303="",H308="",H310="",H334="",H337=""),"",(IF(H303="",0,H303)*0.2)+(IF(H308="",0,H308)*0.2)+(IF(H310="",0,H310)*0.3)+(IF(H334="",0,H334)*0.15)+(IF(H337="",0,H337)*0.15))</f>
        <v/>
      </c>
      <c r="K303" s="460" t="str">
        <f>IF(J303="","",IF(J303&lt;0.3, "Not Functioning",IF(OR(H303&lt;0.7,H308&lt;0.7,H310&lt;0.7,H334&lt;0.7,H337&lt;0.7),"Functioning At Risk",IF(J303&lt;0.7,"Functioning At Risk","Functioning"))))</f>
        <v/>
      </c>
    </row>
    <row r="304" spans="1:12" ht="15.5" x14ac:dyDescent="0.35">
      <c r="A304" s="494"/>
      <c r="B304" s="493" t="s">
        <v>146</v>
      </c>
      <c r="C304" s="118" t="s">
        <v>147</v>
      </c>
      <c r="D304" s="117"/>
      <c r="E304" s="115"/>
      <c r="F304" s="251" t="str">
        <f>IF(E304="","",IF('Quantification Tool'!$B$20="Forested",IF(E304&gt;71,0,IF(E304&lt;=41,1,ROUND(E304^2*'Performance Standards'!$C$16+E304*'Performance Standards'!$C$17+'Performance Standards'!$C$18,2))),IF('Quantification Tool'!$B$20="Scrub-Shrub",IF(E304&gt;59.6,0,IF(E304&lt;=35,1,ROUND(E304^2*'Performance Standards'!$D$16+E304*'Performance Standards'!$D$17+'Performance Standards'!$D$18,2))),IF('Quantification Tool'!$B$20="Herbaceous",IF(E304&gt;85,0,IF(E304&lt;=62,1,ROUND(E304^2*'Performance Standards'!$E$16+E304*'Performance Standards'!$E$17+'Performance Standards'!$E$18,2)))))))</f>
        <v/>
      </c>
      <c r="G304" s="470" t="str">
        <f>IFERROR(AVERAGE(F304:F306),"")</f>
        <v/>
      </c>
      <c r="H304" s="500"/>
      <c r="I304" s="459"/>
      <c r="J304" s="460"/>
      <c r="K304" s="460"/>
    </row>
    <row r="305" spans="1:11" ht="15.5" x14ac:dyDescent="0.35">
      <c r="A305" s="494"/>
      <c r="B305" s="494"/>
      <c r="C305" s="119" t="s">
        <v>148</v>
      </c>
      <c r="D305" s="52"/>
      <c r="E305" s="147"/>
      <c r="F305" s="252" t="str">
        <f>IF(E305="","",IF(E305&gt;3,0,IF(E305=0,1,ROUND('Performance Standards'!C$49*E305+'Performance Standards'!C$50,2))))</f>
        <v/>
      </c>
      <c r="G305" s="471"/>
      <c r="H305" s="500"/>
      <c r="I305" s="459"/>
      <c r="J305" s="460"/>
      <c r="K305" s="460"/>
    </row>
    <row r="306" spans="1:11" ht="15.5" x14ac:dyDescent="0.35">
      <c r="A306" s="494"/>
      <c r="B306" s="512"/>
      <c r="C306" s="120" t="s">
        <v>149</v>
      </c>
      <c r="D306" s="54"/>
      <c r="E306" s="148"/>
      <c r="F306" s="253" t="str">
        <f>IF(E306="","",IF('Quantification Tool'!$B$19="Sandy",IF(E306&gt;1.94,0,IF(E306&lt;1.45,1,ROUND(E306*'Performance Standards'!$C$85+'Performance Standards'!$C$86,2))),IF('Quantification Tool'!$B$19="Silty",IF(E306&gt;1.83,0,IF(E306&lt;1.21,1,ROUND(E306*'Performance Standards'!$D$85+'Performance Standards'!$D$86,2))),IF('Quantification Tool'!$B$19="Clayey",IF(E306&gt;1.74,0,IF(E306&lt;0.82,1,ROUND(E306*'Performance Standards'!$E$85+'Performance Standards'!$E$86,2)))))))</f>
        <v/>
      </c>
      <c r="G306" s="472"/>
      <c r="H306" s="500"/>
      <c r="I306" s="459"/>
      <c r="J306" s="460"/>
      <c r="K306" s="460"/>
    </row>
    <row r="307" spans="1:11" ht="15.5" x14ac:dyDescent="0.35">
      <c r="A307" s="512"/>
      <c r="B307" s="156" t="s">
        <v>170</v>
      </c>
      <c r="C307" s="513" t="s">
        <v>285</v>
      </c>
      <c r="D307" s="579"/>
      <c r="E307" s="174"/>
      <c r="F307" s="253" t="str">
        <f>IF(E307="","",IF(OR(E307&gt;=2,E307&lt;=0.6),0,IF(AND(E307&gt;=1,E307&lt;=1.1),1,ROUND(IF(E307&lt;1,'Performance Standards'!$C$121*E307^2+'Performance Standards'!$C$122*E307+'Performance Standards'!$C$123,'Performance Standards'!$D$121*E307^2+'Performance Standards'!$D$122*E307+'Performance Standards'!$D$123),2))))</f>
        <v/>
      </c>
      <c r="G307" s="247" t="str">
        <f>IFERROR(F307,"")</f>
        <v/>
      </c>
      <c r="H307" s="500"/>
      <c r="I307" s="459"/>
      <c r="J307" s="460"/>
      <c r="K307" s="460"/>
    </row>
    <row r="308" spans="1:11" ht="15.5" x14ac:dyDescent="0.35">
      <c r="A308" s="524" t="s">
        <v>6</v>
      </c>
      <c r="B308" s="524" t="s">
        <v>7</v>
      </c>
      <c r="C308" s="55" t="s">
        <v>8</v>
      </c>
      <c r="D308" s="55"/>
      <c r="E308" s="147"/>
      <c r="F308" s="254" t="str">
        <f>IF(E308="","",ROUND(IF(E308&gt;1.6,0,IF(E308&lt;=1,1,E308^2*'Performance Standards'!K$14+E308*'Performance Standards'!K$15+'Performance Standards'!K$16)),2))</f>
        <v/>
      </c>
      <c r="G308" s="526" t="str">
        <f>IFERROR(AVERAGE(F308:F309),"")</f>
        <v/>
      </c>
      <c r="H308" s="526" t="str">
        <f>IFERROR(ROUND(AVERAGE(G308:G309),2),"")</f>
        <v/>
      </c>
      <c r="I308" s="533" t="str">
        <f>IF(H308="","",IF(H308&gt;0.69,"Functioning",IF(H308&gt;0.29,"Functioning At Risk",IF(H308&gt;-1,"Not Functioning"))))</f>
        <v/>
      </c>
      <c r="J308" s="460"/>
      <c r="K308" s="460"/>
    </row>
    <row r="309" spans="1:11" ht="15.5" x14ac:dyDescent="0.35">
      <c r="A309" s="525"/>
      <c r="B309" s="525"/>
      <c r="C309" s="57" t="s">
        <v>9</v>
      </c>
      <c r="D309" s="57"/>
      <c r="E309" s="148"/>
      <c r="F309" s="255" t="str">
        <f>IF(E309="","",IF(OR('Quantification Tool'!$B$9="A",'Quantification Tool'!$B$9="Ba",'Quantification Tool'!$B$9="B", 'Quantification Tool'!$B$9="Bc"),IF(E309&lt;1.2,0,IF(E309&gt;=2.2,1,ROUND(IF(E309&lt;1.4,E309*'Performance Standards'!$K$84+'Performance Standards'!$K$85,E309*'Performance Standards'!$L$84+'Performance Standards'!$L$85),2))),IF(OR('Quantification Tool'!$B$9="C",'Quantification Tool'!$B$9="Cb",'Quantification Tool'!$B$9="E"),IF(E309&lt;2,0,IF(E309&gt;=5,1,ROUND(IF(E309&lt;2.4,E309*'Performance Standards'!$L$49+'Performance Standards'!$L$50,E309*'Performance Standards'!$K$49+'Performance Standards'!$K$50),2))))))</f>
        <v/>
      </c>
      <c r="G309" s="527"/>
      <c r="H309" s="532"/>
      <c r="I309" s="534"/>
      <c r="J309" s="460"/>
      <c r="K309" s="460"/>
    </row>
    <row r="310" spans="1:11" ht="15.5" x14ac:dyDescent="0.35">
      <c r="A310" s="477" t="s">
        <v>23</v>
      </c>
      <c r="B310" s="477" t="s">
        <v>24</v>
      </c>
      <c r="C310" s="64" t="s">
        <v>22</v>
      </c>
      <c r="D310" s="67"/>
      <c r="E310" s="115"/>
      <c r="F310" s="246" t="str">
        <f>IF(E310="","",IF(E310&gt;600,1,IF(E310&lt;300,ROUND('Performance Standards'!$S$15*(E310^2)+'Performance Standards'!$S$16*E310+'Performance Standards'!$S$17,2),ROUND('Performance Standards'!$T$16*E310+'Performance Standards'!$T$17,2))))</f>
        <v/>
      </c>
      <c r="G310" s="466" t="str">
        <f>IFERROR(AVERAGE(F310:F311),"")</f>
        <v/>
      </c>
      <c r="H310" s="531" t="str">
        <f>IFERROR(ROUND(AVERAGE(G310:G333),2),"")</f>
        <v/>
      </c>
      <c r="I310" s="460" t="str">
        <f>IF(H310="","",IF(H310&gt;0.69,"Functioning",IF(H310&gt;0.29,"Functioning At Risk",IF(H310&gt;-1,"Not Functioning"))))</f>
        <v/>
      </c>
      <c r="J310" s="460"/>
      <c r="K310" s="460"/>
    </row>
    <row r="311" spans="1:11" ht="15.5" x14ac:dyDescent="0.35">
      <c r="A311" s="478"/>
      <c r="B311" s="479"/>
      <c r="C311" s="66" t="s">
        <v>357</v>
      </c>
      <c r="D311" s="68"/>
      <c r="E311" s="148"/>
      <c r="F311" s="192" t="str">
        <f>IF(E311="","",IF(E311&lt;=0,0,IF(E311&gt;=30,1,ROUND(IF(E311&lt;=15,'Performance Standards'!$S$49*E311^2+'Performance Standards'!$S$50*E311,'Performance Standards'!$T$50*E311+'Performance Standards'!$T$51),2))))</f>
        <v/>
      </c>
      <c r="G311" s="468"/>
      <c r="H311" s="531"/>
      <c r="I311" s="460"/>
      <c r="J311" s="460"/>
      <c r="K311" s="460"/>
    </row>
    <row r="312" spans="1:11" ht="15.5" x14ac:dyDescent="0.35">
      <c r="A312" s="478"/>
      <c r="B312" s="478" t="s">
        <v>46</v>
      </c>
      <c r="C312" s="61" t="s">
        <v>91</v>
      </c>
      <c r="D312" s="61"/>
      <c r="E312" s="115"/>
      <c r="F312" s="238" t="str">
        <f>IF(E312="","",ROUND(IF(E312&gt;0.7,0,IF(E312&lt;=0.1,1,E312^3*'Performance Standards'!S$83+E312^2*'Performance Standards'!S$84+E312*'Performance Standards'!S$85+'Performance Standards'!S$86)),2))</f>
        <v/>
      </c>
      <c r="G312" s="467" t="str">
        <f>IFERROR(IF(E312="",AVERAGE(F313:F314),IF(E313="",F312,MAX(F312,AVERAGE(F313:F314)))),"")</f>
        <v/>
      </c>
      <c r="H312" s="531"/>
      <c r="I312" s="460"/>
      <c r="J312" s="460"/>
      <c r="K312" s="460"/>
    </row>
    <row r="313" spans="1:11" ht="15.5" x14ac:dyDescent="0.35">
      <c r="A313" s="478"/>
      <c r="B313" s="478"/>
      <c r="C313" s="61" t="s">
        <v>47</v>
      </c>
      <c r="D313" s="61"/>
      <c r="E313" s="147"/>
      <c r="F313" s="256" t="str">
        <f>IF(E313="","",IF(OR(E313="Ex/Ex",E313="Ex/VH"),0, IF(OR(E313="Ex/H",E313="VH/Ex",E313="VH/VH", E313="H/Ex",E313="H/VH",E313="M/Ex"),0.1,IF(OR(E313="Ex/M",E313="VH/H",E313="H/H", E313="M/VH"),0.2, IF(OR(E313="Ex/L",E313="VH/M",E313="H/M", E313="M/H",E313="L/Ex"),0.3, IF(OR(E313="Ex/VL",E313="VH/L",E313="H/L"),0.4, IF(OR(E313="VH/VL",E313="H/VL",E313="M/M", E313="L/VH"),0.5, IF(OR(E313="M/L",E313="L/H"),0.6, IF(OR(E313="M/VL",E313="L/M"),0.7, IF(OR(E313="L/L",E313="L/VL"),1))))))))))</f>
        <v/>
      </c>
      <c r="G313" s="467"/>
      <c r="H313" s="531"/>
      <c r="I313" s="460"/>
      <c r="J313" s="460"/>
      <c r="K313" s="460"/>
    </row>
    <row r="314" spans="1:11" ht="15.5" x14ac:dyDescent="0.35">
      <c r="A314" s="478"/>
      <c r="B314" s="478"/>
      <c r="C314" s="63" t="s">
        <v>102</v>
      </c>
      <c r="D314" s="63"/>
      <c r="E314" s="148"/>
      <c r="F314" s="213" t="str">
        <f>IF(E314="","",ROUND(IF(E314&gt;50,0,IF(E314&lt;5,1,IF(E314&gt;9,E314^2*'Performance Standards'!S$119+E314*'Performance Standards'!S$120+'Performance Standards'!S$121,'Performance Standards'!$T$120*E314+'Performance Standards'!$T$121))),2))</f>
        <v/>
      </c>
      <c r="G314" s="467"/>
      <c r="H314" s="531"/>
      <c r="I314" s="460"/>
      <c r="J314" s="460"/>
      <c r="K314" s="460"/>
    </row>
    <row r="315" spans="1:11" ht="15.5" x14ac:dyDescent="0.35">
      <c r="A315" s="478"/>
      <c r="B315" s="477" t="s">
        <v>48</v>
      </c>
      <c r="C315" s="67" t="s">
        <v>447</v>
      </c>
      <c r="D315" s="67"/>
      <c r="E315" s="147"/>
      <c r="F315" s="256" t="str">
        <f>IF(E315="","",IF('Quantification Tool'!$B$22="Unconfined Alluvial",IF(E315&gt;=100,1,IF(E315&lt;30,0,ROUND('Performance Standards'!$S$155*E315^2+'Performance Standards'!$S$156*E315+'Performance Standards'!$S$157,2))),IF('Quantification Tool'!$B$22="Confined Alluvial",(IF(E315&gt;=100,1,IF(E315&lt;60,0,ROUND('Performance Standards'!$T$155*E315^2+'Performance Standards'!$T$156*E315+'Performance Standards'!$T$157,2)))),IF('Quantification Tool'!$B$22="Colluvial/V-Shaped",(IF(E315&gt;=100,1,IF(E315&lt;80,0,ROUND('Performance Standards'!$U$155*E315^2+'Performance Standards'!$U$156*E315+'Performance Standards'!$U$157,2))))))))</f>
        <v/>
      </c>
      <c r="G315" s="466" t="str">
        <f>IFERROR(AVERAGE(F315:F327),"")</f>
        <v/>
      </c>
      <c r="H315" s="531"/>
      <c r="I315" s="460"/>
      <c r="J315" s="460"/>
      <c r="K315" s="460"/>
    </row>
    <row r="316" spans="1:11" ht="15.5" x14ac:dyDescent="0.35">
      <c r="A316" s="478"/>
      <c r="B316" s="478"/>
      <c r="C316" s="61" t="s">
        <v>448</v>
      </c>
      <c r="D316" s="61"/>
      <c r="E316" s="147"/>
      <c r="F316" s="256" t="str">
        <f>IF(E316="","",IF('Quantification Tool'!$B$22="Unconfined Alluvial",IF(E316&gt;=100,1,IF(E316&lt;30,0,ROUND('Performance Standards'!$S$155*E316^2+'Performance Standards'!$S$156*E316+'Performance Standards'!$S$157,2))),IF('Quantification Tool'!$B$22="Confined Alluvial",(IF(E316&gt;=100,1,IF(E316&lt;60,0,ROUND('Performance Standards'!$T$155*E316^2+'Performance Standards'!$T$156*E316+'Performance Standards'!$T$157,2)))),IF('Quantification Tool'!$B$22="Colluvial/V-Shaped",(IF(E316&gt;=100,1,IF(E316&lt;80,0,ROUND('Performance Standards'!$U$155*E316^2+'Performance Standards'!$U$156*E316+'Performance Standards'!$U$157,2))))))))</f>
        <v/>
      </c>
      <c r="G316" s="467"/>
      <c r="H316" s="531"/>
      <c r="I316" s="460"/>
      <c r="J316" s="460"/>
      <c r="K316" s="460"/>
    </row>
    <row r="317" spans="1:11" ht="15.5" x14ac:dyDescent="0.35">
      <c r="A317" s="478"/>
      <c r="B317" s="478"/>
      <c r="C317" s="61" t="s">
        <v>299</v>
      </c>
      <c r="D317" s="61"/>
      <c r="E317" s="147"/>
      <c r="F317" s="256" t="str">
        <f>IF(E317="","",IF('Quantification Tool'!$B$20="Herbaceous","",IF(E317="","",IF('Quantification Tool'!$B$10="Mountains",(IF(E317&gt;=90,1,ROUND('Performance Standards'!$S$191*E317^3+'Performance Standards'!$S$192*E317^2+'Performance Standards'!$S$193*E317+'Performance Standards'!$S$194,2))),IF('Quantification Tool'!$B$10="Basin",(IF(E317&gt;=90,1,ROUND('Performance Standards'!$T$191*E317^3+'Performance Standards'!$T$192*E317^2+'Performance Standards'!$T$193*E317+'Performance Standards'!$T$194,2))),(IF('Quantification Tool'!$B$10="Plains",(IF(E317&gt;=75,1,ROUND('Performance Standards'!$U$191*E317^3+'Performance Standards'!$U$192*E317^2+'Performance Standards'!$U$193*E317+'Performance Standards'!$U$194,2))))))))))</f>
        <v/>
      </c>
      <c r="G317" s="467"/>
      <c r="H317" s="531"/>
      <c r="I317" s="460"/>
      <c r="J317" s="460"/>
      <c r="K317" s="460"/>
    </row>
    <row r="318" spans="1:11" ht="15.5" x14ac:dyDescent="0.35">
      <c r="A318" s="478"/>
      <c r="B318" s="478"/>
      <c r="C318" s="61" t="s">
        <v>300</v>
      </c>
      <c r="D318" s="61"/>
      <c r="E318" s="147"/>
      <c r="F318" s="256" t="str">
        <f>IF(E318="","",IF('Quantification Tool'!$B$20="Herbaceous","",IF(E318="","",IF('Quantification Tool'!$B$10="Mountains",(IF(E318&gt;=90,1,ROUND('Performance Standards'!$S$191*E318^3+'Performance Standards'!$S$192*E318^2+'Performance Standards'!$S$193*E318+'Performance Standards'!$S$194,2))),IF('Quantification Tool'!$B$10="Basin",(IF(E318&gt;=90,1,ROUND('Performance Standards'!$T$191*E318^3+'Performance Standards'!$T$192*E318^2+'Performance Standards'!$T$193*E318+'Performance Standards'!$T$194,2))),(IF('Quantification Tool'!$B$10="Plains",(IF(E318&gt;=75,1,ROUND('Performance Standards'!$U$191*E318^3+'Performance Standards'!$U$192*E318^2+'Performance Standards'!$U$193*E318+'Performance Standards'!$U$194,2))))))))))</f>
        <v/>
      </c>
      <c r="G318" s="467"/>
      <c r="H318" s="531"/>
      <c r="I318" s="460"/>
      <c r="J318" s="460"/>
      <c r="K318" s="460"/>
    </row>
    <row r="319" spans="1:11" ht="15.5" x14ac:dyDescent="0.35">
      <c r="A319" s="478"/>
      <c r="B319" s="478"/>
      <c r="C319" s="61" t="s">
        <v>301</v>
      </c>
      <c r="D319" s="61"/>
      <c r="E319" s="147"/>
      <c r="F319" s="256" t="str">
        <f>IF(E319="","",IF('Quantification Tool'!$B$20="Herbaceous",IF(E319&lt;30,0,IF(E319&gt;=100,1,ROUND(E319^2*'Performance Standards'!$S$225+E319*'Performance Standards'!$S$226+'Performance Standards'!$S$227,2))),IF('Quantification Tool'!$B$22="Colluvial/V-Shaped",IF(E319&gt;=100,0,IF(AND(E319&gt;=0,E319&lt;=15),ROUND(E319*'Performance Standards'!$S$259+'Performance Standards'!$S$260,2),IF(AND(E319&gt;=15,E319&lt;=55),ROUND(E319*'Performance Standards'!$T$259+'Performance Standards'!$T$260,2),IF(AND(E319&gt;=56,E319&lt;=100),ROUND(E319^2*'Performance Standards'!$U$259+E319*'Performance Standards'!$U$260+'Performance Standards'!$U$261,2))))),IF(OR(E319&gt;=100,E319&lt;=0),0,IF(AND(E319&gt;0,E319&lt;=70),ROUND(E319^2*'Performance Standards'!$S$292+E319*'Performance Standards'!$S$293+'Performance Standards'!$S$294,2),IF(AND(E319&gt;70,E319&lt;100),ROUND(E319^2*'Performance Standards'!$T$292+E319*'Performance Standards'!$T$293+'Performance Standards'!$T$294,2)))))))</f>
        <v/>
      </c>
      <c r="G319" s="467"/>
      <c r="H319" s="531"/>
      <c r="I319" s="460"/>
      <c r="J319" s="460"/>
      <c r="K319" s="460"/>
    </row>
    <row r="320" spans="1:11" ht="15.5" x14ac:dyDescent="0.35">
      <c r="A320" s="478"/>
      <c r="B320" s="478"/>
      <c r="C320" s="61" t="s">
        <v>302</v>
      </c>
      <c r="D320" s="61"/>
      <c r="E320" s="147"/>
      <c r="F320" s="256" t="str">
        <f>IF(E320="","",IF('Quantification Tool'!$B$20="Herbaceous",IF(E320&lt;30,0,IF(E320&gt;=100,1,ROUND(E320^2*'Performance Standards'!$S$225+E320*'Performance Standards'!$S$226+'Performance Standards'!$S$227,2))),IF('Quantification Tool'!$B$22="Colluvial/V-Shaped",IF(E320&gt;=100,0,IF(AND(E320&gt;=0,E320&lt;=15),ROUND(E320*'Performance Standards'!$S$259+'Performance Standards'!$S$260,2),IF(AND(E320&gt;=15,E320&lt;=55),ROUND(E320*'Performance Standards'!$T$259+'Performance Standards'!$T$260,2),IF(AND(E320&gt;=56,E320&lt;=100),ROUND(E320^2*'Performance Standards'!$U$259+E320*'Performance Standards'!$U$260+'Performance Standards'!$U$261,2))))),IF(OR(E320&gt;=100,E320&lt;=0),0,IF(AND(E320&gt;0,E320&lt;=70),ROUND(E320^2*'Performance Standards'!$S$292+E320*'Performance Standards'!$S$293+'Performance Standards'!$S$294,2),IF(AND(E320&gt;70,E320&lt;100),ROUND(E320^2*'Performance Standards'!$T$292+E320*'Performance Standards'!$T$293+'Performance Standards'!$T$294,2)))))))</f>
        <v/>
      </c>
      <c r="G320" s="467"/>
      <c r="H320" s="531"/>
      <c r="I320" s="460"/>
      <c r="J320" s="460"/>
      <c r="K320" s="460"/>
    </row>
    <row r="321" spans="1:13" ht="15.5" x14ac:dyDescent="0.35">
      <c r="A321" s="478"/>
      <c r="B321" s="478"/>
      <c r="C321" s="61" t="s">
        <v>304</v>
      </c>
      <c r="D321" s="61"/>
      <c r="E321" s="147"/>
      <c r="F321" s="256" t="str">
        <f>IF(E321="","",ROUND(IF(E321&gt;=100,0,E321^2*'Performance Standards'!$S$324+E321*'Performance Standards'!$S$325+'Performance Standards'!$S$326),2))</f>
        <v/>
      </c>
      <c r="G321" s="467"/>
      <c r="H321" s="531"/>
      <c r="I321" s="460"/>
      <c r="J321" s="460"/>
      <c r="K321" s="460"/>
    </row>
    <row r="322" spans="1:13" ht="15.5" x14ac:dyDescent="0.35">
      <c r="A322" s="478"/>
      <c r="B322" s="478"/>
      <c r="C322" s="61" t="s">
        <v>305</v>
      </c>
      <c r="D322" s="61"/>
      <c r="E322" s="147"/>
      <c r="F322" s="256" t="str">
        <f>IF(E322="","",ROUND(IF(E322&gt;=100,0,E322^2*'Performance Standards'!$S$324+E322*'Performance Standards'!$S$325+'Performance Standards'!$S$326),2))</f>
        <v/>
      </c>
      <c r="G322" s="467"/>
      <c r="H322" s="531"/>
      <c r="I322" s="460"/>
      <c r="J322" s="460"/>
      <c r="K322" s="460"/>
    </row>
    <row r="323" spans="1:13" ht="15.5" x14ac:dyDescent="0.35">
      <c r="A323" s="478"/>
      <c r="B323" s="478"/>
      <c r="C323" s="61" t="s">
        <v>307</v>
      </c>
      <c r="D323" s="61"/>
      <c r="E323" s="147"/>
      <c r="F323" s="256" t="str">
        <f>IF(E323="","",ROUND(IF(E323&gt;=100,1,E323^3*'Performance Standards'!$S$357+E323^2*'Performance Standards'!$S$358+E323*'Performance Standards'!$S$359+$S$139),2))</f>
        <v/>
      </c>
      <c r="G323" s="467"/>
      <c r="H323" s="531"/>
      <c r="I323" s="460"/>
      <c r="J323" s="460"/>
      <c r="K323" s="460"/>
    </row>
    <row r="324" spans="1:13" ht="15.5" x14ac:dyDescent="0.35">
      <c r="A324" s="478"/>
      <c r="B324" s="478"/>
      <c r="C324" s="61" t="s">
        <v>308</v>
      </c>
      <c r="D324" s="61"/>
      <c r="E324" s="147"/>
      <c r="F324" s="256" t="str">
        <f>IF(E324="","",ROUND(IF(E324&gt;=100,1,E324^3*'Performance Standards'!$S$357+E324^2*'Performance Standards'!$S$358+E324*'Performance Standards'!$S$359+$S$139),2))</f>
        <v/>
      </c>
      <c r="G324" s="467"/>
      <c r="H324" s="531"/>
      <c r="I324" s="460"/>
      <c r="J324" s="460"/>
      <c r="K324" s="460"/>
    </row>
    <row r="325" spans="1:13" ht="15.5" x14ac:dyDescent="0.35">
      <c r="A325" s="478"/>
      <c r="B325" s="478"/>
      <c r="C325" s="61" t="s">
        <v>158</v>
      </c>
      <c r="D325" s="61"/>
      <c r="E325" s="159"/>
      <c r="F325" s="192" t="str">
        <f>IF(E325="","",IF(OR(E325&gt;=50,E325&lt;=0),0,IF(AND(E325&gt;=25,E325&lt;=36),1,ROUND(IF(E325&lt;25,'Performance Standards'!$S$394*E325^3+'Performance Standards'!$S$395*E325^2+'Performance Standards'!$S$396*E325+'Performance Standards'!$S$397,'Performance Standards'!$T$394*E325^3+'Performance Standards'!$T$395*E325^2+'Performance Standards'!$T$396*E325+'Performance Standards'!$T$397),2))))</f>
        <v/>
      </c>
      <c r="G325" s="467"/>
      <c r="H325" s="531"/>
      <c r="I325" s="460"/>
      <c r="J325" s="460"/>
      <c r="K325" s="460"/>
    </row>
    <row r="326" spans="1:13" ht="15.5" x14ac:dyDescent="0.35">
      <c r="A326" s="478"/>
      <c r="B326" s="478"/>
      <c r="C326" s="61" t="s">
        <v>159</v>
      </c>
      <c r="D326" s="61"/>
      <c r="E326" s="147"/>
      <c r="F326" s="192" t="str">
        <f>IF(E326="","",IF(OR(E326&gt;=50,E326&lt;=0),0,IF(AND(E326&gt;=25,E326&lt;=36),1,ROUND(IF(E326&lt;25,'Performance Standards'!$S$394*E326^3+'Performance Standards'!$S$395*E326^2+'Performance Standards'!$S$396*E326+'Performance Standards'!$S$397,'Performance Standards'!$T$394*E326^3+'Performance Standards'!$T$395*E326^2+'Performance Standards'!$T$396*E326+'Performance Standards'!$T$397),2))))</f>
        <v/>
      </c>
      <c r="G326" s="467"/>
      <c r="H326" s="531"/>
      <c r="I326" s="460"/>
      <c r="J326" s="460"/>
      <c r="K326" s="460"/>
      <c r="M326" s="7"/>
    </row>
    <row r="327" spans="1:13" ht="15.5" x14ac:dyDescent="0.35">
      <c r="A327" s="478"/>
      <c r="B327" s="479"/>
      <c r="C327" s="61" t="s">
        <v>298</v>
      </c>
      <c r="D327" s="68"/>
      <c r="E327" s="148"/>
      <c r="F327" s="256" t="str">
        <f>IF(E327="","",ROUND(IF(E327&lt;=2,0,IF(E327&gt;=9,1,E327^3*'Performance Standards'!S$430+E327^2*'Performance Standards'!$S$431+E327*'Performance Standards'!$S$432+'Performance Standards'!$S$433)),2))</f>
        <v/>
      </c>
      <c r="G327" s="468"/>
      <c r="H327" s="531"/>
      <c r="I327" s="460"/>
      <c r="J327" s="460"/>
      <c r="K327" s="460"/>
    </row>
    <row r="328" spans="1:13" ht="15.5" x14ac:dyDescent="0.35">
      <c r="A328" s="478"/>
      <c r="B328" s="59" t="s">
        <v>121</v>
      </c>
      <c r="C328" s="74" t="s">
        <v>160</v>
      </c>
      <c r="D328" s="61"/>
      <c r="E328" s="43"/>
      <c r="F328" s="191" t="str">
        <f>IF(E328="","",IF('Quantification Tool'!$B$13="Sand","NA",IF(E328&gt;0.1,1,IF(E328&lt;=0.01,0,ROUND(E328*'Performance Standards'!$S$464+'Performance Standards'!$S$465,2)))))</f>
        <v/>
      </c>
      <c r="G328" s="83" t="str">
        <f>IFERROR(AVERAGE(F328),"")</f>
        <v/>
      </c>
      <c r="H328" s="531"/>
      <c r="I328" s="460"/>
      <c r="J328" s="460"/>
      <c r="K328" s="460"/>
    </row>
    <row r="329" spans="1:13" ht="15.5" x14ac:dyDescent="0.35">
      <c r="A329" s="478"/>
      <c r="B329" s="477" t="s">
        <v>49</v>
      </c>
      <c r="C329" s="67" t="s">
        <v>50</v>
      </c>
      <c r="D329" s="67"/>
      <c r="E329" s="160"/>
      <c r="F329" s="161" t="str">
        <f>IF(E329="","",IF('Quantification Tool'!$B$9="Bc",IF(OR(E329&gt;9.2,E329&lt;=0.1),0,IF(E329&lt;=4,1,ROUND('Performance Standards'!$S$598*E329^2+'Performance Standards'!$S$599*E329+'Performance Standards'!$S$600,2))),IF(OR('Quantification Tool'!$B$9="B",'Quantification Tool'!$B$9="Ba"),IF(OR(E329&gt;7.5,E329&lt;=0.1),0,IF(E329&lt;=3,1,ROUND(IF(E329&gt;4,'Performance Standards'!$S$567*E329+'Performance Standards'!$S$568,'Performance Standards'!$T$567*E329+'Performance Standards'!$T$568),2))),IF('Quantification Tool'!$B$9="Cb",IF(OR(E329&gt;=7.6,E329&lt;=2.4),0,IF(AND(E329&gt;=3.7,E329&lt;=5),1,ROUND(IF(E329&lt;4,'Performance Standards'!$S$534*E329^2+'Performance Standards'!$S$535*E329+'Performance Standards'!$S$536,'Performance Standards'!$T$534*E329^2+'Performance Standards'!$T$535*E329+'Performance Standards'!$T$536),2))),IF('Quantification Tool'!$B$9="C",IF(OR(E329&gt;9.3,E329&lt;=3),0,IF(AND(E329&gt;=4,E329&lt;=6),1,ROUND(IF(E329&lt;4,'Performance Standards'!$S$500*E329+'Performance Standards'!$S$501,'Performance Standards'!$T$500*E329+'Performance Standards'!$T$501),2))))))))</f>
        <v/>
      </c>
      <c r="G329" s="466" t="str">
        <f>IFERROR(AVERAGE(F329:F332),"")</f>
        <v/>
      </c>
      <c r="H329" s="531"/>
      <c r="I329" s="460"/>
      <c r="J329" s="460"/>
      <c r="K329" s="460"/>
    </row>
    <row r="330" spans="1:13" ht="15.5" x14ac:dyDescent="0.35">
      <c r="A330" s="478"/>
      <c r="B330" s="478"/>
      <c r="C330" s="61" t="s">
        <v>51</v>
      </c>
      <c r="D330" s="61"/>
      <c r="E330" s="159"/>
      <c r="F330" s="85" t="str">
        <f>IF(E330="","",IF(E330&lt;=1.1,0,IF(E330&gt;=2.5,1,ROUND(IF(E330&lt;1.2,'Performance Standards'!$S$632*E330+'Performance Standards'!$S$633,'Performance Standards'!$T$631*E330^2+'Performance Standards'!$T$632*E330+'Performance Standards'!$T$633),2))))</f>
        <v/>
      </c>
      <c r="G330" s="467"/>
      <c r="H330" s="531"/>
      <c r="I330" s="460"/>
      <c r="J330" s="460"/>
      <c r="K330" s="460"/>
    </row>
    <row r="331" spans="1:13" ht="15.5" x14ac:dyDescent="0.35">
      <c r="A331" s="478"/>
      <c r="B331" s="478"/>
      <c r="C331" s="61" t="s">
        <v>52</v>
      </c>
      <c r="D331" s="61"/>
      <c r="E331" s="159"/>
      <c r="F331" s="245" t="str">
        <f>IF(E331="","",IF('Quantification Tool'!$B$11="Volcanic Mountains &amp; Valleys", IF(OR(E331&gt;95,E331&lt;58),0,IF(AND(E331&gt;=73,E331&lt;=80),1, ROUND(IF(E331&lt;73,'Performance Standards'!$S$665*E331^2+'Performance Standards'!$S$666*E331+'Performance Standards'!$S$667, 'Performance Standards'!$T$665*E331^2+'Performance Standards'!$T$666*E331+'Performance Standards'!$T$667),2))), IF('Quantification Tool'!$B$16="","Need Slope",IF('Quantification Tool'!$B$16&lt;3,IF( OR(E331&gt;73,E331&lt;37),0, IF(AND(E331&gt;=50,E331&lt;= 60), 1, ROUND(IF(E331&lt;50,'Performance Standards'!$S$699*E331^2+'Performance Standards'!$S$700*E331+'Performance Standards'!$S$701, IF(E331&gt;60,'Performance Standards'!$T$699*E331^2+'Performance Standards'!$T$700*E331+'Performance Standards'!$T$701)),2))), IF('Quantification Tool'!$B$16&gt;=3,IF(OR(E331&gt;88,E331&lt;57),0, IF(AND(E331 &gt;=70, E331&lt;=76),1, ROUND(IF(E331&lt;70,'Performance Standards'!$S$734*E331^2+'Performance Standards'!$S$735*E331+'Performance Standards'!$S$736,'Performance Standards'!$T$734*E331^2+'Performance Standards'!$T$735*E331+'Performance Standards'!$T$736),2) )))))))</f>
        <v/>
      </c>
      <c r="G331" s="467"/>
      <c r="H331" s="531"/>
      <c r="I331" s="460"/>
      <c r="J331" s="460"/>
      <c r="K331" s="460"/>
    </row>
    <row r="332" spans="1:13" ht="15.5" x14ac:dyDescent="0.35">
      <c r="A332" s="478"/>
      <c r="B332" s="479"/>
      <c r="C332" s="66" t="s">
        <v>248</v>
      </c>
      <c r="D332" s="68"/>
      <c r="E332" s="154"/>
      <c r="F332" s="248" t="str">
        <f>IF(E332="","",IF(E332&gt;=1.6,0,IF(E332&lt;=1,1,ROUND('Performance Standards'!$S$766*E332^3+'Performance Standards'!$S$767*E332^2+'Performance Standards'!$S$768*E332+'Performance Standards'!$S$769,2))))</f>
        <v/>
      </c>
      <c r="G332" s="468"/>
      <c r="H332" s="531"/>
      <c r="I332" s="460"/>
      <c r="J332" s="460"/>
      <c r="K332" s="460"/>
      <c r="L332" s="2"/>
    </row>
    <row r="333" spans="1:13" ht="15.5" x14ac:dyDescent="0.35">
      <c r="A333" s="479"/>
      <c r="B333" s="424" t="s">
        <v>54</v>
      </c>
      <c r="C333" s="68" t="s">
        <v>53</v>
      </c>
      <c r="D333" s="68"/>
      <c r="E333" s="148"/>
      <c r="F333" s="70" t="str">
        <f>IF(E333="","",IF('Quantification Tool'!$B$9="E",IF(OR(E333&gt;2,E333&lt;1.2),0, IF(AND(E333&gt;=1.6, E333&lt;=1.7),1, ROUND(IF(E333&lt;1.3,E333*'Performance Standards'!S$803+'Performance Standards'!S$804,IF(E333&lt;=1.6,E333*'Performance Standards'!T$803+'Performance Standards'!T$804, E333^2*'Performance Standards'!U$802+E333*'Performance Standards'!U$803+'Performance Standards'!$U$804)),2))),IF(LEFT('Quantification Tool'!$B$9,1)="C",IF(OR(E333&lt;1.15, E333&gt;1.5),0, IF(AND(E333&lt;=1.35,E333&gt;=1.25),1,ROUND(IF(E333&lt;1.25,E333^2*'Performance Standards'!$S$836+E333*'Performance Standards'!$S$837+'Performance Standards'!$S$838, E333^2*'Performance Standards'!$T$836+E333*'Performance Standards'!$T$837+'Performance Standards'!$T$838),2))),IF(LEFT('Quantification Tool'!$B$9,1)="B",IF(OR(E333&gt;1.4,E333&lt;1),0, IF(AND(E333&gt;=1.15,E333&lt;=1.25),1, ROUND(IF(E333&lt;=1.15,E333^2*'Performance Standards'!$S$867+E333*'Performance Standards'!$S$868+'Performance Standards'!$S$869,E333^2*'Performance Standards'!$T$867+E333*'Performance Standards'!$T$868+'Performance Standards'!$T$869),2)))))))</f>
        <v/>
      </c>
      <c r="G333" s="85" t="str">
        <f>IFERROR(AVERAGE(F333),"")</f>
        <v/>
      </c>
      <c r="H333" s="531"/>
      <c r="I333" s="460"/>
      <c r="J333" s="460"/>
      <c r="K333" s="460"/>
      <c r="L333" s="2"/>
    </row>
    <row r="334" spans="1:13" ht="15.5" x14ac:dyDescent="0.35">
      <c r="A334" s="453" t="s">
        <v>58</v>
      </c>
      <c r="B334" s="453" t="s">
        <v>93</v>
      </c>
      <c r="C334" s="182" t="s">
        <v>272</v>
      </c>
      <c r="D334" s="71"/>
      <c r="E334" s="147"/>
      <c r="F334" s="178" t="str">
        <f>IF(E334="","",IF('Quantification Tool'!$B$18="","Enter Stream Temperature",IF('Quantification Tool'!$B$18="Tier I (Cold) ",IF(E334&gt;=24.6,0,IF(E334&lt;=15.5,1,ROUND(E334*'Performance Standards'!$AB$19+'Performance Standards'!$AB$20,2))),IF('Quantification Tool'!$B$18="Tier II (Cold-Cool)",IF(E334&gt;=27.8,0,IF(E334&lt;=15.6,1,ROUND(E334*'Performance Standards'!$AC$19+'Performance Standards'!$AC$20,2))),IF('Quantification Tool'!$B$18="Tier III (Cool) ",IF(E334&gt;=32.4,0,IF(E334&lt;=17.8,1,ROUND(E334*'Performance Standards'!$AD$19+'Performance Standards'!$AD$20,2))),IF('Quantification Tool'!$B$18="Tier IV (Cool-Warm)",IF(E334&gt;=34.6,0,IF(E334&lt;=20,1,ROUND(E334*'Performance Standards'!$AE$19+'Performance Standards'!$AE$20,2))),IF('Quantification Tool'!$B$18="Tier V (Warm)",IF(E334&gt;35.4,0,IF(E334&lt;=24.6,1,ROUND(E334*'Performance Standards'!$AF$19+'Performance Standards'!$AF$20,2))))))))))</f>
        <v/>
      </c>
      <c r="G334" s="455" t="str">
        <f>IFERROR(IF(E334="",F335,IF(E335="",F334,MIN(F334:F335))),"")</f>
        <v/>
      </c>
      <c r="H334" s="455" t="str">
        <f>IFERROR(ROUND(AVERAGE(G334:G336),2),"")</f>
        <v/>
      </c>
      <c r="I334" s="459" t="str">
        <f>IF(H334="","",IF(H334&gt;0.69,"Functioning",IF(H334&gt;0.29,"Functioning At Risk",IF(H334&gt;-1,"Not Functioning"))))</f>
        <v/>
      </c>
      <c r="J334" s="460"/>
      <c r="K334" s="460"/>
      <c r="L334" s="7"/>
    </row>
    <row r="335" spans="1:13" ht="15.5" x14ac:dyDescent="0.35">
      <c r="A335" s="469"/>
      <c r="B335" s="454"/>
      <c r="C335" s="183" t="s">
        <v>273</v>
      </c>
      <c r="D335" s="71"/>
      <c r="E335" s="147"/>
      <c r="F335" s="179" t="str">
        <f>IF(E335="","",IF('Quantification Tool'!$B$18="","Enter Stream Temperature",IF('Quantification Tool'!$B$18="Tier I (Cold) ",IF(E335&gt;=19.3,0,IF(E335&lt;=15.5,1,ROUND(E335*'Performance Standards'!$AB$55+'Performance Standards'!$AB$56,2))),IF('Quantification Tool'!$B$18="Tier II (Cold-Cool)",IF(E335&gt;=21,0,IF(E335&lt;=15.6,1,ROUND(E335*'Performance Standards'!$AC$55+'Performance Standards'!$AC$56,2))),IF('Quantification Tool'!$B$18="Tier III (Cool) ",IF(E335&gt;=24,0,IF(E335&lt;=17.8,1,ROUND(E335*'Performance Standards'!$AD$55+'Performance Standards'!$AD$56,2))),IF('Quantification Tool'!$B$18="Tier IV (Cool-Warm)",IF(E335&gt;=28.8,0,IF(E335&lt;=20,1,ROUND(E335*'Performance Standards'!$AE$55+'Performance Standards'!$AE$56,2))),IF('Quantification Tool'!$B$18="Tier V (Warm)",IF(E335&gt;=31,0,IF(E335&lt;=24.5,1,ROUND(E335*'Performance Standards'!$AF$55+'Performance Standards'!$AF$56,2))))))))))</f>
        <v/>
      </c>
      <c r="G335" s="456"/>
      <c r="H335" s="535"/>
      <c r="I335" s="459"/>
      <c r="J335" s="460"/>
      <c r="K335" s="460"/>
      <c r="L335" s="7"/>
    </row>
    <row r="336" spans="1:13" ht="15.5" x14ac:dyDescent="0.35">
      <c r="A336" s="454"/>
      <c r="B336" s="243" t="s">
        <v>297</v>
      </c>
      <c r="C336" s="75" t="s">
        <v>238</v>
      </c>
      <c r="D336" s="72"/>
      <c r="E336" s="43"/>
      <c r="F336" s="163" t="str">
        <f>IF(E336="","",IF(OR('Quantification Tool'!$B$10="Basin",'Quantification Tool'!$B$10="Plains"),IF(E336&gt;=150,0,IF(E336&lt;21,1,ROUND('Performance Standards'!$AB$87*LN(E336)+'Performance Standards'!$AB$88,2))),IF(E336&gt;=97,0,IF(E336&lt;=13,1,ROUND('Performance Standards'!$AB$120*LN(E336)+'Performance Standards'!$AB$121,2)))))</f>
        <v/>
      </c>
      <c r="G336" s="87" t="str">
        <f>IFERROR(AVERAGE(F336),"")</f>
        <v/>
      </c>
      <c r="H336" s="456"/>
      <c r="I336" s="459"/>
      <c r="J336" s="460"/>
      <c r="K336" s="460"/>
      <c r="L336" s="7"/>
    </row>
    <row r="337" spans="1:12" ht="15.5" x14ac:dyDescent="0.35">
      <c r="A337" s="482" t="s">
        <v>59</v>
      </c>
      <c r="B337" s="457" t="s">
        <v>73</v>
      </c>
      <c r="C337" s="112" t="s">
        <v>217</v>
      </c>
      <c r="D337" s="113"/>
      <c r="E337" s="115"/>
      <c r="F337" s="153" t="str">
        <f>IF(E337="","",IF('Quantification Tool'!$B$11="","Enter Bioregion",IF('Quantification Tool'!$B$11="Wyoming Basin",IF(E337&lt;0.26,0,IF(E337&gt;0.94,1,ROUND('Performance Standards'!$AK$18*E337+'Performance Standards'!$AK$19,2))), IF('Quantification Tool'!$B$11="Black Hills",IF(E337&lt;0.2,0,IF(E337&gt;0.98,1,ROUND('Performance Standards'!$AL$18*E337+'Performance Standards'!$AL$19,2))), IF('Quantification Tool'!$B$11="High Valleys",IF(E337&lt;0.23,0,IF(E337&gt;0.95,1,ROUND('Performance Standards'!$AM$18*E337+'Performance Standards'!$AM$19,2))), IF('Quantification Tool'!$B$11="Sedimentary Mountains",IF(E337&lt;=0.23,0,IF(E337&gt;=1,1,ROUND('Performance Standards'!$AN$18*E337+'Performance Standards'!$AN$19,2))), IF('Quantification Tool'!$B$11="Southern Rockies",IF(E337&lt;0.07,0,IF(E337&gt;0.96,1,ROUND('Performance Standards'!$AK$54*E337+'Performance Standards'!$AK$55,2))), IF('Quantification Tool'!$B$11="SE Plains",IF(E337&lt;0.2,0,IF(E337&gt;0.95,1,ROUND('Performance Standards'!$AL$54*E337+'Performance Standards'!$AL$55,2))), IF('Quantification Tool'!$B$11="NE Plains",IF(E337&lt;0.2,0,IF(E337&gt;0.94,1,ROUND('Performance Standards'!$AM$54*E337+'Performance Standards'!$AM$55,2))),IF('Quantification Tool'!$B$11="Granitic Mountains",IF(E337&lt;0.45,0,IF(E337&gt;=1,1,ROUND('Performance Standards'!$AK$92*E337+'Performance Standards'!$AK$93,2))),IF('Quantification Tool'!$B$11="Bighorn Basin Foothills",IF(E337&lt;=0.1,0,IF(E337&gt;=1,1,ROUND('Performance Standards'!$AL$92*E337+'Performance Standards'!$AL$93,2))),IF('Quantification Tool'!$B$11="Volcanic Mountains &amp; Valleys",IF(E337&lt;0.35,0,IF(E337&gt;=1,1,ROUND('Performance Standards'!$AN$92*E337+'Performance Standards'!$AN$93,2))), IF('Quantification Tool'!$B$11="Southern Foothills &amp; Laramie Range",IF(E337&lt;0.3,0,IF(E337&gt;=1,1,ROUND('Performance Standards'!$AM$92*E337+'Performance Standards'!$AM$93,2))) )))))))))))))</f>
        <v/>
      </c>
      <c r="G337" s="473" t="str">
        <f>IFERROR(IF(AND(F337="",F338=""),"",IF(OR(F337="",F338=""),AVERAGE(F337:F338),IF(OR(F337&lt;0.3,F338&lt;0.3),IF(OR(F337&gt;=0.7,F338&gt;=0.7),MIN(0.69,AVERAGE(F337:F338)),MIN(0.29,AVERAGE(F337:F338))), IF(OR(F337&gt;=0.7,F338&gt;=0.7),IF(AVERAGE(F337:F338)&lt;0.7,0.7,AVERAGE(F337:F338)),AVERAGE(F337:F338))))),"")</f>
        <v/>
      </c>
      <c r="H337" s="485" t="str">
        <f>IFERROR(ROUND(AVERAGE(G337:G341),2),"")</f>
        <v/>
      </c>
      <c r="I337" s="459" t="str">
        <f>IF(H337="","",IF(H337&gt;0.69,"Functioning",IF(H337&gt;0.29,"Functioning At Risk",IF(H337&gt;-1,"Not Functioning"))))</f>
        <v/>
      </c>
      <c r="J337" s="460"/>
      <c r="K337" s="460"/>
      <c r="L337" s="7"/>
    </row>
    <row r="338" spans="1:12" ht="15.5" x14ac:dyDescent="0.35">
      <c r="A338" s="483"/>
      <c r="B338" s="458"/>
      <c r="C338" s="249" t="s">
        <v>218</v>
      </c>
      <c r="D338" s="250"/>
      <c r="E338" s="154"/>
      <c r="F338" s="88" t="str">
        <f>IF(E338="","",IF('Quantification Tool'!$B$11="","Enter Bioregion",IF('Quantification Tool'!$B$11="Wyoming Basin",IF(E338&lt;0.34,0,IF(E338&gt;0.96,1,ROUND('Performance Standards'!$AK$128*E338+'Performance Standards'!$AK$129,2))), IF('Quantification Tool'!$B$11="Black Hills",IF(E338&lt;0.36,0,IF(E338&gt;=1,1,ROUND('Performance Standards'!$AL$128*E338+'Performance Standards'!$AL$129,2))), IF('Quantification Tool'!$B$11="High Valleys",IF(E338&lt;0.38,0,IF(E338&gt;0.98,1,ROUND('Performance Standards'!$AM$128*E338+'Performance Standards'!$AM$129,2))), IF('Quantification Tool'!$B$11="Sedimentary Mountains",IF(E338&lt;0.36,0,IF(E338&gt;0.97,1,ROUND('Performance Standards'!$AN$128*E338+'Performance Standards'!$AN$129,2))), IF('Quantification Tool'!$B$11="Southern Rockies",IF(E338&lt;0.25,0,IF(E338&gt;=1,1,ROUND('Performance Standards'!$AK$165*E338+'Performance Standards'!$AK$166,2))), IF('Quantification Tool'!$B$11="SE Plains",IF(E338&lt;0.33,0,IF(E338&gt;0.95,1,ROUND('Performance Standards'!$AL$165*E338+'Performance Standards'!$AL$166,2))), IF('Quantification Tool'!$B$11="NE Plains",IF(E338&lt;0.35,0,IF(E338&gt;0.98,1,ROUND('Performance Standards'!$AM$165*E338+'Performance Standards'!$AM$166,2))),IF('Quantification Tool'!$B$11="Granitic Mountains",IF(E338&lt;0.5,0,IF(E338&gt;0.98,1,ROUND('Performance Standards'!$AK$202*E338+'Performance Standards'!$AK$203,2))),IF('Quantification Tool'!$B$11="Bighorn Basin Foothills",IF(E338&lt;0.48,0,IF(E338&gt;=1,1,ROUND('Performance Standards'!$AL$202*E338+'Performance Standards'!$AL$203,2))),IF('Quantification Tool'!$B$11="Volcanic Mountains &amp; Valleys",IF(E338&lt;=0.2,0,IF(E338&gt;=1,1,ROUND('Performance Standards'!$AN$202*E338+'Performance Standards'!$AN$203,2))), IF('Quantification Tool'!$B$11="Southern Foothills &amp; Laramie Range",IF(E338&lt;0.28,0,IF(E338&gt;=1,1,ROUND('Performance Standards'!$AM$202*E338+'Performance Standards'!$AM$203,2))) )))))))))))))</f>
        <v/>
      </c>
      <c r="G338" s="475"/>
      <c r="H338" s="485"/>
      <c r="I338" s="459"/>
      <c r="J338" s="460"/>
      <c r="K338" s="460"/>
      <c r="L338" s="7"/>
    </row>
    <row r="339" spans="1:12" ht="15.5" x14ac:dyDescent="0.35">
      <c r="A339" s="483"/>
      <c r="B339" s="457" t="s">
        <v>85</v>
      </c>
      <c r="C339" s="180" t="s">
        <v>264</v>
      </c>
      <c r="D339" s="113"/>
      <c r="E339" s="160"/>
      <c r="F339" s="172" t="str">
        <f>IF(E339="","",IF(E339&lt;58,0,IF(E339&gt;=100,1,ROUND(E339*'Performance Standards'!$AK$240+'Performance Standards'!$AK$241,2))))</f>
        <v/>
      </c>
      <c r="G339" s="473" t="str">
        <f>IFERROR(AVERAGE(F339:F341),"")</f>
        <v/>
      </c>
      <c r="H339" s="485"/>
      <c r="I339" s="459"/>
      <c r="J339" s="460"/>
      <c r="K339" s="460"/>
      <c r="L339" s="7"/>
    </row>
    <row r="340" spans="1:12" ht="15.5" x14ac:dyDescent="0.35">
      <c r="A340" s="483"/>
      <c r="B340" s="476"/>
      <c r="C340" s="181" t="s">
        <v>265</v>
      </c>
      <c r="D340" s="250"/>
      <c r="E340" s="159"/>
      <c r="F340" s="172" t="str">
        <f>IF(E340="","",ROUND(IF(E340&gt;=3,0,IF(E340&lt;=1,1,0.69)),2))</f>
        <v/>
      </c>
      <c r="G340" s="474"/>
      <c r="H340" s="485"/>
      <c r="I340" s="459"/>
      <c r="J340" s="460"/>
      <c r="K340" s="460"/>
      <c r="L340" s="7"/>
    </row>
    <row r="341" spans="1:12" ht="15.5" x14ac:dyDescent="0.35">
      <c r="A341" s="484"/>
      <c r="B341" s="458"/>
      <c r="C341" s="114" t="s">
        <v>266</v>
      </c>
      <c r="D341" s="73"/>
      <c r="E341" s="154"/>
      <c r="F341" s="88" t="str">
        <f>IF(E341="","",IF('Quantification Tool'!$B$21="","Enter Stream Producitvity Rating",IF('Quantification Tool'!$B$21="Blue Ribbon and non-trout",IF(E341&lt;5,0,IF(E341&gt;=40,1,ROUND(E341*'Performance Standards'!$AK$316+'Performance Standards'!$AK$317,2))),IF('Quantification Tool'!$B$21="Red Ribbon",IF(E341&lt;10,0,IF(E341&gt;=80,1,ROUND(E341*'Performance Standards'!$AL$316+'Performance Standards'!$AL$317,2))),IF('Quantification Tool'!$B$21="Yellow Ribbon",IF(E341&lt;15,0,IF(E341&gt;=119,1,ROUND(E341*'Performance Standards'!$AM$316+'Performance Standards'!$AM$317,2))),IF('Quantification Tool'!$B$21="Green Ribbon",IF(E341&lt;20,0,IF(E341&gt;=160,1,ROUND(E341*'Performance Standards'!$AN$316+'Performance Standards'!$AN$317,2)))))))))</f>
        <v/>
      </c>
      <c r="G341" s="475"/>
      <c r="H341" s="485"/>
      <c r="I341" s="459"/>
      <c r="J341" s="460"/>
      <c r="K341" s="460"/>
      <c r="L341" s="7"/>
    </row>
    <row r="342" spans="1:12" x14ac:dyDescent="0.35">
      <c r="L342" s="7"/>
    </row>
    <row r="343" spans="1:12" x14ac:dyDescent="0.35">
      <c r="L343" s="7"/>
    </row>
    <row r="344" spans="1:12" ht="21" x14ac:dyDescent="0.5">
      <c r="A344" s="134" t="s">
        <v>165</v>
      </c>
      <c r="B344" s="577"/>
      <c r="C344" s="577"/>
      <c r="D344" s="577"/>
      <c r="E344" s="577"/>
      <c r="F344" s="578"/>
      <c r="G344" s="463" t="s">
        <v>16</v>
      </c>
      <c r="H344" s="464"/>
      <c r="I344" s="464"/>
      <c r="J344" s="464"/>
      <c r="K344" s="465"/>
      <c r="L344" s="7"/>
    </row>
    <row r="345" spans="1:12" ht="15.5" x14ac:dyDescent="0.35">
      <c r="A345" s="145" t="s">
        <v>1</v>
      </c>
      <c r="B345" s="145" t="s">
        <v>2</v>
      </c>
      <c r="C345" s="461" t="s">
        <v>3</v>
      </c>
      <c r="D345" s="576"/>
      <c r="E345" s="145" t="s">
        <v>14</v>
      </c>
      <c r="F345" s="145" t="s">
        <v>15</v>
      </c>
      <c r="G345" s="145" t="s">
        <v>17</v>
      </c>
      <c r="H345" s="145" t="s">
        <v>18</v>
      </c>
      <c r="I345" s="145" t="s">
        <v>18</v>
      </c>
      <c r="J345" s="145" t="s">
        <v>19</v>
      </c>
      <c r="K345" s="50" t="s">
        <v>19</v>
      </c>
    </row>
    <row r="346" spans="1:12" ht="15.5" x14ac:dyDescent="0.35">
      <c r="A346" s="493" t="s">
        <v>63</v>
      </c>
      <c r="B346" s="244" t="s">
        <v>100</v>
      </c>
      <c r="C346" s="52" t="s">
        <v>101</v>
      </c>
      <c r="D346" s="52"/>
      <c r="E346" s="147"/>
      <c r="F346" s="251" t="str">
        <f>IF(E346="","",IF(E346="G1",0.8,IF(E346="G2",0.9,IF(E346="G3",1,IF(E346="F1",0.4,IF(E346="F2",0.5,IF(E346="F3",0.6,IF(E346="P1",0.1,IF(E346="P2",0.2,IF(E346="P3",0.3,))))))))))</f>
        <v/>
      </c>
      <c r="G346" s="84" t="str">
        <f>IFERROR(AVERAGE(F346),"")</f>
        <v/>
      </c>
      <c r="H346" s="499" t="str">
        <f>IFERROR(ROUND(AVERAGE(G346:G350),2),"")</f>
        <v/>
      </c>
      <c r="I346" s="459" t="str">
        <f>IF(H346="","",IF(H346&gt;0.69,"Functioning",IF(H346&gt;0.29,"Functioning At Risk",IF(H346&gt;-1,"Not Functioning"))))</f>
        <v/>
      </c>
      <c r="J346" s="460" t="str">
        <f>IF(AND(H346="",H351="",H353="",H377="",H380=""),"",(IF(H346="",0,H346)*0.2)+(IF(H351="",0,H351)*0.2)+(IF(H353="",0,H353)*0.3)+(IF(H377="",0,H377)*0.15)+(IF(H380="",0,H380)*0.15))</f>
        <v/>
      </c>
      <c r="K346" s="460" t="str">
        <f>IF(J346="","",IF(J346&lt;0.3, "Not Functioning",IF(OR(H346&lt;0.7,H351&lt;0.7,H353&lt;0.7,H377&lt;0.7,H380&lt;0.7),"Functioning At Risk",IF(J346&lt;0.7,"Functioning At Risk","Functioning"))))</f>
        <v/>
      </c>
    </row>
    <row r="347" spans="1:12" ht="15.5" x14ac:dyDescent="0.35">
      <c r="A347" s="494"/>
      <c r="B347" s="493" t="s">
        <v>146</v>
      </c>
      <c r="C347" s="118" t="s">
        <v>147</v>
      </c>
      <c r="D347" s="117"/>
      <c r="E347" s="115"/>
      <c r="F347" s="251" t="str">
        <f>IF(E347="","",IF('Quantification Tool'!$B$20="Forested",IF(E347&gt;71,0,IF(E347&lt;=41,1,ROUND(E347^2*'Performance Standards'!$C$16+E347*'Performance Standards'!$C$17+'Performance Standards'!$C$18,2))),IF('Quantification Tool'!$B$20="Scrub-Shrub",IF(E347&gt;59.6,0,IF(E347&lt;=35,1,ROUND(E347^2*'Performance Standards'!$D$16+E347*'Performance Standards'!$D$17+'Performance Standards'!$D$18,2))),IF('Quantification Tool'!$B$20="Herbaceous",IF(E347&gt;85,0,IF(E347&lt;=62,1,ROUND(E347^2*'Performance Standards'!$E$16+E347*'Performance Standards'!$E$17+'Performance Standards'!$E$18,2)))))))</f>
        <v/>
      </c>
      <c r="G347" s="470" t="str">
        <f>IFERROR(AVERAGE(F347:F349),"")</f>
        <v/>
      </c>
      <c r="H347" s="500"/>
      <c r="I347" s="459"/>
      <c r="J347" s="460"/>
      <c r="K347" s="460"/>
    </row>
    <row r="348" spans="1:12" ht="15.5" x14ac:dyDescent="0.35">
      <c r="A348" s="494"/>
      <c r="B348" s="494"/>
      <c r="C348" s="119" t="s">
        <v>148</v>
      </c>
      <c r="D348" s="52"/>
      <c r="E348" s="147"/>
      <c r="F348" s="252" t="str">
        <f>IF(E348="","",IF(E348&gt;3,0,IF(E348=0,1,ROUND('Performance Standards'!C$49*E348+'Performance Standards'!C$50,2))))</f>
        <v/>
      </c>
      <c r="G348" s="471"/>
      <c r="H348" s="500"/>
      <c r="I348" s="459"/>
      <c r="J348" s="460"/>
      <c r="K348" s="460"/>
    </row>
    <row r="349" spans="1:12" ht="15.5" x14ac:dyDescent="0.35">
      <c r="A349" s="494"/>
      <c r="B349" s="512"/>
      <c r="C349" s="120" t="s">
        <v>149</v>
      </c>
      <c r="D349" s="54"/>
      <c r="E349" s="148"/>
      <c r="F349" s="253" t="str">
        <f>IF(E349="","",IF('Quantification Tool'!$B$19="Sandy",IF(E349&gt;1.94,0,IF(E349&lt;1.45,1,ROUND(E349*'Performance Standards'!$C$85+'Performance Standards'!$C$86,2))),IF('Quantification Tool'!$B$19="Silty",IF(E349&gt;1.83,0,IF(E349&lt;1.21,1,ROUND(E349*'Performance Standards'!$D$85+'Performance Standards'!$D$86,2))),IF('Quantification Tool'!$B$19="Clayey",IF(E349&gt;1.74,0,IF(E349&lt;0.82,1,ROUND(E349*'Performance Standards'!$E$85+'Performance Standards'!$E$86,2)))))))</f>
        <v/>
      </c>
      <c r="G349" s="472"/>
      <c r="H349" s="500"/>
      <c r="I349" s="459"/>
      <c r="J349" s="460"/>
      <c r="K349" s="460"/>
    </row>
    <row r="350" spans="1:12" ht="15.5" x14ac:dyDescent="0.35">
      <c r="A350" s="512"/>
      <c r="B350" s="156" t="s">
        <v>170</v>
      </c>
      <c r="C350" s="513" t="s">
        <v>285</v>
      </c>
      <c r="D350" s="579"/>
      <c r="E350" s="174"/>
      <c r="F350" s="253" t="str">
        <f>IF(E350="","",IF(OR(E350&gt;=2,E350&lt;=0.6),0,IF(AND(E350&gt;=1,E350&lt;=1.1),1,ROUND(IF(E350&lt;1,'Performance Standards'!$C$121*E350^2+'Performance Standards'!$C$122*E350+'Performance Standards'!$C$123,'Performance Standards'!$D$121*E350^2+'Performance Standards'!$D$122*E350+'Performance Standards'!$D$123),2))))</f>
        <v/>
      </c>
      <c r="G350" s="247" t="str">
        <f>IFERROR(F350,"")</f>
        <v/>
      </c>
      <c r="H350" s="500"/>
      <c r="I350" s="459"/>
      <c r="J350" s="460"/>
      <c r="K350" s="460"/>
    </row>
    <row r="351" spans="1:12" ht="15.5" x14ac:dyDescent="0.35">
      <c r="A351" s="524" t="s">
        <v>6</v>
      </c>
      <c r="B351" s="524" t="s">
        <v>7</v>
      </c>
      <c r="C351" s="55" t="s">
        <v>8</v>
      </c>
      <c r="D351" s="55"/>
      <c r="E351" s="147"/>
      <c r="F351" s="254" t="str">
        <f>IF(E351="","",ROUND(IF(E351&gt;1.6,0,IF(E351&lt;=1,1,E351^2*'Performance Standards'!K$14+E351*'Performance Standards'!K$15+'Performance Standards'!K$16)),2))</f>
        <v/>
      </c>
      <c r="G351" s="526" t="str">
        <f>IFERROR(AVERAGE(F351:F352),"")</f>
        <v/>
      </c>
      <c r="H351" s="526" t="str">
        <f>IFERROR(ROUND(AVERAGE(G351:G352),2),"")</f>
        <v/>
      </c>
      <c r="I351" s="533" t="str">
        <f>IF(H351="","",IF(H351&gt;0.69,"Functioning",IF(H351&gt;0.29,"Functioning At Risk",IF(H351&gt;-1,"Not Functioning"))))</f>
        <v/>
      </c>
      <c r="J351" s="460"/>
      <c r="K351" s="460"/>
    </row>
    <row r="352" spans="1:12" ht="15.5" x14ac:dyDescent="0.35">
      <c r="A352" s="525"/>
      <c r="B352" s="525"/>
      <c r="C352" s="57" t="s">
        <v>9</v>
      </c>
      <c r="D352" s="57"/>
      <c r="E352" s="148"/>
      <c r="F352" s="255" t="str">
        <f>IF(E352="","",IF(OR('Quantification Tool'!$B$9="A",'Quantification Tool'!$B$9="Ba",'Quantification Tool'!$B$9="B", 'Quantification Tool'!$B$9="Bc"),IF(E352&lt;1.2,0,IF(E352&gt;=2.2,1,ROUND(IF(E352&lt;1.4,E352*'Performance Standards'!$K$84+'Performance Standards'!$K$85,E352*'Performance Standards'!$L$84+'Performance Standards'!$L$85),2))),IF(OR('Quantification Tool'!$B$9="C",'Quantification Tool'!$B$9="Cb",'Quantification Tool'!$B$9="E"),IF(E352&lt;2,0,IF(E352&gt;=5,1,ROUND(IF(E352&lt;2.4,E352*'Performance Standards'!$L$49+'Performance Standards'!$L$50,E352*'Performance Standards'!$K$49+'Performance Standards'!$K$50),2))))))</f>
        <v/>
      </c>
      <c r="G352" s="527"/>
      <c r="H352" s="532"/>
      <c r="I352" s="534"/>
      <c r="J352" s="460"/>
      <c r="K352" s="460"/>
    </row>
    <row r="353" spans="1:11" ht="15.5" x14ac:dyDescent="0.35">
      <c r="A353" s="477" t="s">
        <v>23</v>
      </c>
      <c r="B353" s="477" t="s">
        <v>24</v>
      </c>
      <c r="C353" s="64" t="s">
        <v>22</v>
      </c>
      <c r="D353" s="67"/>
      <c r="E353" s="115"/>
      <c r="F353" s="246" t="str">
        <f>IF(E353="","",IF(E353&gt;600,1,IF(E353&lt;300,ROUND('Performance Standards'!$S$15*(E353^2)+'Performance Standards'!$S$16*E353+'Performance Standards'!$S$17,2),ROUND('Performance Standards'!$T$16*E353+'Performance Standards'!$T$17,2))))</f>
        <v/>
      </c>
      <c r="G353" s="466" t="str">
        <f>IFERROR(AVERAGE(F353:F354),"")</f>
        <v/>
      </c>
      <c r="H353" s="531" t="str">
        <f>IFERROR(ROUND(AVERAGE(G353:G376),2),"")</f>
        <v/>
      </c>
      <c r="I353" s="460" t="str">
        <f>IF(H353="","",IF(H353&gt;0.69,"Functioning",IF(H353&gt;0.29,"Functioning At Risk",IF(H353&gt;-1,"Not Functioning"))))</f>
        <v/>
      </c>
      <c r="J353" s="460"/>
      <c r="K353" s="460"/>
    </row>
    <row r="354" spans="1:11" ht="15.5" x14ac:dyDescent="0.35">
      <c r="A354" s="478"/>
      <c r="B354" s="479"/>
      <c r="C354" s="66" t="s">
        <v>357</v>
      </c>
      <c r="D354" s="68"/>
      <c r="E354" s="148"/>
      <c r="F354" s="192" t="str">
        <f>IF(E354="","",IF(E354&lt;=0,0,IF(E354&gt;=30,1,ROUND(IF(E354&lt;=15,'Performance Standards'!$S$49*E354^2+'Performance Standards'!$S$50*E354,'Performance Standards'!$T$50*E354+'Performance Standards'!$T$51),2))))</f>
        <v/>
      </c>
      <c r="G354" s="468"/>
      <c r="H354" s="531"/>
      <c r="I354" s="460"/>
      <c r="J354" s="460"/>
      <c r="K354" s="460"/>
    </row>
    <row r="355" spans="1:11" ht="15.5" x14ac:dyDescent="0.35">
      <c r="A355" s="478"/>
      <c r="B355" s="478" t="s">
        <v>46</v>
      </c>
      <c r="C355" s="61" t="s">
        <v>91</v>
      </c>
      <c r="D355" s="61"/>
      <c r="E355" s="115"/>
      <c r="F355" s="238" t="str">
        <f>IF(E355="","",ROUND(IF(E355&gt;0.7,0,IF(E355&lt;=0.1,1,E355^3*'Performance Standards'!S$83+E355^2*'Performance Standards'!S$84+E355*'Performance Standards'!S$85+'Performance Standards'!S$86)),2))</f>
        <v/>
      </c>
      <c r="G355" s="467" t="str">
        <f>IFERROR(IF(E355="",AVERAGE(F356:F357),IF(E356="",F355,MAX(F355,AVERAGE(F356:F357)))),"")</f>
        <v/>
      </c>
      <c r="H355" s="531"/>
      <c r="I355" s="460"/>
      <c r="J355" s="460"/>
      <c r="K355" s="460"/>
    </row>
    <row r="356" spans="1:11" ht="15.5" x14ac:dyDescent="0.35">
      <c r="A356" s="478"/>
      <c r="B356" s="478"/>
      <c r="C356" s="61" t="s">
        <v>47</v>
      </c>
      <c r="D356" s="61"/>
      <c r="E356" s="147"/>
      <c r="F356" s="256" t="str">
        <f>IF(E356="","",IF(OR(E356="Ex/Ex",E356="Ex/VH"),0, IF(OR(E356="Ex/H",E356="VH/Ex",E356="VH/VH", E356="H/Ex",E356="H/VH",E356="M/Ex"),0.1,IF(OR(E356="Ex/M",E356="VH/H",E356="H/H", E356="M/VH"),0.2, IF(OR(E356="Ex/L",E356="VH/M",E356="H/M", E356="M/H",E356="L/Ex"),0.3, IF(OR(E356="Ex/VL",E356="VH/L",E356="H/L"),0.4, IF(OR(E356="VH/VL",E356="H/VL",E356="M/M", E356="L/VH"),0.5, IF(OR(E356="M/L",E356="L/H"),0.6, IF(OR(E356="M/VL",E356="L/M"),0.7, IF(OR(E356="L/L",E356="L/VL"),1))))))))))</f>
        <v/>
      </c>
      <c r="G356" s="467"/>
      <c r="H356" s="531"/>
      <c r="I356" s="460"/>
      <c r="J356" s="460"/>
      <c r="K356" s="460"/>
    </row>
    <row r="357" spans="1:11" ht="15.5" x14ac:dyDescent="0.35">
      <c r="A357" s="478"/>
      <c r="B357" s="478"/>
      <c r="C357" s="63" t="s">
        <v>102</v>
      </c>
      <c r="D357" s="63"/>
      <c r="E357" s="148"/>
      <c r="F357" s="213" t="str">
        <f>IF(E357="","",ROUND(IF(E357&gt;50,0,IF(E357&lt;5,1,IF(E357&gt;9,E357^2*'Performance Standards'!S$119+E357*'Performance Standards'!S$120+'Performance Standards'!S$121,'Performance Standards'!$T$120*E357+'Performance Standards'!$T$121))),2))</f>
        <v/>
      </c>
      <c r="G357" s="467"/>
      <c r="H357" s="531"/>
      <c r="I357" s="460"/>
      <c r="J357" s="460"/>
      <c r="K357" s="460"/>
    </row>
    <row r="358" spans="1:11" ht="15.5" x14ac:dyDescent="0.35">
      <c r="A358" s="478"/>
      <c r="B358" s="477" t="s">
        <v>48</v>
      </c>
      <c r="C358" s="67" t="s">
        <v>447</v>
      </c>
      <c r="D358" s="67"/>
      <c r="E358" s="147"/>
      <c r="F358" s="256" t="str">
        <f>IF(E358="","",IF('Quantification Tool'!$B$22="Unconfined Alluvial",IF(E358&gt;=100,1,IF(E358&lt;30,0,ROUND('Performance Standards'!$S$155*E358^2+'Performance Standards'!$S$156*E358+'Performance Standards'!$S$157,2))),IF('Quantification Tool'!$B$22="Confined Alluvial",(IF(E358&gt;=100,1,IF(E358&lt;60,0,ROUND('Performance Standards'!$T$155*E358^2+'Performance Standards'!$T$156*E358+'Performance Standards'!$T$157,2)))),IF('Quantification Tool'!$B$22="Colluvial/V-Shaped",(IF(E358&gt;=100,1,IF(E358&lt;80,0,ROUND('Performance Standards'!$U$155*E358^2+'Performance Standards'!$U$156*E358+'Performance Standards'!$U$157,2))))))))</f>
        <v/>
      </c>
      <c r="G358" s="466" t="str">
        <f>IFERROR(AVERAGE(F358:F370),"")</f>
        <v/>
      </c>
      <c r="H358" s="531"/>
      <c r="I358" s="460"/>
      <c r="J358" s="460"/>
      <c r="K358" s="460"/>
    </row>
    <row r="359" spans="1:11" ht="15.5" x14ac:dyDescent="0.35">
      <c r="A359" s="478"/>
      <c r="B359" s="478"/>
      <c r="C359" s="61" t="s">
        <v>448</v>
      </c>
      <c r="D359" s="61"/>
      <c r="E359" s="147"/>
      <c r="F359" s="256" t="str">
        <f>IF(E359="","",IF('Quantification Tool'!$B$22="Unconfined Alluvial",IF(E359&gt;=100,1,IF(E359&lt;30,0,ROUND('Performance Standards'!$S$155*E359^2+'Performance Standards'!$S$156*E359+'Performance Standards'!$S$157,2))),IF('Quantification Tool'!$B$22="Confined Alluvial",(IF(E359&gt;=100,1,IF(E359&lt;60,0,ROUND('Performance Standards'!$T$155*E359^2+'Performance Standards'!$T$156*E359+'Performance Standards'!$T$157,2)))),IF('Quantification Tool'!$B$22="Colluvial/V-Shaped",(IF(E359&gt;=100,1,IF(E359&lt;80,0,ROUND('Performance Standards'!$U$155*E359^2+'Performance Standards'!$U$156*E359+'Performance Standards'!$U$157,2))))))))</f>
        <v/>
      </c>
      <c r="G359" s="467"/>
      <c r="H359" s="531"/>
      <c r="I359" s="460"/>
      <c r="J359" s="460"/>
      <c r="K359" s="460"/>
    </row>
    <row r="360" spans="1:11" ht="15.5" x14ac:dyDescent="0.35">
      <c r="A360" s="478"/>
      <c r="B360" s="478"/>
      <c r="C360" s="61" t="s">
        <v>299</v>
      </c>
      <c r="D360" s="61"/>
      <c r="E360" s="147"/>
      <c r="F360" s="256" t="str">
        <f>IF(E360="","",IF('Quantification Tool'!$B$20="Herbaceous","",IF(E360="","",IF('Quantification Tool'!$B$10="Mountains",(IF(E360&gt;=90,1,ROUND('Performance Standards'!$S$191*E360^3+'Performance Standards'!$S$192*E360^2+'Performance Standards'!$S$193*E360+'Performance Standards'!$S$194,2))),IF('Quantification Tool'!$B$10="Basin",(IF(E360&gt;=90,1,ROUND('Performance Standards'!$T$191*E360^3+'Performance Standards'!$T$192*E360^2+'Performance Standards'!$T$193*E360+'Performance Standards'!$T$194,2))),(IF('Quantification Tool'!$B$10="Plains",(IF(E360&gt;=75,1,ROUND('Performance Standards'!$U$191*E360^3+'Performance Standards'!$U$192*E360^2+'Performance Standards'!$U$193*E360+'Performance Standards'!$U$194,2))))))))))</f>
        <v/>
      </c>
      <c r="G360" s="467"/>
      <c r="H360" s="531"/>
      <c r="I360" s="460"/>
      <c r="J360" s="460"/>
      <c r="K360" s="460"/>
    </row>
    <row r="361" spans="1:11" ht="15.5" x14ac:dyDescent="0.35">
      <c r="A361" s="478"/>
      <c r="B361" s="478"/>
      <c r="C361" s="61" t="s">
        <v>300</v>
      </c>
      <c r="D361" s="61"/>
      <c r="E361" s="147"/>
      <c r="F361" s="256" t="str">
        <f>IF(E361="","",IF('Quantification Tool'!$B$20="Herbaceous","",IF(E361="","",IF('Quantification Tool'!$B$10="Mountains",(IF(E361&gt;=90,1,ROUND('Performance Standards'!$S$191*E361^3+'Performance Standards'!$S$192*E361^2+'Performance Standards'!$S$193*E361+'Performance Standards'!$S$194,2))),IF('Quantification Tool'!$B$10="Basin",(IF(E361&gt;=90,1,ROUND('Performance Standards'!$T$191*E361^3+'Performance Standards'!$T$192*E361^2+'Performance Standards'!$T$193*E361+'Performance Standards'!$T$194,2))),(IF('Quantification Tool'!$B$10="Plains",(IF(E361&gt;=75,1,ROUND('Performance Standards'!$U$191*E361^3+'Performance Standards'!$U$192*E361^2+'Performance Standards'!$U$193*E361+'Performance Standards'!$U$194,2))))))))))</f>
        <v/>
      </c>
      <c r="G361" s="467"/>
      <c r="H361" s="531"/>
      <c r="I361" s="460"/>
      <c r="J361" s="460"/>
      <c r="K361" s="460"/>
    </row>
    <row r="362" spans="1:11" ht="15.5" x14ac:dyDescent="0.35">
      <c r="A362" s="478"/>
      <c r="B362" s="478"/>
      <c r="C362" s="61" t="s">
        <v>301</v>
      </c>
      <c r="D362" s="61"/>
      <c r="E362" s="147"/>
      <c r="F362" s="256" t="str">
        <f>IF(E362="","",IF('Quantification Tool'!$B$20="Herbaceous",IF(E362&lt;30,0,IF(E362&gt;=100,1,ROUND(E362^2*'Performance Standards'!$S$225+E362*'Performance Standards'!$S$226+'Performance Standards'!$S$227,2))),IF('Quantification Tool'!$B$22="Colluvial/V-Shaped",IF(E362&gt;=100,0,IF(AND(E362&gt;=0,E362&lt;=15),ROUND(E362*'Performance Standards'!$S$259+'Performance Standards'!$S$260,2),IF(AND(E362&gt;=15,E362&lt;=55),ROUND(E362*'Performance Standards'!$T$259+'Performance Standards'!$T$260,2),IF(AND(E362&gt;=56,E362&lt;=100),ROUND(E362^2*'Performance Standards'!$U$259+E362*'Performance Standards'!$U$260+'Performance Standards'!$U$261,2))))),IF(OR(E362&gt;=100,E362&lt;=0),0,IF(AND(E362&gt;0,E362&lt;=70),ROUND(E362^2*'Performance Standards'!$S$292+E362*'Performance Standards'!$S$293+'Performance Standards'!$S$294,2),IF(AND(E362&gt;70,E362&lt;100),ROUND(E362^2*'Performance Standards'!$T$292+E362*'Performance Standards'!$T$293+'Performance Standards'!$T$294,2)))))))</f>
        <v/>
      </c>
      <c r="G362" s="467"/>
      <c r="H362" s="531"/>
      <c r="I362" s="460"/>
      <c r="J362" s="460"/>
      <c r="K362" s="460"/>
    </row>
    <row r="363" spans="1:11" ht="15.5" x14ac:dyDescent="0.35">
      <c r="A363" s="478"/>
      <c r="B363" s="478"/>
      <c r="C363" s="61" t="s">
        <v>302</v>
      </c>
      <c r="D363" s="61"/>
      <c r="E363" s="147"/>
      <c r="F363" s="256" t="str">
        <f>IF(E363="","",IF('Quantification Tool'!$B$20="Herbaceous",IF(E363&lt;30,0,IF(E363&gt;=100,1,ROUND(E363^2*'Performance Standards'!$S$225+E363*'Performance Standards'!$S$226+'Performance Standards'!$S$227,2))),IF('Quantification Tool'!$B$22="Colluvial/V-Shaped",IF(E363&gt;=100,0,IF(AND(E363&gt;=0,E363&lt;=15),ROUND(E363*'Performance Standards'!$S$259+'Performance Standards'!$S$260,2),IF(AND(E363&gt;=15,E363&lt;=55),ROUND(E363*'Performance Standards'!$T$259+'Performance Standards'!$T$260,2),IF(AND(E363&gt;=56,E363&lt;=100),ROUND(E363^2*'Performance Standards'!$U$259+E363*'Performance Standards'!$U$260+'Performance Standards'!$U$261,2))))),IF(OR(E363&gt;=100,E363&lt;=0),0,IF(AND(E363&gt;0,E363&lt;=70),ROUND(E363^2*'Performance Standards'!$S$292+E363*'Performance Standards'!$S$293+'Performance Standards'!$S$294,2),IF(AND(E363&gt;70,E363&lt;100),ROUND(E363^2*'Performance Standards'!$T$292+E363*'Performance Standards'!$T$293+'Performance Standards'!$T$294,2)))))))</f>
        <v/>
      </c>
      <c r="G363" s="467"/>
      <c r="H363" s="531"/>
      <c r="I363" s="460"/>
      <c r="J363" s="460"/>
      <c r="K363" s="460"/>
    </row>
    <row r="364" spans="1:11" ht="15.5" x14ac:dyDescent="0.35">
      <c r="A364" s="478"/>
      <c r="B364" s="478"/>
      <c r="C364" s="61" t="s">
        <v>304</v>
      </c>
      <c r="D364" s="61"/>
      <c r="E364" s="147"/>
      <c r="F364" s="256" t="str">
        <f>IF(E364="","",ROUND(IF(E364&gt;=100,0,E364^2*'Performance Standards'!$S$324+E364*'Performance Standards'!$S$325+'Performance Standards'!$S$326),2))</f>
        <v/>
      </c>
      <c r="G364" s="467"/>
      <c r="H364" s="531"/>
      <c r="I364" s="460"/>
      <c r="J364" s="460"/>
      <c r="K364" s="460"/>
    </row>
    <row r="365" spans="1:11" ht="15.5" x14ac:dyDescent="0.35">
      <c r="A365" s="478"/>
      <c r="B365" s="478"/>
      <c r="C365" s="61" t="s">
        <v>305</v>
      </c>
      <c r="D365" s="61"/>
      <c r="E365" s="147"/>
      <c r="F365" s="256" t="str">
        <f>IF(E365="","",ROUND(IF(E365&gt;=100,0,E365^2*'Performance Standards'!$S$324+E365*'Performance Standards'!$S$325+'Performance Standards'!$S$326),2))</f>
        <v/>
      </c>
      <c r="G365" s="467"/>
      <c r="H365" s="531"/>
      <c r="I365" s="460"/>
      <c r="J365" s="460"/>
      <c r="K365" s="460"/>
    </row>
    <row r="366" spans="1:11" ht="15.5" x14ac:dyDescent="0.35">
      <c r="A366" s="478"/>
      <c r="B366" s="478"/>
      <c r="C366" s="61" t="s">
        <v>307</v>
      </c>
      <c r="D366" s="61"/>
      <c r="E366" s="147"/>
      <c r="F366" s="256" t="str">
        <f>IF(E366="","",ROUND(IF(E366&gt;=100,1,E366^3*'Performance Standards'!$S$357+E366^2*'Performance Standards'!$S$358+E366*'Performance Standards'!$S$359+$S$139),2))</f>
        <v/>
      </c>
      <c r="G366" s="467"/>
      <c r="H366" s="531"/>
      <c r="I366" s="460"/>
      <c r="J366" s="460"/>
      <c r="K366" s="460"/>
    </row>
    <row r="367" spans="1:11" ht="15.5" x14ac:dyDescent="0.35">
      <c r="A367" s="478"/>
      <c r="B367" s="478"/>
      <c r="C367" s="61" t="s">
        <v>308</v>
      </c>
      <c r="D367" s="61"/>
      <c r="E367" s="147"/>
      <c r="F367" s="256" t="str">
        <f>IF(E367="","",ROUND(IF(E367&gt;=100,1,E367^3*'Performance Standards'!$S$357+E367^2*'Performance Standards'!$S$358+E367*'Performance Standards'!$S$359+$S$139),2))</f>
        <v/>
      </c>
      <c r="G367" s="467"/>
      <c r="H367" s="531"/>
      <c r="I367" s="460"/>
      <c r="J367" s="460"/>
      <c r="K367" s="460"/>
    </row>
    <row r="368" spans="1:11" ht="15.5" x14ac:dyDescent="0.35">
      <c r="A368" s="478"/>
      <c r="B368" s="478"/>
      <c r="C368" s="61" t="s">
        <v>158</v>
      </c>
      <c r="D368" s="61"/>
      <c r="E368" s="159"/>
      <c r="F368" s="192" t="str">
        <f>IF(E368="","",IF(OR(E368&gt;=50,E368&lt;=0),0,IF(AND(E368&gt;=25,E368&lt;=36),1,ROUND(IF(E368&lt;25,'Performance Standards'!$S$394*E368^3+'Performance Standards'!$S$395*E368^2+'Performance Standards'!$S$396*E368+'Performance Standards'!$S$397,'Performance Standards'!$T$394*E368^3+'Performance Standards'!$T$395*E368^2+'Performance Standards'!$T$396*E368+'Performance Standards'!$T$397),2))))</f>
        <v/>
      </c>
      <c r="G368" s="467"/>
      <c r="H368" s="531"/>
      <c r="I368" s="460"/>
      <c r="J368" s="460"/>
      <c r="K368" s="460"/>
    </row>
    <row r="369" spans="1:13" ht="15.5" x14ac:dyDescent="0.35">
      <c r="A369" s="478"/>
      <c r="B369" s="478"/>
      <c r="C369" s="61" t="s">
        <v>159</v>
      </c>
      <c r="D369" s="61"/>
      <c r="E369" s="147"/>
      <c r="F369" s="192" t="str">
        <f>IF(E369="","",IF(OR(E369&gt;=50,E369&lt;=0),0,IF(AND(E369&gt;=25,E369&lt;=36),1,ROUND(IF(E369&lt;25,'Performance Standards'!$S$394*E369^3+'Performance Standards'!$S$395*E369^2+'Performance Standards'!$S$396*E369+'Performance Standards'!$S$397,'Performance Standards'!$T$394*E369^3+'Performance Standards'!$T$395*E369^2+'Performance Standards'!$T$396*E369+'Performance Standards'!$T$397),2))))</f>
        <v/>
      </c>
      <c r="G369" s="467"/>
      <c r="H369" s="531"/>
      <c r="I369" s="460"/>
      <c r="J369" s="460"/>
      <c r="K369" s="460"/>
      <c r="M369" s="7"/>
    </row>
    <row r="370" spans="1:13" ht="15.5" x14ac:dyDescent="0.35">
      <c r="A370" s="478"/>
      <c r="B370" s="479"/>
      <c r="C370" s="61" t="s">
        <v>298</v>
      </c>
      <c r="D370" s="68"/>
      <c r="E370" s="148"/>
      <c r="F370" s="256" t="str">
        <f>IF(E370="","",ROUND(IF(E370&lt;=2,0,IF(E370&gt;=9,1,E370^3*'Performance Standards'!S$430+E370^2*'Performance Standards'!$S$431+E370*'Performance Standards'!$S$432+'Performance Standards'!$S$433)),2))</f>
        <v/>
      </c>
      <c r="G370" s="468"/>
      <c r="H370" s="531"/>
      <c r="I370" s="460"/>
      <c r="J370" s="460"/>
      <c r="K370" s="460"/>
    </row>
    <row r="371" spans="1:13" ht="15.5" x14ac:dyDescent="0.35">
      <c r="A371" s="478"/>
      <c r="B371" s="59" t="s">
        <v>121</v>
      </c>
      <c r="C371" s="74" t="s">
        <v>160</v>
      </c>
      <c r="D371" s="61"/>
      <c r="E371" s="43"/>
      <c r="F371" s="191" t="str">
        <f>IF(E371="","",IF('Quantification Tool'!$B$13="Sand","NA",IF(E371&gt;0.1,1,IF(E371&lt;=0.01,0,ROUND(E371*'Performance Standards'!$S$464+'Performance Standards'!$S$465,2)))))</f>
        <v/>
      </c>
      <c r="G371" s="83" t="str">
        <f>IFERROR(AVERAGE(F371),"")</f>
        <v/>
      </c>
      <c r="H371" s="531"/>
      <c r="I371" s="460"/>
      <c r="J371" s="460"/>
      <c r="K371" s="460"/>
    </row>
    <row r="372" spans="1:13" ht="15.5" x14ac:dyDescent="0.35">
      <c r="A372" s="478"/>
      <c r="B372" s="477" t="s">
        <v>49</v>
      </c>
      <c r="C372" s="67" t="s">
        <v>50</v>
      </c>
      <c r="D372" s="67"/>
      <c r="E372" s="160"/>
      <c r="F372" s="161" t="str">
        <f>IF(E372="","",IF('Quantification Tool'!$B$9="Bc",IF(OR(E372&gt;9.2,E372&lt;=0.1),0,IF(E372&lt;=4,1,ROUND('Performance Standards'!$S$598*E372^2+'Performance Standards'!$S$599*E372+'Performance Standards'!$S$600,2))),IF(OR('Quantification Tool'!$B$9="B",'Quantification Tool'!$B$9="Ba"),IF(OR(E372&gt;7.5,E372&lt;=0.1),0,IF(E372&lt;=3,1,ROUND(IF(E372&gt;4,'Performance Standards'!$S$567*E372+'Performance Standards'!$S$568,'Performance Standards'!$T$567*E372+'Performance Standards'!$T$568),2))),IF('Quantification Tool'!$B$9="Cb",IF(OR(E372&gt;=7.6,E372&lt;=2.4),0,IF(AND(E372&gt;=3.7,E372&lt;=5),1,ROUND(IF(E372&lt;4,'Performance Standards'!$S$534*E372^2+'Performance Standards'!$S$535*E372+'Performance Standards'!$S$536,'Performance Standards'!$T$534*E372^2+'Performance Standards'!$T$535*E372+'Performance Standards'!$T$536),2))),IF('Quantification Tool'!$B$9="C",IF(OR(E372&gt;9.3,E372&lt;=3),0,IF(AND(E372&gt;=4,E372&lt;=6),1,ROUND(IF(E372&lt;4,'Performance Standards'!$S$500*E372+'Performance Standards'!$S$501,'Performance Standards'!$T$500*E372+'Performance Standards'!$T$501),2))))))))</f>
        <v/>
      </c>
      <c r="G372" s="466" t="str">
        <f>IFERROR(AVERAGE(F372:F375),"")</f>
        <v/>
      </c>
      <c r="H372" s="531"/>
      <c r="I372" s="460"/>
      <c r="J372" s="460"/>
      <c r="K372" s="460"/>
    </row>
    <row r="373" spans="1:13" ht="15.5" x14ac:dyDescent="0.35">
      <c r="A373" s="478"/>
      <c r="B373" s="478"/>
      <c r="C373" s="61" t="s">
        <v>51</v>
      </c>
      <c r="D373" s="61"/>
      <c r="E373" s="159"/>
      <c r="F373" s="85" t="str">
        <f>IF(E373="","",IF(E373&lt;=1.1,0,IF(E373&gt;=2.5,1,ROUND(IF(E373&lt;1.2,'Performance Standards'!$S$632*E373+'Performance Standards'!$S$633,'Performance Standards'!$T$631*E373^2+'Performance Standards'!$T$632*E373+'Performance Standards'!$T$633),2))))</f>
        <v/>
      </c>
      <c r="G373" s="467"/>
      <c r="H373" s="531"/>
      <c r="I373" s="460"/>
      <c r="J373" s="460"/>
      <c r="K373" s="460"/>
    </row>
    <row r="374" spans="1:13" ht="15.5" x14ac:dyDescent="0.35">
      <c r="A374" s="478"/>
      <c r="B374" s="478"/>
      <c r="C374" s="61" t="s">
        <v>52</v>
      </c>
      <c r="D374" s="61"/>
      <c r="E374" s="159"/>
      <c r="F374" s="245" t="str">
        <f>IF(E374="","",IF('Quantification Tool'!$B$11="Volcanic Mountains &amp; Valleys", IF(OR(E374&gt;95,E374&lt;58),0,IF(AND(E374&gt;=73,E374&lt;=80),1, ROUND(IF(E374&lt;73,'Performance Standards'!$S$665*E374^2+'Performance Standards'!$S$666*E374+'Performance Standards'!$S$667, 'Performance Standards'!$T$665*E374^2+'Performance Standards'!$T$666*E374+'Performance Standards'!$T$667),2))), IF('Quantification Tool'!$B$16="","Need Slope",IF('Quantification Tool'!$B$16&lt;3,IF( OR(E374&gt;73,E374&lt;37),0, IF(AND(E374&gt;=50,E374&lt;= 60), 1, ROUND(IF(E374&lt;50,'Performance Standards'!$S$699*E374^2+'Performance Standards'!$S$700*E374+'Performance Standards'!$S$701, IF(E374&gt;60,'Performance Standards'!$T$699*E374^2+'Performance Standards'!$T$700*E374+'Performance Standards'!$T$701)),2))), IF('Quantification Tool'!$B$16&gt;=3,IF(OR(E374&gt;88,E374&lt;57),0, IF(AND(E374 &gt;=70, E374&lt;=76),1, ROUND(IF(E374&lt;70,'Performance Standards'!$S$734*E374^2+'Performance Standards'!$S$735*E374+'Performance Standards'!$S$736,'Performance Standards'!$T$734*E374^2+'Performance Standards'!$T$735*E374+'Performance Standards'!$T$736),2) )))))))</f>
        <v/>
      </c>
      <c r="G374" s="467"/>
      <c r="H374" s="531"/>
      <c r="I374" s="460"/>
      <c r="J374" s="460"/>
      <c r="K374" s="460"/>
    </row>
    <row r="375" spans="1:13" ht="15.5" x14ac:dyDescent="0.35">
      <c r="A375" s="478"/>
      <c r="B375" s="479"/>
      <c r="C375" s="66" t="s">
        <v>248</v>
      </c>
      <c r="D375" s="68"/>
      <c r="E375" s="154"/>
      <c r="F375" s="248" t="str">
        <f>IF(E375="","",IF(E375&gt;=1.6,0,IF(E375&lt;=1,1,ROUND('Performance Standards'!$S$766*E375^3+'Performance Standards'!$S$767*E375^2+'Performance Standards'!$S$768*E375+'Performance Standards'!$S$769,2))))</f>
        <v/>
      </c>
      <c r="G375" s="468"/>
      <c r="H375" s="531"/>
      <c r="I375" s="460"/>
      <c r="J375" s="460"/>
      <c r="K375" s="460"/>
      <c r="L375" s="2"/>
    </row>
    <row r="376" spans="1:13" ht="15.5" x14ac:dyDescent="0.35">
      <c r="A376" s="479"/>
      <c r="B376" s="424" t="s">
        <v>54</v>
      </c>
      <c r="C376" s="68" t="s">
        <v>53</v>
      </c>
      <c r="D376" s="68"/>
      <c r="E376" s="148"/>
      <c r="F376" s="70" t="str">
        <f>IF(E376="","",IF('Quantification Tool'!$B$9="E",IF(OR(E376&gt;2,E376&lt;1.2),0, IF(AND(E376&gt;=1.6, E376&lt;=1.7),1, ROUND(IF(E376&lt;1.3,E376*'Performance Standards'!S$803+'Performance Standards'!S$804,IF(E376&lt;=1.6,E376*'Performance Standards'!T$803+'Performance Standards'!T$804, E376^2*'Performance Standards'!U$802+E376*'Performance Standards'!U$803+'Performance Standards'!$U$804)),2))),IF(LEFT('Quantification Tool'!$B$9,1)="C",IF(OR(E376&lt;1.15, E376&gt;1.5),0, IF(AND(E376&lt;=1.35,E376&gt;=1.25),1,ROUND(IF(E376&lt;1.25,E376^2*'Performance Standards'!$S$836+E376*'Performance Standards'!$S$837+'Performance Standards'!$S$838, E376^2*'Performance Standards'!$T$836+E376*'Performance Standards'!$T$837+'Performance Standards'!$T$838),2))),IF(LEFT('Quantification Tool'!$B$9,1)="B",IF(OR(E376&gt;1.4,E376&lt;1),0, IF(AND(E376&gt;=1.15,E376&lt;=1.25),1, ROUND(IF(E376&lt;=1.15,E376^2*'Performance Standards'!$S$867+E376*'Performance Standards'!$S$868+'Performance Standards'!$S$869,E376^2*'Performance Standards'!$T$867+E376*'Performance Standards'!$T$868+'Performance Standards'!$T$869),2)))))))</f>
        <v/>
      </c>
      <c r="G376" s="85" t="str">
        <f>IFERROR(AVERAGE(F376),"")</f>
        <v/>
      </c>
      <c r="H376" s="531"/>
      <c r="I376" s="460"/>
      <c r="J376" s="460"/>
      <c r="K376" s="460"/>
      <c r="L376" s="2"/>
    </row>
    <row r="377" spans="1:13" ht="15.5" x14ac:dyDescent="0.35">
      <c r="A377" s="453" t="s">
        <v>58</v>
      </c>
      <c r="B377" s="453" t="s">
        <v>93</v>
      </c>
      <c r="C377" s="182" t="s">
        <v>272</v>
      </c>
      <c r="D377" s="71"/>
      <c r="E377" s="147"/>
      <c r="F377" s="178" t="str">
        <f>IF(E377="","",IF('Quantification Tool'!$B$18="","Enter Stream Temperature",IF('Quantification Tool'!$B$18="Tier I (Cold) ",IF(E377&gt;=24.6,0,IF(E377&lt;=15.5,1,ROUND(E377*'Performance Standards'!$AB$19+'Performance Standards'!$AB$20,2))),IF('Quantification Tool'!$B$18="Tier II (Cold-Cool)",IF(E377&gt;=27.8,0,IF(E377&lt;=15.6,1,ROUND(E377*'Performance Standards'!$AC$19+'Performance Standards'!$AC$20,2))),IF('Quantification Tool'!$B$18="Tier III (Cool) ",IF(E377&gt;=32.4,0,IF(E377&lt;=17.8,1,ROUND(E377*'Performance Standards'!$AD$19+'Performance Standards'!$AD$20,2))),IF('Quantification Tool'!$B$18="Tier IV (Cool-Warm)",IF(E377&gt;=34.6,0,IF(E377&lt;=20,1,ROUND(E377*'Performance Standards'!$AE$19+'Performance Standards'!$AE$20,2))),IF('Quantification Tool'!$B$18="Tier V (Warm)",IF(E377&gt;35.4,0,IF(E377&lt;=24.6,1,ROUND(E377*'Performance Standards'!$AF$19+'Performance Standards'!$AF$20,2))))))))))</f>
        <v/>
      </c>
      <c r="G377" s="455" t="str">
        <f>IFERROR(IF(E377="",F378,IF(E378="",F377,MIN(F377:F378))),"")</f>
        <v/>
      </c>
      <c r="H377" s="455" t="str">
        <f>IFERROR(ROUND(AVERAGE(G377:G379),2),"")</f>
        <v/>
      </c>
      <c r="I377" s="459" t="str">
        <f>IF(H377="","",IF(H377&gt;0.69,"Functioning",IF(H377&gt;0.29,"Functioning At Risk",IF(H377&gt;-1,"Not Functioning"))))</f>
        <v/>
      </c>
      <c r="J377" s="460"/>
      <c r="K377" s="460"/>
      <c r="L377" s="7"/>
    </row>
    <row r="378" spans="1:13" ht="15.5" x14ac:dyDescent="0.35">
      <c r="A378" s="469"/>
      <c r="B378" s="454"/>
      <c r="C378" s="183" t="s">
        <v>273</v>
      </c>
      <c r="D378" s="71"/>
      <c r="E378" s="147"/>
      <c r="F378" s="179" t="str">
        <f>IF(E378="","",IF('Quantification Tool'!$B$18="","Enter Stream Temperature",IF('Quantification Tool'!$B$18="Tier I (Cold) ",IF(E378&gt;=19.3,0,IF(E378&lt;=15.5,1,ROUND(E378*'Performance Standards'!$AB$55+'Performance Standards'!$AB$56,2))),IF('Quantification Tool'!$B$18="Tier II (Cold-Cool)",IF(E378&gt;=21,0,IF(E378&lt;=15.6,1,ROUND(E378*'Performance Standards'!$AC$55+'Performance Standards'!$AC$56,2))),IF('Quantification Tool'!$B$18="Tier III (Cool) ",IF(E378&gt;=24,0,IF(E378&lt;=17.8,1,ROUND(E378*'Performance Standards'!$AD$55+'Performance Standards'!$AD$56,2))),IF('Quantification Tool'!$B$18="Tier IV (Cool-Warm)",IF(E378&gt;=28.8,0,IF(E378&lt;=20,1,ROUND(E378*'Performance Standards'!$AE$55+'Performance Standards'!$AE$56,2))),IF('Quantification Tool'!$B$18="Tier V (Warm)",IF(E378&gt;=31,0,IF(E378&lt;=24.5,1,ROUND(E378*'Performance Standards'!$AF$55+'Performance Standards'!$AF$56,2))))))))))</f>
        <v/>
      </c>
      <c r="G378" s="456"/>
      <c r="H378" s="535"/>
      <c r="I378" s="459"/>
      <c r="J378" s="460"/>
      <c r="K378" s="460"/>
      <c r="L378" s="7"/>
    </row>
    <row r="379" spans="1:13" ht="15.5" x14ac:dyDescent="0.35">
      <c r="A379" s="454"/>
      <c r="B379" s="243" t="s">
        <v>297</v>
      </c>
      <c r="C379" s="75" t="s">
        <v>238</v>
      </c>
      <c r="D379" s="72"/>
      <c r="E379" s="43"/>
      <c r="F379" s="163" t="str">
        <f>IF(E379="","",IF(OR('Quantification Tool'!$B$10="Basin",'Quantification Tool'!$B$10="Plains"),IF(E379&gt;=150,0,IF(E379&lt;21,1,ROUND('Performance Standards'!$AB$87*LN(E379)+'Performance Standards'!$AB$88,2))),IF(E379&gt;=97,0,IF(E379&lt;=13,1,ROUND('Performance Standards'!$AB$120*LN(E379)+'Performance Standards'!$AB$121,2)))))</f>
        <v/>
      </c>
      <c r="G379" s="87" t="str">
        <f>IFERROR(AVERAGE(F379),"")</f>
        <v/>
      </c>
      <c r="H379" s="456"/>
      <c r="I379" s="459"/>
      <c r="J379" s="460"/>
      <c r="K379" s="460"/>
      <c r="L379" s="7"/>
    </row>
    <row r="380" spans="1:13" ht="15.5" x14ac:dyDescent="0.35">
      <c r="A380" s="482" t="s">
        <v>59</v>
      </c>
      <c r="B380" s="457" t="s">
        <v>73</v>
      </c>
      <c r="C380" s="112" t="s">
        <v>217</v>
      </c>
      <c r="D380" s="113"/>
      <c r="E380" s="115"/>
      <c r="F380" s="153" t="str">
        <f>IF(E380="","",IF('Quantification Tool'!$B$11="","Enter Bioregion",IF('Quantification Tool'!$B$11="Wyoming Basin",IF(E380&lt;0.26,0,IF(E380&gt;0.94,1,ROUND('Performance Standards'!$AK$18*E380+'Performance Standards'!$AK$19,2))), IF('Quantification Tool'!$B$11="Black Hills",IF(E380&lt;0.2,0,IF(E380&gt;0.98,1,ROUND('Performance Standards'!$AL$18*E380+'Performance Standards'!$AL$19,2))), IF('Quantification Tool'!$B$11="High Valleys",IF(E380&lt;0.23,0,IF(E380&gt;0.95,1,ROUND('Performance Standards'!$AM$18*E380+'Performance Standards'!$AM$19,2))), IF('Quantification Tool'!$B$11="Sedimentary Mountains",IF(E380&lt;=0.23,0,IF(E380&gt;=1,1,ROUND('Performance Standards'!$AN$18*E380+'Performance Standards'!$AN$19,2))), IF('Quantification Tool'!$B$11="Southern Rockies",IF(E380&lt;0.07,0,IF(E380&gt;0.96,1,ROUND('Performance Standards'!$AK$54*E380+'Performance Standards'!$AK$55,2))), IF('Quantification Tool'!$B$11="SE Plains",IF(E380&lt;0.2,0,IF(E380&gt;0.95,1,ROUND('Performance Standards'!$AL$54*E380+'Performance Standards'!$AL$55,2))), IF('Quantification Tool'!$B$11="NE Plains",IF(E380&lt;0.2,0,IF(E380&gt;0.94,1,ROUND('Performance Standards'!$AM$54*E380+'Performance Standards'!$AM$55,2))),IF('Quantification Tool'!$B$11="Granitic Mountains",IF(E380&lt;0.45,0,IF(E380&gt;=1,1,ROUND('Performance Standards'!$AK$92*E380+'Performance Standards'!$AK$93,2))),IF('Quantification Tool'!$B$11="Bighorn Basin Foothills",IF(E380&lt;=0.1,0,IF(E380&gt;=1,1,ROUND('Performance Standards'!$AL$92*E380+'Performance Standards'!$AL$93,2))),IF('Quantification Tool'!$B$11="Volcanic Mountains &amp; Valleys",IF(E380&lt;0.35,0,IF(E380&gt;=1,1,ROUND('Performance Standards'!$AN$92*E380+'Performance Standards'!$AN$93,2))), IF('Quantification Tool'!$B$11="Southern Foothills &amp; Laramie Range",IF(E380&lt;0.3,0,IF(E380&gt;=1,1,ROUND('Performance Standards'!$AM$92*E380+'Performance Standards'!$AM$93,2))) )))))))))))))</f>
        <v/>
      </c>
      <c r="G380" s="473" t="str">
        <f>IFERROR(IF(AND(F380="",F381=""),"",IF(OR(F380="",F381=""),AVERAGE(F380:F381),IF(OR(F380&lt;0.3,F381&lt;0.3),IF(OR(F380&gt;=0.7,F381&gt;=0.7),MIN(0.69,AVERAGE(F380:F381)),MIN(0.29,AVERAGE(F380:F381))), IF(OR(F380&gt;=0.7,F381&gt;=0.7),IF(AVERAGE(F380:F381)&lt;0.7,0.7,AVERAGE(F380:F381)),AVERAGE(F380:F381))))),"")</f>
        <v/>
      </c>
      <c r="H380" s="485" t="str">
        <f>IFERROR(ROUND(AVERAGE(G380:G384),2),"")</f>
        <v/>
      </c>
      <c r="I380" s="459" t="str">
        <f>IF(H380="","",IF(H380&gt;0.69,"Functioning",IF(H380&gt;0.29,"Functioning At Risk",IF(H380&gt;-1,"Not Functioning"))))</f>
        <v/>
      </c>
      <c r="J380" s="460"/>
      <c r="K380" s="460"/>
      <c r="L380" s="7"/>
    </row>
    <row r="381" spans="1:13" ht="15.5" x14ac:dyDescent="0.35">
      <c r="A381" s="483"/>
      <c r="B381" s="458"/>
      <c r="C381" s="249" t="s">
        <v>218</v>
      </c>
      <c r="D381" s="250"/>
      <c r="E381" s="154"/>
      <c r="F381" s="88" t="str">
        <f>IF(E381="","",IF('Quantification Tool'!$B$11="","Enter Bioregion",IF('Quantification Tool'!$B$11="Wyoming Basin",IF(E381&lt;0.34,0,IF(E381&gt;0.96,1,ROUND('Performance Standards'!$AK$128*E381+'Performance Standards'!$AK$129,2))), IF('Quantification Tool'!$B$11="Black Hills",IF(E381&lt;0.36,0,IF(E381&gt;=1,1,ROUND('Performance Standards'!$AL$128*E381+'Performance Standards'!$AL$129,2))), IF('Quantification Tool'!$B$11="High Valleys",IF(E381&lt;0.38,0,IF(E381&gt;0.98,1,ROUND('Performance Standards'!$AM$128*E381+'Performance Standards'!$AM$129,2))), IF('Quantification Tool'!$B$11="Sedimentary Mountains",IF(E381&lt;0.36,0,IF(E381&gt;0.97,1,ROUND('Performance Standards'!$AN$128*E381+'Performance Standards'!$AN$129,2))), IF('Quantification Tool'!$B$11="Southern Rockies",IF(E381&lt;0.25,0,IF(E381&gt;=1,1,ROUND('Performance Standards'!$AK$165*E381+'Performance Standards'!$AK$166,2))), IF('Quantification Tool'!$B$11="SE Plains",IF(E381&lt;0.33,0,IF(E381&gt;0.95,1,ROUND('Performance Standards'!$AL$165*E381+'Performance Standards'!$AL$166,2))), IF('Quantification Tool'!$B$11="NE Plains",IF(E381&lt;0.35,0,IF(E381&gt;0.98,1,ROUND('Performance Standards'!$AM$165*E381+'Performance Standards'!$AM$166,2))),IF('Quantification Tool'!$B$11="Granitic Mountains",IF(E381&lt;0.5,0,IF(E381&gt;0.98,1,ROUND('Performance Standards'!$AK$202*E381+'Performance Standards'!$AK$203,2))),IF('Quantification Tool'!$B$11="Bighorn Basin Foothills",IF(E381&lt;0.48,0,IF(E381&gt;=1,1,ROUND('Performance Standards'!$AL$202*E381+'Performance Standards'!$AL$203,2))),IF('Quantification Tool'!$B$11="Volcanic Mountains &amp; Valleys",IF(E381&lt;=0.2,0,IF(E381&gt;=1,1,ROUND('Performance Standards'!$AN$202*E381+'Performance Standards'!$AN$203,2))), IF('Quantification Tool'!$B$11="Southern Foothills &amp; Laramie Range",IF(E381&lt;0.28,0,IF(E381&gt;=1,1,ROUND('Performance Standards'!$AM$202*E381+'Performance Standards'!$AM$203,2))) )))))))))))))</f>
        <v/>
      </c>
      <c r="G381" s="475"/>
      <c r="H381" s="485"/>
      <c r="I381" s="459"/>
      <c r="J381" s="460"/>
      <c r="K381" s="460"/>
      <c r="L381" s="7"/>
    </row>
    <row r="382" spans="1:13" ht="15.5" x14ac:dyDescent="0.35">
      <c r="A382" s="483"/>
      <c r="B382" s="457" t="s">
        <v>85</v>
      </c>
      <c r="C382" s="180" t="s">
        <v>264</v>
      </c>
      <c r="D382" s="113"/>
      <c r="E382" s="160"/>
      <c r="F382" s="172" t="str">
        <f>IF(E382="","",IF(E382&lt;58,0,IF(E382&gt;=100,1,ROUND(E382*'Performance Standards'!$AK$240+'Performance Standards'!$AK$241,2))))</f>
        <v/>
      </c>
      <c r="G382" s="473" t="str">
        <f>IFERROR(AVERAGE(F382:F384),"")</f>
        <v/>
      </c>
      <c r="H382" s="485"/>
      <c r="I382" s="459"/>
      <c r="J382" s="460"/>
      <c r="K382" s="460"/>
      <c r="L382" s="7"/>
    </row>
    <row r="383" spans="1:13" ht="15.5" x14ac:dyDescent="0.35">
      <c r="A383" s="483"/>
      <c r="B383" s="476"/>
      <c r="C383" s="181" t="s">
        <v>265</v>
      </c>
      <c r="D383" s="250"/>
      <c r="E383" s="159"/>
      <c r="F383" s="172" t="str">
        <f>IF(E383="","",ROUND(IF(E383&gt;=3,0,IF(E383&lt;=1,1,0.69)),2))</f>
        <v/>
      </c>
      <c r="G383" s="474"/>
      <c r="H383" s="485"/>
      <c r="I383" s="459"/>
      <c r="J383" s="460"/>
      <c r="K383" s="460"/>
      <c r="L383" s="7"/>
    </row>
    <row r="384" spans="1:13" ht="15.5" x14ac:dyDescent="0.35">
      <c r="A384" s="484"/>
      <c r="B384" s="458"/>
      <c r="C384" s="114" t="s">
        <v>266</v>
      </c>
      <c r="D384" s="73"/>
      <c r="E384" s="154"/>
      <c r="F384" s="88" t="str">
        <f>IF(E384="","",IF('Quantification Tool'!$B$21="","Enter Stream Producitvity Rating",IF('Quantification Tool'!$B$21="Blue Ribbon and non-trout",IF(E384&lt;5,0,IF(E384&gt;=40,1,ROUND(E384*'Performance Standards'!$AK$316+'Performance Standards'!$AK$317,2))),IF('Quantification Tool'!$B$21="Red Ribbon",IF(E384&lt;10,0,IF(E384&gt;=80,1,ROUND(E384*'Performance Standards'!$AL$316+'Performance Standards'!$AL$317,2))),IF('Quantification Tool'!$B$21="Yellow Ribbon",IF(E384&lt;15,0,IF(E384&gt;=119,1,ROUND(E384*'Performance Standards'!$AM$316+'Performance Standards'!$AM$317,2))),IF('Quantification Tool'!$B$21="Green Ribbon",IF(E384&lt;20,0,IF(E384&gt;=160,1,ROUND(E384*'Performance Standards'!$AN$316+'Performance Standards'!$AN$317,2)))))))))</f>
        <v/>
      </c>
      <c r="G384" s="475"/>
      <c r="H384" s="485"/>
      <c r="I384" s="459"/>
      <c r="J384" s="460"/>
      <c r="K384" s="460"/>
      <c r="L384" s="7"/>
    </row>
    <row r="385" spans="1:12" x14ac:dyDescent="0.35">
      <c r="L385" s="7"/>
    </row>
    <row r="386" spans="1:12" x14ac:dyDescent="0.35">
      <c r="L386" s="7"/>
    </row>
    <row r="387" spans="1:12" ht="21" x14ac:dyDescent="0.5">
      <c r="A387" s="134" t="s">
        <v>165</v>
      </c>
      <c r="B387" s="577"/>
      <c r="C387" s="577"/>
      <c r="D387" s="577"/>
      <c r="E387" s="577"/>
      <c r="F387" s="578"/>
      <c r="G387" s="463" t="s">
        <v>16</v>
      </c>
      <c r="H387" s="464"/>
      <c r="I387" s="464"/>
      <c r="J387" s="464"/>
      <c r="K387" s="465"/>
    </row>
    <row r="388" spans="1:12" ht="16.5" customHeight="1" x14ac:dyDescent="0.35">
      <c r="A388" s="145" t="s">
        <v>1</v>
      </c>
      <c r="B388" s="145" t="s">
        <v>2</v>
      </c>
      <c r="C388" s="461" t="s">
        <v>3</v>
      </c>
      <c r="D388" s="576"/>
      <c r="E388" s="145" t="s">
        <v>14</v>
      </c>
      <c r="F388" s="145" t="s">
        <v>15</v>
      </c>
      <c r="G388" s="145" t="s">
        <v>17</v>
      </c>
      <c r="H388" s="145" t="s">
        <v>18</v>
      </c>
      <c r="I388" s="145" t="s">
        <v>18</v>
      </c>
      <c r="J388" s="145" t="s">
        <v>19</v>
      </c>
      <c r="K388" s="50" t="s">
        <v>19</v>
      </c>
    </row>
    <row r="389" spans="1:12" ht="15.75" customHeight="1" x14ac:dyDescent="0.35">
      <c r="A389" s="493" t="s">
        <v>63</v>
      </c>
      <c r="B389" s="244" t="s">
        <v>100</v>
      </c>
      <c r="C389" s="52" t="s">
        <v>101</v>
      </c>
      <c r="D389" s="52"/>
      <c r="E389" s="147"/>
      <c r="F389" s="251" t="str">
        <f>IF(E389="","",IF(E389="G1",0.8,IF(E389="G2",0.9,IF(E389="G3",1,IF(E389="F1",0.4,IF(E389="F2",0.5,IF(E389="F3",0.6,IF(E389="P1",0.1,IF(E389="P2",0.2,IF(E389="P3",0.3,))))))))))</f>
        <v/>
      </c>
      <c r="G389" s="84" t="str">
        <f>IFERROR(AVERAGE(F389),"")</f>
        <v/>
      </c>
      <c r="H389" s="499" t="str">
        <f>IFERROR(ROUND(AVERAGE(G389:G393),2),"")</f>
        <v/>
      </c>
      <c r="I389" s="459" t="str">
        <f>IF(H389="","",IF(H389&gt;0.69,"Functioning",IF(H389&gt;0.29,"Functioning At Risk",IF(H389&gt;-1,"Not Functioning"))))</f>
        <v/>
      </c>
      <c r="J389" s="460" t="str">
        <f>IF(AND(H389="",H394="",H396="",H420="",H423=""),"",(IF(H389="",0,H389)*0.2)+(IF(H394="",0,H394)*0.2)+(IF(H396="",0,H396)*0.3)+(IF(H420="",0,H420)*0.15)+(IF(H423="",0,H423)*0.15))</f>
        <v/>
      </c>
      <c r="K389" s="460" t="str">
        <f>IF(J389="","",IF(J389&lt;0.3, "Not Functioning",IF(OR(H389&lt;0.7,H394&lt;0.7,H396&lt;0.7,H420&lt;0.7,H423&lt;0.7),"Functioning At Risk",IF(J389&lt;0.7,"Functioning At Risk","Functioning"))))</f>
        <v/>
      </c>
    </row>
    <row r="390" spans="1:12" ht="15.75" customHeight="1" x14ac:dyDescent="0.35">
      <c r="A390" s="494"/>
      <c r="B390" s="493" t="s">
        <v>146</v>
      </c>
      <c r="C390" s="118" t="s">
        <v>147</v>
      </c>
      <c r="D390" s="117"/>
      <c r="E390" s="115"/>
      <c r="F390" s="251" t="str">
        <f>IF(E390="","",IF('Quantification Tool'!$B$20="Forested",IF(E390&gt;71,0,IF(E390&lt;=41,1,ROUND(E390^2*'Performance Standards'!$C$16+E390*'Performance Standards'!$C$17+'Performance Standards'!$C$18,2))),IF('Quantification Tool'!$B$20="Scrub-Shrub",IF(E390&gt;59.6,0,IF(E390&lt;=35,1,ROUND(E390^2*'Performance Standards'!$D$16+E390*'Performance Standards'!$D$17+'Performance Standards'!$D$18,2))),IF('Quantification Tool'!$B$20="Herbaceous",IF(E390&gt;85,0,IF(E390&lt;=62,1,ROUND(E390^2*'Performance Standards'!$E$16+E390*'Performance Standards'!$E$17+'Performance Standards'!$E$18,2)))))))</f>
        <v/>
      </c>
      <c r="G390" s="470" t="str">
        <f>IFERROR(AVERAGE(F390:F392),"")</f>
        <v/>
      </c>
      <c r="H390" s="500"/>
      <c r="I390" s="459"/>
      <c r="J390" s="460"/>
      <c r="K390" s="460"/>
    </row>
    <row r="391" spans="1:12" ht="15.75" customHeight="1" x14ac:dyDescent="0.35">
      <c r="A391" s="494"/>
      <c r="B391" s="494"/>
      <c r="C391" s="119" t="s">
        <v>148</v>
      </c>
      <c r="D391" s="52"/>
      <c r="E391" s="147"/>
      <c r="F391" s="252" t="str">
        <f>IF(E391="","",IF(E391&gt;3,0,IF(E391=0,1,ROUND('Performance Standards'!C$49*E391+'Performance Standards'!C$50,2))))</f>
        <v/>
      </c>
      <c r="G391" s="471"/>
      <c r="H391" s="500"/>
      <c r="I391" s="459"/>
      <c r="J391" s="460"/>
      <c r="K391" s="460"/>
    </row>
    <row r="392" spans="1:12" ht="15.75" customHeight="1" x14ac:dyDescent="0.35">
      <c r="A392" s="494"/>
      <c r="B392" s="512"/>
      <c r="C392" s="120" t="s">
        <v>149</v>
      </c>
      <c r="D392" s="54"/>
      <c r="E392" s="148"/>
      <c r="F392" s="253" t="str">
        <f>IF(E392="","",IF('Quantification Tool'!$B$19="Sandy",IF(E392&gt;1.94,0,IF(E392&lt;1.45,1,ROUND(E392*'Performance Standards'!$C$85+'Performance Standards'!$C$86,2))),IF('Quantification Tool'!$B$19="Silty",IF(E392&gt;1.83,0,IF(E392&lt;1.21,1,ROUND(E392*'Performance Standards'!$D$85+'Performance Standards'!$D$86,2))),IF('Quantification Tool'!$B$19="Clayey",IF(E392&gt;1.74,0,IF(E392&lt;0.82,1,ROUND(E392*'Performance Standards'!$E$85+'Performance Standards'!$E$86,2)))))))</f>
        <v/>
      </c>
      <c r="G392" s="472"/>
      <c r="H392" s="500"/>
      <c r="I392" s="459"/>
      <c r="J392" s="460"/>
      <c r="K392" s="460"/>
    </row>
    <row r="393" spans="1:12" ht="15" customHeight="1" x14ac:dyDescent="0.35">
      <c r="A393" s="512"/>
      <c r="B393" s="156" t="s">
        <v>170</v>
      </c>
      <c r="C393" s="513" t="s">
        <v>285</v>
      </c>
      <c r="D393" s="579"/>
      <c r="E393" s="174"/>
      <c r="F393" s="253" t="str">
        <f>IF(E393="","",IF(OR(E393&gt;=2,E393&lt;=0.6),0,IF(AND(E393&gt;=1,E393&lt;=1.1),1,ROUND(IF(E393&lt;1,'Performance Standards'!$C$121*E393^2+'Performance Standards'!$C$122*E393+'Performance Standards'!$C$123,'Performance Standards'!$D$121*E393^2+'Performance Standards'!$D$122*E393+'Performance Standards'!$D$123),2))))</f>
        <v/>
      </c>
      <c r="G393" s="247" t="str">
        <f>IFERROR(F393,"")</f>
        <v/>
      </c>
      <c r="H393" s="500"/>
      <c r="I393" s="459"/>
      <c r="J393" s="460"/>
      <c r="K393" s="460"/>
    </row>
    <row r="394" spans="1:12" ht="15" customHeight="1" x14ac:dyDescent="0.35">
      <c r="A394" s="524" t="s">
        <v>6</v>
      </c>
      <c r="B394" s="524" t="s">
        <v>7</v>
      </c>
      <c r="C394" s="55" t="s">
        <v>8</v>
      </c>
      <c r="D394" s="55"/>
      <c r="E394" s="147"/>
      <c r="F394" s="254" t="str">
        <f>IF(E394="","",ROUND(IF(E394&gt;1.6,0,IF(E394&lt;=1,1,E394^2*'Performance Standards'!K$14+E394*'Performance Standards'!K$15+'Performance Standards'!K$16)),2))</f>
        <v/>
      </c>
      <c r="G394" s="526" t="str">
        <f>IFERROR(AVERAGE(F394:F395),"")</f>
        <v/>
      </c>
      <c r="H394" s="526" t="str">
        <f>IFERROR(ROUND(AVERAGE(G394:G395),2),"")</f>
        <v/>
      </c>
      <c r="I394" s="533" t="str">
        <f>IF(H394="","",IF(H394&gt;0.69,"Functioning",IF(H394&gt;0.29,"Functioning At Risk",IF(H394&gt;-1,"Not Functioning"))))</f>
        <v/>
      </c>
      <c r="J394" s="460"/>
      <c r="K394" s="460"/>
    </row>
    <row r="395" spans="1:12" ht="15" customHeight="1" x14ac:dyDescent="0.35">
      <c r="A395" s="525"/>
      <c r="B395" s="525"/>
      <c r="C395" s="57" t="s">
        <v>9</v>
      </c>
      <c r="D395" s="57"/>
      <c r="E395" s="148"/>
      <c r="F395" s="255" t="str">
        <f>IF(E395="","",IF(OR('Quantification Tool'!$B$9="A",'Quantification Tool'!$B$9="Ba",'Quantification Tool'!$B$9="B", 'Quantification Tool'!$B$9="Bc"),IF(E395&lt;1.2,0,IF(E395&gt;=2.2,1,ROUND(IF(E395&lt;1.4,E395*'Performance Standards'!$K$84+'Performance Standards'!$K$85,E395*'Performance Standards'!$L$84+'Performance Standards'!$L$85),2))),IF(OR('Quantification Tool'!$B$9="C",'Quantification Tool'!$B$9="Cb",'Quantification Tool'!$B$9="E"),IF(E395&lt;2,0,IF(E395&gt;=5,1,ROUND(IF(E395&lt;2.4,E395*'Performance Standards'!$L$49+'Performance Standards'!$L$50,E395*'Performance Standards'!$K$49+'Performance Standards'!$K$50),2))))))</f>
        <v/>
      </c>
      <c r="G395" s="527"/>
      <c r="H395" s="532"/>
      <c r="I395" s="534"/>
      <c r="J395" s="460"/>
      <c r="K395" s="460"/>
    </row>
    <row r="396" spans="1:12" ht="15.5" x14ac:dyDescent="0.35">
      <c r="A396" s="477" t="s">
        <v>23</v>
      </c>
      <c r="B396" s="477" t="s">
        <v>24</v>
      </c>
      <c r="C396" s="64" t="s">
        <v>22</v>
      </c>
      <c r="D396" s="67"/>
      <c r="E396" s="115"/>
      <c r="F396" s="246" t="str">
        <f>IF(E396="","",IF(E396&gt;600,1,IF(E396&lt;300,ROUND('Performance Standards'!$S$15*(E396^2)+'Performance Standards'!$S$16*E396+'Performance Standards'!$S$17,2),ROUND('Performance Standards'!$T$16*E396+'Performance Standards'!$T$17,2))))</f>
        <v/>
      </c>
      <c r="G396" s="466" t="str">
        <f>IFERROR(AVERAGE(F396:F397),"")</f>
        <v/>
      </c>
      <c r="H396" s="531" t="str">
        <f>IFERROR(ROUND(AVERAGE(G396:G419),2),"")</f>
        <v/>
      </c>
      <c r="I396" s="460" t="str">
        <f>IF(H396="","",IF(H396&gt;0.69,"Functioning",IF(H396&gt;0.29,"Functioning At Risk",IF(H396&gt;-1,"Not Functioning"))))</f>
        <v/>
      </c>
      <c r="J396" s="460"/>
      <c r="K396" s="460"/>
    </row>
    <row r="397" spans="1:12" ht="15.5" x14ac:dyDescent="0.35">
      <c r="A397" s="478"/>
      <c r="B397" s="479"/>
      <c r="C397" s="66" t="s">
        <v>357</v>
      </c>
      <c r="D397" s="68"/>
      <c r="E397" s="148"/>
      <c r="F397" s="192" t="str">
        <f>IF(E397="","",IF(E397&lt;=0,0,IF(E397&gt;=30,1,ROUND(IF(E397&lt;=15,'Performance Standards'!$S$49*E397^2+'Performance Standards'!$S$50*E397,'Performance Standards'!$T$50*E397+'Performance Standards'!$T$51),2))))</f>
        <v/>
      </c>
      <c r="G397" s="468"/>
      <c r="H397" s="531"/>
      <c r="I397" s="460"/>
      <c r="J397" s="460"/>
      <c r="K397" s="460"/>
    </row>
    <row r="398" spans="1:12" ht="15.5" x14ac:dyDescent="0.35">
      <c r="A398" s="478"/>
      <c r="B398" s="478" t="s">
        <v>46</v>
      </c>
      <c r="C398" s="61" t="s">
        <v>91</v>
      </c>
      <c r="D398" s="61"/>
      <c r="E398" s="115"/>
      <c r="F398" s="238" t="str">
        <f>IF(E398="","",ROUND(IF(E398&gt;0.7,0,IF(E398&lt;=0.1,1,E398^3*'Performance Standards'!S$83+E398^2*'Performance Standards'!S$84+E398*'Performance Standards'!S$85+'Performance Standards'!S$86)),2))</f>
        <v/>
      </c>
      <c r="G398" s="467" t="str">
        <f>IFERROR(IF(E398="",AVERAGE(F399:F400),IF(E399="",F398,MAX(F398,AVERAGE(F399:F400)))),"")</f>
        <v/>
      </c>
      <c r="H398" s="531"/>
      <c r="I398" s="460"/>
      <c r="J398" s="460"/>
      <c r="K398" s="460"/>
    </row>
    <row r="399" spans="1:12" ht="15.5" x14ac:dyDescent="0.35">
      <c r="A399" s="478"/>
      <c r="B399" s="478"/>
      <c r="C399" s="61" t="s">
        <v>47</v>
      </c>
      <c r="D399" s="61"/>
      <c r="E399" s="147"/>
      <c r="F399" s="256" t="str">
        <f>IF(E399="","",IF(OR(E399="Ex/Ex",E399="Ex/VH"),0, IF(OR(E399="Ex/H",E399="VH/Ex",E399="VH/VH", E399="H/Ex",E399="H/VH",E399="M/Ex"),0.1,IF(OR(E399="Ex/M",E399="VH/H",E399="H/H", E399="M/VH"),0.2, IF(OR(E399="Ex/L",E399="VH/M",E399="H/M", E399="M/H",E399="L/Ex"),0.3, IF(OR(E399="Ex/VL",E399="VH/L",E399="H/L"),0.4, IF(OR(E399="VH/VL",E399="H/VL",E399="M/M", E399="L/VH"),0.5, IF(OR(E399="M/L",E399="L/H"),0.6, IF(OR(E399="M/VL",E399="L/M"),0.7, IF(OR(E399="L/L",E399="L/VL"),1))))))))))</f>
        <v/>
      </c>
      <c r="G399" s="467"/>
      <c r="H399" s="531"/>
      <c r="I399" s="460"/>
      <c r="J399" s="460"/>
      <c r="K399" s="460"/>
    </row>
    <row r="400" spans="1:12" ht="15.5" x14ac:dyDescent="0.35">
      <c r="A400" s="478"/>
      <c r="B400" s="478"/>
      <c r="C400" s="63" t="s">
        <v>102</v>
      </c>
      <c r="D400" s="63"/>
      <c r="E400" s="148"/>
      <c r="F400" s="213" t="str">
        <f>IF(E400="","",ROUND(IF(E400&gt;50,0,IF(E400&lt;5,1,IF(E400&gt;9,E400^2*'Performance Standards'!S$119+E400*'Performance Standards'!S$120+'Performance Standards'!S$121,'Performance Standards'!$T$120*E400+'Performance Standards'!$T$121))),2))</f>
        <v/>
      </c>
      <c r="G400" s="467"/>
      <c r="H400" s="531"/>
      <c r="I400" s="460"/>
      <c r="J400" s="460"/>
      <c r="K400" s="460"/>
    </row>
    <row r="401" spans="1:12" ht="15.5" x14ac:dyDescent="0.35">
      <c r="A401" s="478"/>
      <c r="B401" s="477" t="s">
        <v>48</v>
      </c>
      <c r="C401" s="67" t="s">
        <v>447</v>
      </c>
      <c r="D401" s="67"/>
      <c r="E401" s="147"/>
      <c r="F401" s="256" t="str">
        <f>IF(E401="","",IF('Quantification Tool'!$B$22="Unconfined Alluvial",IF(E401&gt;=100,1,IF(E401&lt;30,0,ROUND('Performance Standards'!$S$155*E401^2+'Performance Standards'!$S$156*E401+'Performance Standards'!$S$157,2))),IF('Quantification Tool'!$B$22="Confined Alluvial",(IF(E401&gt;=100,1,IF(E401&lt;60,0,ROUND('Performance Standards'!$T$155*E401^2+'Performance Standards'!$T$156*E401+'Performance Standards'!$T$157,2)))),IF('Quantification Tool'!$B$22="Colluvial/V-Shaped",(IF(E401&gt;=100,1,IF(E401&lt;80,0,ROUND('Performance Standards'!$U$155*E401^2+'Performance Standards'!$U$156*E401+'Performance Standards'!$U$157,2))))))))</f>
        <v/>
      </c>
      <c r="G401" s="466" t="str">
        <f>IFERROR(AVERAGE(F401:F413),"")</f>
        <v/>
      </c>
      <c r="H401" s="531"/>
      <c r="I401" s="460"/>
      <c r="J401" s="460"/>
      <c r="K401" s="460"/>
    </row>
    <row r="402" spans="1:12" ht="15.5" x14ac:dyDescent="0.35">
      <c r="A402" s="478"/>
      <c r="B402" s="478"/>
      <c r="C402" s="61" t="s">
        <v>448</v>
      </c>
      <c r="D402" s="61"/>
      <c r="E402" s="147"/>
      <c r="F402" s="256" t="str">
        <f>IF(E402="","",IF('Quantification Tool'!$B$22="Unconfined Alluvial",IF(E402&gt;=100,1,IF(E402&lt;30,0,ROUND('Performance Standards'!$S$155*E402^2+'Performance Standards'!$S$156*E402+'Performance Standards'!$S$157,2))),IF('Quantification Tool'!$B$22="Confined Alluvial",(IF(E402&gt;=100,1,IF(E402&lt;60,0,ROUND('Performance Standards'!$T$155*E402^2+'Performance Standards'!$T$156*E402+'Performance Standards'!$T$157,2)))),IF('Quantification Tool'!$B$22="Colluvial/V-Shaped",(IF(E402&gt;=100,1,IF(E402&lt;80,0,ROUND('Performance Standards'!$U$155*E402^2+'Performance Standards'!$U$156*E402+'Performance Standards'!$U$157,2))))))))</f>
        <v/>
      </c>
      <c r="G402" s="467"/>
      <c r="H402" s="531"/>
      <c r="I402" s="460"/>
      <c r="J402" s="460"/>
      <c r="K402" s="460"/>
    </row>
    <row r="403" spans="1:12" ht="15.5" x14ac:dyDescent="0.35">
      <c r="A403" s="478"/>
      <c r="B403" s="478"/>
      <c r="C403" s="61" t="s">
        <v>299</v>
      </c>
      <c r="D403" s="61"/>
      <c r="E403" s="147"/>
      <c r="F403" s="256" t="str">
        <f>IF(E403="","",IF('Quantification Tool'!$B$20="Herbaceous","",IF(E403="","",IF('Quantification Tool'!$B$10="Mountains",(IF(E403&gt;=90,1,ROUND('Performance Standards'!$S$191*E403^3+'Performance Standards'!$S$192*E403^2+'Performance Standards'!$S$193*E403+'Performance Standards'!$S$194,2))),IF('Quantification Tool'!$B$10="Basin",(IF(E403&gt;=90,1,ROUND('Performance Standards'!$T$191*E403^3+'Performance Standards'!$T$192*E403^2+'Performance Standards'!$T$193*E403+'Performance Standards'!$T$194,2))),(IF('Quantification Tool'!$B$10="Plains",(IF(E403&gt;=75,1,ROUND('Performance Standards'!$U$191*E403^3+'Performance Standards'!$U$192*E403^2+'Performance Standards'!$U$193*E403+'Performance Standards'!$U$194,2))))))))))</f>
        <v/>
      </c>
      <c r="G403" s="467"/>
      <c r="H403" s="531"/>
      <c r="I403" s="460"/>
      <c r="J403" s="460"/>
      <c r="K403" s="460"/>
    </row>
    <row r="404" spans="1:12" ht="15.5" x14ac:dyDescent="0.35">
      <c r="A404" s="478"/>
      <c r="B404" s="478"/>
      <c r="C404" s="61" t="s">
        <v>300</v>
      </c>
      <c r="D404" s="61"/>
      <c r="E404" s="147"/>
      <c r="F404" s="256" t="str">
        <f>IF(E404="","",IF('Quantification Tool'!$B$20="Herbaceous","",IF(E404="","",IF('Quantification Tool'!$B$10="Mountains",(IF(E404&gt;=90,1,ROUND('Performance Standards'!$S$191*E404^3+'Performance Standards'!$S$192*E404^2+'Performance Standards'!$S$193*E404+'Performance Standards'!$S$194,2))),IF('Quantification Tool'!$B$10="Basin",(IF(E404&gt;=90,1,ROUND('Performance Standards'!$T$191*E404^3+'Performance Standards'!$T$192*E404^2+'Performance Standards'!$T$193*E404+'Performance Standards'!$T$194,2))),(IF('Quantification Tool'!$B$10="Plains",(IF(E404&gt;=75,1,ROUND('Performance Standards'!$U$191*E404^3+'Performance Standards'!$U$192*E404^2+'Performance Standards'!$U$193*E404+'Performance Standards'!$U$194,2))))))))))</f>
        <v/>
      </c>
      <c r="G404" s="467"/>
      <c r="H404" s="531"/>
      <c r="I404" s="460"/>
      <c r="J404" s="460"/>
      <c r="K404" s="460"/>
    </row>
    <row r="405" spans="1:12" ht="15.5" x14ac:dyDescent="0.35">
      <c r="A405" s="478"/>
      <c r="B405" s="478"/>
      <c r="C405" s="61" t="s">
        <v>301</v>
      </c>
      <c r="D405" s="61"/>
      <c r="E405" s="147"/>
      <c r="F405" s="256" t="str">
        <f>IF(E405="","",IF('Quantification Tool'!$B$20="Herbaceous",IF(E405&lt;30,0,IF(E405&gt;=100,1,ROUND(E405^2*'Performance Standards'!$S$225+E405*'Performance Standards'!$S$226+'Performance Standards'!$S$227,2))),IF('Quantification Tool'!$B$22="Colluvial/V-Shaped",IF(E405&gt;=100,0,IF(AND(E405&gt;=0,E405&lt;=15),ROUND(E405*'Performance Standards'!$S$259+'Performance Standards'!$S$260,2),IF(AND(E405&gt;=15,E405&lt;=55),ROUND(E405*'Performance Standards'!$T$259+'Performance Standards'!$T$260,2),IF(AND(E405&gt;=56,E405&lt;=100),ROUND(E405^2*'Performance Standards'!$U$259+E405*'Performance Standards'!$U$260+'Performance Standards'!$U$261,2))))),IF(OR(E405&gt;=100,E405&lt;=0),0,IF(AND(E405&gt;0,E405&lt;=70),ROUND(E405^2*'Performance Standards'!$S$292+E405*'Performance Standards'!$S$293+'Performance Standards'!$S$294,2),IF(AND(E405&gt;70,E405&lt;100),ROUND(E405^2*'Performance Standards'!$T$292+E405*'Performance Standards'!$T$293+'Performance Standards'!$T$294,2)))))))</f>
        <v/>
      </c>
      <c r="G405" s="467"/>
      <c r="H405" s="531"/>
      <c r="I405" s="460"/>
      <c r="J405" s="460"/>
      <c r="K405" s="460"/>
    </row>
    <row r="406" spans="1:12" ht="15.5" x14ac:dyDescent="0.35">
      <c r="A406" s="478"/>
      <c r="B406" s="478"/>
      <c r="C406" s="61" t="s">
        <v>302</v>
      </c>
      <c r="D406" s="61"/>
      <c r="E406" s="147"/>
      <c r="F406" s="256" t="str">
        <f>IF(E406="","",IF('Quantification Tool'!$B$20="Herbaceous",IF(E406&lt;30,0,IF(E406&gt;=100,1,ROUND(E406^2*'Performance Standards'!$S$225+E406*'Performance Standards'!$S$226+'Performance Standards'!$S$227,2))),IF('Quantification Tool'!$B$22="Colluvial/V-Shaped",IF(E406&gt;=100,0,IF(AND(E406&gt;=0,E406&lt;=15),ROUND(E406*'Performance Standards'!$S$259+'Performance Standards'!$S$260,2),IF(AND(E406&gt;=15,E406&lt;=55),ROUND(E406*'Performance Standards'!$T$259+'Performance Standards'!$T$260,2),IF(AND(E406&gt;=56,E406&lt;=100),ROUND(E406^2*'Performance Standards'!$U$259+E406*'Performance Standards'!$U$260+'Performance Standards'!$U$261,2))))),IF(OR(E406&gt;=100,E406&lt;=0),0,IF(AND(E406&gt;0,E406&lt;=70),ROUND(E406^2*'Performance Standards'!$S$292+E406*'Performance Standards'!$S$293+'Performance Standards'!$S$294,2),IF(AND(E406&gt;70,E406&lt;100),ROUND(E406^2*'Performance Standards'!$T$292+E406*'Performance Standards'!$T$293+'Performance Standards'!$T$294,2)))))))</f>
        <v/>
      </c>
      <c r="G406" s="467"/>
      <c r="H406" s="531"/>
      <c r="I406" s="460"/>
      <c r="J406" s="460"/>
      <c r="K406" s="460"/>
    </row>
    <row r="407" spans="1:12" ht="15.5" x14ac:dyDescent="0.35">
      <c r="A407" s="478"/>
      <c r="B407" s="478"/>
      <c r="C407" s="61" t="s">
        <v>304</v>
      </c>
      <c r="D407" s="61"/>
      <c r="E407" s="147"/>
      <c r="F407" s="256" t="str">
        <f>IF(E407="","",ROUND(IF(E407&gt;=100,0,E407^2*'Performance Standards'!$S$324+E407*'Performance Standards'!$S$325+'Performance Standards'!$S$326),2))</f>
        <v/>
      </c>
      <c r="G407" s="467"/>
      <c r="H407" s="531"/>
      <c r="I407" s="460"/>
      <c r="J407" s="460"/>
      <c r="K407" s="460"/>
    </row>
    <row r="408" spans="1:12" ht="15.5" x14ac:dyDescent="0.35">
      <c r="A408" s="478"/>
      <c r="B408" s="478"/>
      <c r="C408" s="61" t="s">
        <v>305</v>
      </c>
      <c r="D408" s="61"/>
      <c r="E408" s="147"/>
      <c r="F408" s="256" t="str">
        <f>IF(E408="","",ROUND(IF(E408&gt;=100,0,E408^2*'Performance Standards'!$S$324+E408*'Performance Standards'!$S$325+'Performance Standards'!$S$326),2))</f>
        <v/>
      </c>
      <c r="G408" s="467"/>
      <c r="H408" s="531"/>
      <c r="I408" s="460"/>
      <c r="J408" s="460"/>
      <c r="K408" s="460"/>
    </row>
    <row r="409" spans="1:12" ht="15.5" x14ac:dyDescent="0.35">
      <c r="A409" s="478"/>
      <c r="B409" s="478"/>
      <c r="C409" s="61" t="s">
        <v>307</v>
      </c>
      <c r="D409" s="61"/>
      <c r="E409" s="147"/>
      <c r="F409" s="256" t="str">
        <f>IF(E409="","",ROUND(IF(E409&gt;=100,1,E409^3*'Performance Standards'!$S$357+E409^2*'Performance Standards'!$S$358+E409*'Performance Standards'!$S$359+$S$139),2))</f>
        <v/>
      </c>
      <c r="G409" s="467"/>
      <c r="H409" s="531"/>
      <c r="I409" s="460"/>
      <c r="J409" s="460"/>
      <c r="K409" s="460"/>
    </row>
    <row r="410" spans="1:12" ht="15.5" x14ac:dyDescent="0.35">
      <c r="A410" s="478"/>
      <c r="B410" s="478"/>
      <c r="C410" s="61" t="s">
        <v>308</v>
      </c>
      <c r="D410" s="61"/>
      <c r="E410" s="147"/>
      <c r="F410" s="256" t="str">
        <f>IF(E410="","",ROUND(IF(E410&gt;=100,1,E410^3*'Performance Standards'!$S$357+E410^2*'Performance Standards'!$S$358+E410*'Performance Standards'!$S$359+$S$139),2))</f>
        <v/>
      </c>
      <c r="G410" s="467"/>
      <c r="H410" s="531"/>
      <c r="I410" s="460"/>
      <c r="J410" s="460"/>
      <c r="K410" s="460"/>
      <c r="L410" s="7"/>
    </row>
    <row r="411" spans="1:12" ht="15.5" x14ac:dyDescent="0.35">
      <c r="A411" s="478"/>
      <c r="B411" s="478"/>
      <c r="C411" s="61" t="s">
        <v>158</v>
      </c>
      <c r="D411" s="61"/>
      <c r="E411" s="159"/>
      <c r="F411" s="192" t="str">
        <f>IF(E411="","",IF(OR(E411&gt;=50,E411&lt;=0),0,IF(AND(E411&gt;=25,E411&lt;=36),1,ROUND(IF(E411&lt;25,'Performance Standards'!$S$394*E411^3+'Performance Standards'!$S$395*E411^2+'Performance Standards'!$S$396*E411+'Performance Standards'!$S$397,'Performance Standards'!$T$394*E411^3+'Performance Standards'!$T$395*E411^2+'Performance Standards'!$T$396*E411+'Performance Standards'!$T$397),2))))</f>
        <v/>
      </c>
      <c r="G411" s="467"/>
      <c r="H411" s="531"/>
      <c r="I411" s="460"/>
      <c r="J411" s="460"/>
      <c r="K411" s="460"/>
      <c r="L411" s="7"/>
    </row>
    <row r="412" spans="1:12" ht="15.5" x14ac:dyDescent="0.35">
      <c r="A412" s="478"/>
      <c r="B412" s="478"/>
      <c r="C412" s="61" t="s">
        <v>159</v>
      </c>
      <c r="D412" s="61"/>
      <c r="E412" s="147"/>
      <c r="F412" s="192" t="str">
        <f>IF(E412="","",IF(OR(E412&gt;=50,E412&lt;=0),0,IF(AND(E412&gt;=25,E412&lt;=36),1,ROUND(IF(E412&lt;25,'Performance Standards'!$S$394*E412^3+'Performance Standards'!$S$395*E412^2+'Performance Standards'!$S$396*E412+'Performance Standards'!$S$397,'Performance Standards'!$T$394*E412^3+'Performance Standards'!$T$395*E412^2+'Performance Standards'!$T$396*E412+'Performance Standards'!$T$397),2))))</f>
        <v/>
      </c>
      <c r="G412" s="467"/>
      <c r="H412" s="531"/>
      <c r="I412" s="460"/>
      <c r="J412" s="460"/>
      <c r="K412" s="460"/>
      <c r="L412" s="7"/>
    </row>
    <row r="413" spans="1:12" ht="15.5" x14ac:dyDescent="0.35">
      <c r="A413" s="478"/>
      <c r="B413" s="479"/>
      <c r="C413" s="61" t="s">
        <v>298</v>
      </c>
      <c r="D413" s="68"/>
      <c r="E413" s="148"/>
      <c r="F413" s="256" t="str">
        <f>IF(E413="","",ROUND(IF(E413&lt;=2,0,IF(E413&gt;=9,1,E413^3*'Performance Standards'!S$430+E413^2*'Performance Standards'!$S$431+E413*'Performance Standards'!$S$432+'Performance Standards'!$S$433)),2))</f>
        <v/>
      </c>
      <c r="G413" s="468"/>
      <c r="H413" s="531"/>
      <c r="I413" s="460"/>
      <c r="J413" s="460"/>
      <c r="K413" s="460"/>
      <c r="L413" s="7"/>
    </row>
    <row r="414" spans="1:12" ht="15.5" x14ac:dyDescent="0.35">
      <c r="A414" s="478"/>
      <c r="B414" s="59" t="s">
        <v>121</v>
      </c>
      <c r="C414" s="74" t="s">
        <v>160</v>
      </c>
      <c r="D414" s="61"/>
      <c r="E414" s="43"/>
      <c r="F414" s="191" t="str">
        <f>IF(E414="","",IF('Quantification Tool'!$B$13="Sand","NA",IF(E414&gt;0.1,1,IF(E414&lt;=0.01,0,ROUND(E414*'Performance Standards'!$S$464+'Performance Standards'!$S$465,2)))))</f>
        <v/>
      </c>
      <c r="G414" s="83" t="str">
        <f>IFERROR(AVERAGE(F414),"")</f>
        <v/>
      </c>
      <c r="H414" s="531"/>
      <c r="I414" s="460"/>
      <c r="J414" s="460"/>
      <c r="K414" s="460"/>
      <c r="L414" s="7"/>
    </row>
    <row r="415" spans="1:12" ht="15.5" x14ac:dyDescent="0.35">
      <c r="A415" s="478"/>
      <c r="B415" s="477" t="s">
        <v>49</v>
      </c>
      <c r="C415" s="67" t="s">
        <v>50</v>
      </c>
      <c r="D415" s="67"/>
      <c r="E415" s="160"/>
      <c r="F415" s="161" t="str">
        <f>IF(E415="","",IF('Quantification Tool'!$B$9="Bc",IF(OR(E415&gt;9.2,E415&lt;=0.1),0,IF(E415&lt;=4,1,ROUND('Performance Standards'!$S$598*E415^2+'Performance Standards'!$S$599*E415+'Performance Standards'!$S$600,2))),IF(OR('Quantification Tool'!$B$9="B",'Quantification Tool'!$B$9="Ba"),IF(OR(E415&gt;7.5,E415&lt;=0.1),0,IF(E415&lt;=3,1,ROUND(IF(E415&gt;4,'Performance Standards'!$S$567*E415+'Performance Standards'!$S$568,'Performance Standards'!$T$567*E415+'Performance Standards'!$T$568),2))),IF('Quantification Tool'!$B$9="Cb",IF(OR(E415&gt;=7.6,E415&lt;=2.4),0,IF(AND(E415&gt;=3.7,E415&lt;=5),1,ROUND(IF(E415&lt;4,'Performance Standards'!$S$534*E415^2+'Performance Standards'!$S$535*E415+'Performance Standards'!$S$536,'Performance Standards'!$T$534*E415^2+'Performance Standards'!$T$535*E415+'Performance Standards'!$T$536),2))),IF('Quantification Tool'!$B$9="C",IF(OR(E415&gt;9.3,E415&lt;=3),0,IF(AND(E415&gt;=4,E415&lt;=6),1,ROUND(IF(E415&lt;4,'Performance Standards'!$S$500*E415+'Performance Standards'!$S$501,'Performance Standards'!$T$500*E415+'Performance Standards'!$T$501),2))))))))</f>
        <v/>
      </c>
      <c r="G415" s="466" t="str">
        <f>IFERROR(AVERAGE(F415:F418),"")</f>
        <v/>
      </c>
      <c r="H415" s="531"/>
      <c r="I415" s="460"/>
      <c r="J415" s="460"/>
      <c r="K415" s="460"/>
      <c r="L415" s="7"/>
    </row>
    <row r="416" spans="1:12" ht="15.5" x14ac:dyDescent="0.35">
      <c r="A416" s="478"/>
      <c r="B416" s="478"/>
      <c r="C416" s="61" t="s">
        <v>51</v>
      </c>
      <c r="D416" s="61"/>
      <c r="E416" s="159"/>
      <c r="F416" s="85" t="str">
        <f>IF(E416="","",IF(E416&lt;=1.1,0,IF(E416&gt;=2.5,1,ROUND(IF(E416&lt;1.2,'Performance Standards'!$S$632*E416+'Performance Standards'!$S$633,'Performance Standards'!$T$631*E416^2+'Performance Standards'!$T$632*E416+'Performance Standards'!$T$633),2))))</f>
        <v/>
      </c>
      <c r="G416" s="467"/>
      <c r="H416" s="531"/>
      <c r="I416" s="460"/>
      <c r="J416" s="460"/>
      <c r="K416" s="460"/>
      <c r="L416" s="7"/>
    </row>
    <row r="417" spans="1:12" ht="15.5" x14ac:dyDescent="0.35">
      <c r="A417" s="478"/>
      <c r="B417" s="478"/>
      <c r="C417" s="61" t="s">
        <v>52</v>
      </c>
      <c r="D417" s="61"/>
      <c r="E417" s="159"/>
      <c r="F417" s="245" t="str">
        <f>IF(E417="","",IF('Quantification Tool'!$B$11="Volcanic Mountains &amp; Valleys", IF(OR(E417&gt;95,E417&lt;58),0,IF(AND(E417&gt;=73,E417&lt;=80),1, ROUND(IF(E417&lt;73,'Performance Standards'!$S$665*E417^2+'Performance Standards'!$S$666*E417+'Performance Standards'!$S$667, 'Performance Standards'!$T$665*E417^2+'Performance Standards'!$T$666*E417+'Performance Standards'!$T$667),2))), IF('Quantification Tool'!$B$16="","Need Slope",IF('Quantification Tool'!$B$16&lt;3,IF( OR(E417&gt;73,E417&lt;37),0, IF(AND(E417&gt;=50,E417&lt;= 60), 1, ROUND(IF(E417&lt;50,'Performance Standards'!$S$699*E417^2+'Performance Standards'!$S$700*E417+'Performance Standards'!$S$701, IF(E417&gt;60,'Performance Standards'!$T$699*E417^2+'Performance Standards'!$T$700*E417+'Performance Standards'!$T$701)),2))), IF('Quantification Tool'!$B$16&gt;=3,IF(OR(E417&gt;88,E417&lt;57),0, IF(AND(E417 &gt;=70, E417&lt;=76),1, ROUND(IF(E417&lt;70,'Performance Standards'!$S$734*E417^2+'Performance Standards'!$S$735*E417+'Performance Standards'!$S$736,'Performance Standards'!$T$734*E417^2+'Performance Standards'!$T$735*E417+'Performance Standards'!$T$736),2) )))))))</f>
        <v/>
      </c>
      <c r="G417" s="467"/>
      <c r="H417" s="531"/>
      <c r="I417" s="460"/>
      <c r="J417" s="460"/>
      <c r="K417" s="460"/>
      <c r="L417" s="7"/>
    </row>
    <row r="418" spans="1:12" ht="15.5" x14ac:dyDescent="0.35">
      <c r="A418" s="478"/>
      <c r="B418" s="479"/>
      <c r="C418" s="66" t="s">
        <v>248</v>
      </c>
      <c r="D418" s="68"/>
      <c r="E418" s="154"/>
      <c r="F418" s="248" t="str">
        <f>IF(E418="","",IF(E418&gt;=1.6,0,IF(E418&lt;=1,1,ROUND('Performance Standards'!$S$766*E418^3+'Performance Standards'!$S$767*E418^2+'Performance Standards'!$S$768*E418+'Performance Standards'!$S$769,2))))</f>
        <v/>
      </c>
      <c r="G418" s="468"/>
      <c r="H418" s="531"/>
      <c r="I418" s="460"/>
      <c r="J418" s="460"/>
      <c r="K418" s="460"/>
      <c r="L418" s="7"/>
    </row>
    <row r="419" spans="1:12" ht="15.5" x14ac:dyDescent="0.35">
      <c r="A419" s="479"/>
      <c r="B419" s="424" t="s">
        <v>54</v>
      </c>
      <c r="C419" s="68" t="s">
        <v>53</v>
      </c>
      <c r="D419" s="68"/>
      <c r="E419" s="148"/>
      <c r="F419" s="70" t="str">
        <f>IF(E419="","",IF('Quantification Tool'!$B$9="E",IF(OR(E419&gt;2,E419&lt;1.2),0, IF(AND(E419&gt;=1.6, E419&lt;=1.7),1, ROUND(IF(E419&lt;1.3,E419*'Performance Standards'!S$803+'Performance Standards'!S$804,IF(E419&lt;=1.6,E419*'Performance Standards'!T$803+'Performance Standards'!T$804, E419^2*'Performance Standards'!U$802+E419*'Performance Standards'!U$803+'Performance Standards'!$U$804)),2))),IF(LEFT('Quantification Tool'!$B$9,1)="C",IF(OR(E419&lt;1.15, E419&gt;1.5),0, IF(AND(E419&lt;=1.35,E419&gt;=1.25),1,ROUND(IF(E419&lt;1.25,E419^2*'Performance Standards'!$S$836+E419*'Performance Standards'!$S$837+'Performance Standards'!$S$838, E419^2*'Performance Standards'!$T$836+E419*'Performance Standards'!$T$837+'Performance Standards'!$T$838),2))),IF(LEFT('Quantification Tool'!$B$9,1)="B",IF(OR(E419&gt;1.4,E419&lt;1),0, IF(AND(E419&gt;=1.15,E419&lt;=1.25),1, ROUND(IF(E419&lt;=1.15,E419^2*'Performance Standards'!$S$867+E419*'Performance Standards'!$S$868+'Performance Standards'!$S$869,E419^2*'Performance Standards'!$T$867+E419*'Performance Standards'!$T$868+'Performance Standards'!$T$869),2)))))))</f>
        <v/>
      </c>
      <c r="G419" s="85" t="str">
        <f>IFERROR(AVERAGE(F419),"")</f>
        <v/>
      </c>
      <c r="H419" s="531"/>
      <c r="I419" s="460"/>
      <c r="J419" s="460"/>
      <c r="K419" s="460"/>
      <c r="L419" s="7"/>
    </row>
    <row r="420" spans="1:12" ht="16.5" customHeight="1" x14ac:dyDescent="0.35">
      <c r="A420" s="453" t="s">
        <v>58</v>
      </c>
      <c r="B420" s="453" t="s">
        <v>93</v>
      </c>
      <c r="C420" s="182" t="s">
        <v>272</v>
      </c>
      <c r="D420" s="71"/>
      <c r="E420" s="147"/>
      <c r="F420" s="178" t="str">
        <f>IF(E420="","",IF('Quantification Tool'!$B$18="","Enter Stream Temperature",IF('Quantification Tool'!$B$18="Tier I (Cold) ",IF(E420&gt;=24.6,0,IF(E420&lt;=15.5,1,ROUND(E420*'Performance Standards'!$AB$19+'Performance Standards'!$AB$20,2))),IF('Quantification Tool'!$B$18="Tier II (Cold-Cool)",IF(E420&gt;=27.8,0,IF(E420&lt;=15.6,1,ROUND(E420*'Performance Standards'!$AC$19+'Performance Standards'!$AC$20,2))),IF('Quantification Tool'!$B$18="Tier III (Cool) ",IF(E420&gt;=32.4,0,IF(E420&lt;=17.8,1,ROUND(E420*'Performance Standards'!$AD$19+'Performance Standards'!$AD$20,2))),IF('Quantification Tool'!$B$18="Tier IV (Cool-Warm)",IF(E420&gt;=34.6,0,IF(E420&lt;=20,1,ROUND(E420*'Performance Standards'!$AE$19+'Performance Standards'!$AE$20,2))),IF('Quantification Tool'!$B$18="Tier V (Warm)",IF(E420&gt;35.4,0,IF(E420&lt;=24.6,1,ROUND(E420*'Performance Standards'!$AF$19+'Performance Standards'!$AF$20,2))))))))))</f>
        <v/>
      </c>
      <c r="G420" s="455" t="str">
        <f>IFERROR(IF(E420="",F421,IF(E421="",F420,MIN(F420:F421))),"")</f>
        <v/>
      </c>
      <c r="H420" s="455" t="str">
        <f>IFERROR(ROUND(AVERAGE(G420:G422),2),"")</f>
        <v/>
      </c>
      <c r="I420" s="459" t="str">
        <f>IF(H420="","",IF(H420&gt;0.69,"Functioning",IF(H420&gt;0.29,"Functioning At Risk",IF(H420&gt;-1,"Not Functioning"))))</f>
        <v/>
      </c>
      <c r="J420" s="460"/>
      <c r="K420" s="460"/>
    </row>
    <row r="421" spans="1:12" ht="15.75" customHeight="1" x14ac:dyDescent="0.35">
      <c r="A421" s="469"/>
      <c r="B421" s="454"/>
      <c r="C421" s="183" t="s">
        <v>273</v>
      </c>
      <c r="D421" s="71"/>
      <c r="E421" s="147"/>
      <c r="F421" s="179" t="str">
        <f>IF(E421="","",IF('Quantification Tool'!$B$18="","Enter Stream Temperature",IF('Quantification Tool'!$B$18="Tier I (Cold) ",IF(E421&gt;=19.3,0,IF(E421&lt;=15.5,1,ROUND(E421*'Performance Standards'!$AB$55+'Performance Standards'!$AB$56,2))),IF('Quantification Tool'!$B$18="Tier II (Cold-Cool)",IF(E421&gt;=21,0,IF(E421&lt;=15.6,1,ROUND(E421*'Performance Standards'!$AC$55+'Performance Standards'!$AC$56,2))),IF('Quantification Tool'!$B$18="Tier III (Cool) ",IF(E421&gt;=24,0,IF(E421&lt;=17.8,1,ROUND(E421*'Performance Standards'!$AD$55+'Performance Standards'!$AD$56,2))),IF('Quantification Tool'!$B$18="Tier IV (Cool-Warm)",IF(E421&gt;=28.8,0,IF(E421&lt;=20,1,ROUND(E421*'Performance Standards'!$AE$55+'Performance Standards'!$AE$56,2))),IF('Quantification Tool'!$B$18="Tier V (Warm)",IF(E421&gt;=31,0,IF(E421&lt;=24.5,1,ROUND(E421*'Performance Standards'!$AF$55+'Performance Standards'!$AF$56,2))))))))))</f>
        <v/>
      </c>
      <c r="G421" s="456"/>
      <c r="H421" s="535"/>
      <c r="I421" s="459"/>
      <c r="J421" s="460"/>
      <c r="K421" s="460"/>
    </row>
    <row r="422" spans="1:12" ht="15.75" customHeight="1" x14ac:dyDescent="0.35">
      <c r="A422" s="454"/>
      <c r="B422" s="243" t="s">
        <v>297</v>
      </c>
      <c r="C422" s="75" t="s">
        <v>238</v>
      </c>
      <c r="D422" s="72"/>
      <c r="E422" s="43"/>
      <c r="F422" s="163" t="str">
        <f>IF(E422="","",IF(OR('Quantification Tool'!$B$10="Basin",'Quantification Tool'!$B$10="Plains"),IF(E422&gt;=150,0,IF(E422&lt;21,1,ROUND('Performance Standards'!$AB$87*LN(E422)+'Performance Standards'!$AB$88,2))),IF(E422&gt;=97,0,IF(E422&lt;=13,1,ROUND('Performance Standards'!$AB$120*LN(E422)+'Performance Standards'!$AB$121,2)))))</f>
        <v/>
      </c>
      <c r="G422" s="87" t="str">
        <f>IFERROR(AVERAGE(F422),"")</f>
        <v/>
      </c>
      <c r="H422" s="456"/>
      <c r="I422" s="459"/>
      <c r="J422" s="460"/>
      <c r="K422" s="460"/>
    </row>
    <row r="423" spans="1:12" ht="15.75" customHeight="1" x14ac:dyDescent="0.35">
      <c r="A423" s="482" t="s">
        <v>59</v>
      </c>
      <c r="B423" s="457" t="s">
        <v>73</v>
      </c>
      <c r="C423" s="112" t="s">
        <v>217</v>
      </c>
      <c r="D423" s="113"/>
      <c r="E423" s="115"/>
      <c r="F423" s="153" t="str">
        <f>IF(E423="","",IF('Quantification Tool'!$B$11="","Enter Bioregion",IF('Quantification Tool'!$B$11="Wyoming Basin",IF(E423&lt;0.26,0,IF(E423&gt;0.94,1,ROUND('Performance Standards'!$AK$18*E423+'Performance Standards'!$AK$19,2))), IF('Quantification Tool'!$B$11="Black Hills",IF(E423&lt;0.2,0,IF(E423&gt;0.98,1,ROUND('Performance Standards'!$AL$18*E423+'Performance Standards'!$AL$19,2))), IF('Quantification Tool'!$B$11="High Valleys",IF(E423&lt;0.23,0,IF(E423&gt;0.95,1,ROUND('Performance Standards'!$AM$18*E423+'Performance Standards'!$AM$19,2))), IF('Quantification Tool'!$B$11="Sedimentary Mountains",IF(E423&lt;=0.23,0,IF(E423&gt;=1,1,ROUND('Performance Standards'!$AN$18*E423+'Performance Standards'!$AN$19,2))), IF('Quantification Tool'!$B$11="Southern Rockies",IF(E423&lt;0.07,0,IF(E423&gt;0.96,1,ROUND('Performance Standards'!$AK$54*E423+'Performance Standards'!$AK$55,2))), IF('Quantification Tool'!$B$11="SE Plains",IF(E423&lt;0.2,0,IF(E423&gt;0.95,1,ROUND('Performance Standards'!$AL$54*E423+'Performance Standards'!$AL$55,2))), IF('Quantification Tool'!$B$11="NE Plains",IF(E423&lt;0.2,0,IF(E423&gt;0.94,1,ROUND('Performance Standards'!$AM$54*E423+'Performance Standards'!$AM$55,2))),IF('Quantification Tool'!$B$11="Granitic Mountains",IF(E423&lt;0.45,0,IF(E423&gt;=1,1,ROUND('Performance Standards'!$AK$92*E423+'Performance Standards'!$AK$93,2))),IF('Quantification Tool'!$B$11="Bighorn Basin Foothills",IF(E423&lt;=0.1,0,IF(E423&gt;=1,1,ROUND('Performance Standards'!$AL$92*E423+'Performance Standards'!$AL$93,2))),IF('Quantification Tool'!$B$11="Volcanic Mountains &amp; Valleys",IF(E423&lt;0.35,0,IF(E423&gt;=1,1,ROUND('Performance Standards'!$AN$92*E423+'Performance Standards'!$AN$93,2))), IF('Quantification Tool'!$B$11="Southern Foothills &amp; Laramie Range",IF(E423&lt;0.3,0,IF(E423&gt;=1,1,ROUND('Performance Standards'!$AM$92*E423+'Performance Standards'!$AM$93,2))) )))))))))))))</f>
        <v/>
      </c>
      <c r="G423" s="473" t="str">
        <f>IFERROR(IF(AND(F423="",F424=""),"",IF(OR(F423="",F424=""),AVERAGE(F423:F424),IF(OR(F423&lt;0.3,F424&lt;0.3),IF(OR(F423&gt;=0.7,F424&gt;=0.7),MIN(0.69,AVERAGE(F423:F424)),MIN(0.29,AVERAGE(F423:F424))), IF(OR(F423&gt;=0.7,F424&gt;=0.7),IF(AVERAGE(F423:F424)&lt;0.7,0.7,AVERAGE(F423:F424)),AVERAGE(F423:F424))))),"")</f>
        <v/>
      </c>
      <c r="H423" s="485" t="str">
        <f>IFERROR(ROUND(AVERAGE(G423:G427),2),"")</f>
        <v/>
      </c>
      <c r="I423" s="459" t="str">
        <f>IF(H423="","",IF(H423&gt;0.69,"Functioning",IF(H423&gt;0.29,"Functioning At Risk",IF(H423&gt;-1,"Not Functioning"))))</f>
        <v/>
      </c>
      <c r="J423" s="460"/>
      <c r="K423" s="460"/>
    </row>
    <row r="424" spans="1:12" ht="15.75" customHeight="1" x14ac:dyDescent="0.35">
      <c r="A424" s="483"/>
      <c r="B424" s="458"/>
      <c r="C424" s="249" t="s">
        <v>218</v>
      </c>
      <c r="D424" s="250"/>
      <c r="E424" s="154"/>
      <c r="F424" s="88" t="str">
        <f>IF(E424="","",IF('Quantification Tool'!$B$11="","Enter Bioregion",IF('Quantification Tool'!$B$11="Wyoming Basin",IF(E424&lt;0.34,0,IF(E424&gt;0.96,1,ROUND('Performance Standards'!$AK$128*E424+'Performance Standards'!$AK$129,2))), IF('Quantification Tool'!$B$11="Black Hills",IF(E424&lt;0.36,0,IF(E424&gt;=1,1,ROUND('Performance Standards'!$AL$128*E424+'Performance Standards'!$AL$129,2))), IF('Quantification Tool'!$B$11="High Valleys",IF(E424&lt;0.38,0,IF(E424&gt;0.98,1,ROUND('Performance Standards'!$AM$128*E424+'Performance Standards'!$AM$129,2))), IF('Quantification Tool'!$B$11="Sedimentary Mountains",IF(E424&lt;0.36,0,IF(E424&gt;0.97,1,ROUND('Performance Standards'!$AN$128*E424+'Performance Standards'!$AN$129,2))), IF('Quantification Tool'!$B$11="Southern Rockies",IF(E424&lt;0.25,0,IF(E424&gt;=1,1,ROUND('Performance Standards'!$AK$165*E424+'Performance Standards'!$AK$166,2))), IF('Quantification Tool'!$B$11="SE Plains",IF(E424&lt;0.33,0,IF(E424&gt;0.95,1,ROUND('Performance Standards'!$AL$165*E424+'Performance Standards'!$AL$166,2))), IF('Quantification Tool'!$B$11="NE Plains",IF(E424&lt;0.35,0,IF(E424&gt;0.98,1,ROUND('Performance Standards'!$AM$165*E424+'Performance Standards'!$AM$166,2))),IF('Quantification Tool'!$B$11="Granitic Mountains",IF(E424&lt;0.5,0,IF(E424&gt;0.98,1,ROUND('Performance Standards'!$AK$202*E424+'Performance Standards'!$AK$203,2))),IF('Quantification Tool'!$B$11="Bighorn Basin Foothills",IF(E424&lt;0.48,0,IF(E424&gt;=1,1,ROUND('Performance Standards'!$AL$202*E424+'Performance Standards'!$AL$203,2))),IF('Quantification Tool'!$B$11="Volcanic Mountains &amp; Valleys",IF(E424&lt;=0.2,0,IF(E424&gt;=1,1,ROUND('Performance Standards'!$AN$202*E424+'Performance Standards'!$AN$203,2))), IF('Quantification Tool'!$B$11="Southern Foothills &amp; Laramie Range",IF(E424&lt;0.28,0,IF(E424&gt;=1,1,ROUND('Performance Standards'!$AM$202*E424+'Performance Standards'!$AM$203,2))) )))))))))))))</f>
        <v/>
      </c>
      <c r="G424" s="475"/>
      <c r="H424" s="485"/>
      <c r="I424" s="459"/>
      <c r="J424" s="460"/>
      <c r="K424" s="460"/>
    </row>
    <row r="425" spans="1:12" ht="15.5" x14ac:dyDescent="0.35">
      <c r="A425" s="483"/>
      <c r="B425" s="457" t="s">
        <v>85</v>
      </c>
      <c r="C425" s="180" t="s">
        <v>264</v>
      </c>
      <c r="D425" s="113"/>
      <c r="E425" s="160"/>
      <c r="F425" s="172" t="str">
        <f>IF(E425="","",IF(E425&lt;58,0,IF(E425&gt;=100,1,ROUND(E425*'Performance Standards'!$AK$240+'Performance Standards'!$AK$241,2))))</f>
        <v/>
      </c>
      <c r="G425" s="473" t="str">
        <f>IFERROR(AVERAGE(F425:F427),"")</f>
        <v/>
      </c>
      <c r="H425" s="485"/>
      <c r="I425" s="459"/>
      <c r="J425" s="460"/>
      <c r="K425" s="460"/>
    </row>
    <row r="426" spans="1:12" ht="15.5" x14ac:dyDescent="0.35">
      <c r="A426" s="483"/>
      <c r="B426" s="476"/>
      <c r="C426" s="181" t="s">
        <v>265</v>
      </c>
      <c r="D426" s="250"/>
      <c r="E426" s="159"/>
      <c r="F426" s="172" t="str">
        <f>IF(E426="","",ROUND(IF(E426&gt;=3,0,IF(E426&lt;=1,1,0.69)),2))</f>
        <v/>
      </c>
      <c r="G426" s="474"/>
      <c r="H426" s="485"/>
      <c r="I426" s="459"/>
      <c r="J426" s="460"/>
      <c r="K426" s="460"/>
    </row>
    <row r="427" spans="1:12" ht="15.5" x14ac:dyDescent="0.35">
      <c r="A427" s="484"/>
      <c r="B427" s="458"/>
      <c r="C427" s="114" t="s">
        <v>266</v>
      </c>
      <c r="D427" s="73"/>
      <c r="E427" s="154"/>
      <c r="F427" s="88" t="str">
        <f>IF(E427="","",IF('Quantification Tool'!$B$21="","Enter Stream Producitvity Rating",IF('Quantification Tool'!$B$21="Blue Ribbon and non-trout",IF(E427&lt;5,0,IF(E427&gt;=40,1,ROUND(E427*'Performance Standards'!$AK$316+'Performance Standards'!$AK$317,2))),IF('Quantification Tool'!$B$21="Red Ribbon",IF(E427&lt;10,0,IF(E427&gt;=80,1,ROUND(E427*'Performance Standards'!$AL$316+'Performance Standards'!$AL$317,2))),IF('Quantification Tool'!$B$21="Yellow Ribbon",IF(E427&lt;15,0,IF(E427&gt;=119,1,ROUND(E427*'Performance Standards'!$AM$316+'Performance Standards'!$AM$317,2))),IF('Quantification Tool'!$B$21="Green Ribbon",IF(E427&lt;20,0,IF(E427&gt;=160,1,ROUND(E427*'Performance Standards'!$AN$316+'Performance Standards'!$AN$317,2)))))))))</f>
        <v/>
      </c>
      <c r="G427" s="475"/>
      <c r="H427" s="485"/>
      <c r="I427" s="459"/>
      <c r="J427" s="460"/>
      <c r="K427" s="460"/>
    </row>
    <row r="428" spans="1:12" x14ac:dyDescent="0.35">
      <c r="L428" s="7"/>
    </row>
    <row r="429" spans="1:12" x14ac:dyDescent="0.35">
      <c r="L429" s="7"/>
    </row>
    <row r="430" spans="1:12" ht="21" x14ac:dyDescent="0.5">
      <c r="A430" s="134" t="s">
        <v>165</v>
      </c>
      <c r="B430" s="577"/>
      <c r="C430" s="577"/>
      <c r="D430" s="577"/>
      <c r="E430" s="577"/>
      <c r="F430" s="578"/>
      <c r="G430" s="463" t="s">
        <v>16</v>
      </c>
      <c r="H430" s="464"/>
      <c r="I430" s="464"/>
      <c r="J430" s="464"/>
      <c r="K430" s="465"/>
    </row>
    <row r="431" spans="1:12" ht="16.5" customHeight="1" x14ac:dyDescent="0.35">
      <c r="A431" s="145" t="s">
        <v>1</v>
      </c>
      <c r="B431" s="145" t="s">
        <v>2</v>
      </c>
      <c r="C431" s="461" t="s">
        <v>3</v>
      </c>
      <c r="D431" s="576"/>
      <c r="E431" s="145" t="s">
        <v>14</v>
      </c>
      <c r="F431" s="145" t="s">
        <v>15</v>
      </c>
      <c r="G431" s="145" t="s">
        <v>17</v>
      </c>
      <c r="H431" s="145" t="s">
        <v>18</v>
      </c>
      <c r="I431" s="145" t="s">
        <v>18</v>
      </c>
      <c r="J431" s="145" t="s">
        <v>19</v>
      </c>
      <c r="K431" s="50" t="s">
        <v>19</v>
      </c>
    </row>
    <row r="432" spans="1:12" ht="15.75" customHeight="1" x14ac:dyDescent="0.35">
      <c r="A432" s="493" t="s">
        <v>63</v>
      </c>
      <c r="B432" s="244" t="s">
        <v>100</v>
      </c>
      <c r="C432" s="52" t="s">
        <v>101</v>
      </c>
      <c r="D432" s="52"/>
      <c r="E432" s="147"/>
      <c r="F432" s="251" t="str">
        <f>IF(E432="","",IF(E432="G1",0.8,IF(E432="G2",0.9,IF(E432="G3",1,IF(E432="F1",0.4,IF(E432="F2",0.5,IF(E432="F3",0.6,IF(E432="P1",0.1,IF(E432="P2",0.2,IF(E432="P3",0.3,))))))))))</f>
        <v/>
      </c>
      <c r="G432" s="84" t="str">
        <f>IFERROR(AVERAGE(F432),"")</f>
        <v/>
      </c>
      <c r="H432" s="499" t="str">
        <f>IFERROR(ROUND(AVERAGE(G432:G436),2),"")</f>
        <v/>
      </c>
      <c r="I432" s="459" t="str">
        <f>IF(H432="","",IF(H432&gt;0.69,"Functioning",IF(H432&gt;0.29,"Functioning At Risk",IF(H432&gt;-1,"Not Functioning"))))</f>
        <v/>
      </c>
      <c r="J432" s="460" t="str">
        <f>IF(AND(H432="",H437="",H439="",H463="",H466=""),"",(IF(H432="",0,H432)*0.2)+(IF(H437="",0,H437)*0.2)+(IF(H439="",0,H439)*0.3)+(IF(H463="",0,H463)*0.15)+(IF(H466="",0,H466)*0.15))</f>
        <v/>
      </c>
      <c r="K432" s="460" t="str">
        <f>IF(J432="","",IF(J432&lt;0.3, "Not Functioning",IF(OR(H432&lt;0.7,H437&lt;0.7,H439&lt;0.7,H463&lt;0.7,H466&lt;0.7),"Functioning At Risk",IF(J432&lt;0.7,"Functioning At Risk","Functioning"))))</f>
        <v/>
      </c>
    </row>
    <row r="433" spans="1:11" ht="15.75" customHeight="1" x14ac:dyDescent="0.35">
      <c r="A433" s="494"/>
      <c r="B433" s="493" t="s">
        <v>146</v>
      </c>
      <c r="C433" s="118" t="s">
        <v>147</v>
      </c>
      <c r="D433" s="117"/>
      <c r="E433" s="115"/>
      <c r="F433" s="251" t="str">
        <f>IF(E433="","",IF('Quantification Tool'!$B$20="Forested",IF(E433&gt;71,0,IF(E433&lt;=41,1,ROUND(E433^2*'Performance Standards'!$C$16+E433*'Performance Standards'!$C$17+'Performance Standards'!$C$18,2))),IF('Quantification Tool'!$B$20="Scrub-Shrub",IF(E433&gt;59.6,0,IF(E433&lt;=35,1,ROUND(E433^2*'Performance Standards'!$D$16+E433*'Performance Standards'!$D$17+'Performance Standards'!$D$18,2))),IF('Quantification Tool'!$B$20="Herbaceous",IF(E433&gt;85,0,IF(E433&lt;=62,1,ROUND(E433^2*'Performance Standards'!$E$16+E433*'Performance Standards'!$E$17+'Performance Standards'!$E$18,2)))))))</f>
        <v/>
      </c>
      <c r="G433" s="470" t="str">
        <f>IFERROR(AVERAGE(F433:F435),"")</f>
        <v/>
      </c>
      <c r="H433" s="500"/>
      <c r="I433" s="459"/>
      <c r="J433" s="460"/>
      <c r="K433" s="460"/>
    </row>
    <row r="434" spans="1:11" ht="15.75" customHeight="1" x14ac:dyDescent="0.35">
      <c r="A434" s="494"/>
      <c r="B434" s="494"/>
      <c r="C434" s="119" t="s">
        <v>148</v>
      </c>
      <c r="D434" s="52"/>
      <c r="E434" s="147"/>
      <c r="F434" s="252" t="str">
        <f>IF(E434="","",IF(E434&gt;3,0,IF(E434=0,1,ROUND('Performance Standards'!C$49*E434+'Performance Standards'!C$50,2))))</f>
        <v/>
      </c>
      <c r="G434" s="471"/>
      <c r="H434" s="500"/>
      <c r="I434" s="459"/>
      <c r="J434" s="460"/>
      <c r="K434" s="460"/>
    </row>
    <row r="435" spans="1:11" ht="15.75" customHeight="1" x14ac:dyDescent="0.35">
      <c r="A435" s="494"/>
      <c r="B435" s="512"/>
      <c r="C435" s="120" t="s">
        <v>149</v>
      </c>
      <c r="D435" s="54"/>
      <c r="E435" s="148"/>
      <c r="F435" s="253" t="str">
        <f>IF(E435="","",IF('Quantification Tool'!$B$19="Sandy",IF(E435&gt;1.94,0,IF(E435&lt;1.45,1,ROUND(E435*'Performance Standards'!$C$85+'Performance Standards'!$C$86,2))),IF('Quantification Tool'!$B$19="Silty",IF(E435&gt;1.83,0,IF(E435&lt;1.21,1,ROUND(E435*'Performance Standards'!$D$85+'Performance Standards'!$D$86,2))),IF('Quantification Tool'!$B$19="Clayey",IF(E435&gt;1.74,0,IF(E435&lt;0.82,1,ROUND(E435*'Performance Standards'!$E$85+'Performance Standards'!$E$86,2)))))))</f>
        <v/>
      </c>
      <c r="G435" s="472"/>
      <c r="H435" s="500"/>
      <c r="I435" s="459"/>
      <c r="J435" s="460"/>
      <c r="K435" s="460"/>
    </row>
    <row r="436" spans="1:11" ht="15" customHeight="1" x14ac:dyDescent="0.35">
      <c r="A436" s="512"/>
      <c r="B436" s="156" t="s">
        <v>170</v>
      </c>
      <c r="C436" s="513" t="s">
        <v>285</v>
      </c>
      <c r="D436" s="579"/>
      <c r="E436" s="174"/>
      <c r="F436" s="253" t="str">
        <f>IF(E436="","",IF(OR(E436&gt;=2,E436&lt;=0.6),0,IF(AND(E436&gt;=1,E436&lt;=1.1),1,ROUND(IF(E436&lt;1,'Performance Standards'!$C$121*E436^2+'Performance Standards'!$C$122*E436+'Performance Standards'!$C$123,'Performance Standards'!$D$121*E436^2+'Performance Standards'!$D$122*E436+'Performance Standards'!$D$123),2))))</f>
        <v/>
      </c>
      <c r="G436" s="247" t="str">
        <f>IFERROR(F436,"")</f>
        <v/>
      </c>
      <c r="H436" s="500"/>
      <c r="I436" s="459"/>
      <c r="J436" s="460"/>
      <c r="K436" s="460"/>
    </row>
    <row r="437" spans="1:11" ht="15" customHeight="1" x14ac:dyDescent="0.35">
      <c r="A437" s="524" t="s">
        <v>6</v>
      </c>
      <c r="B437" s="524" t="s">
        <v>7</v>
      </c>
      <c r="C437" s="55" t="s">
        <v>8</v>
      </c>
      <c r="D437" s="55"/>
      <c r="E437" s="147"/>
      <c r="F437" s="254" t="str">
        <f>IF(E437="","",ROUND(IF(E437&gt;1.6,0,IF(E437&lt;=1,1,E437^2*'Performance Standards'!K$14+E437*'Performance Standards'!K$15+'Performance Standards'!K$16)),2))</f>
        <v/>
      </c>
      <c r="G437" s="526" t="str">
        <f>IFERROR(AVERAGE(F437:F438),"")</f>
        <v/>
      </c>
      <c r="H437" s="526" t="str">
        <f>IFERROR(ROUND(AVERAGE(G437:G438),2),"")</f>
        <v/>
      </c>
      <c r="I437" s="533" t="str">
        <f>IF(H437="","",IF(H437&gt;0.69,"Functioning",IF(H437&gt;0.29,"Functioning At Risk",IF(H437&gt;-1,"Not Functioning"))))</f>
        <v/>
      </c>
      <c r="J437" s="460"/>
      <c r="K437" s="460"/>
    </row>
    <row r="438" spans="1:11" ht="15" customHeight="1" x14ac:dyDescent="0.35">
      <c r="A438" s="525"/>
      <c r="B438" s="525"/>
      <c r="C438" s="57" t="s">
        <v>9</v>
      </c>
      <c r="D438" s="57"/>
      <c r="E438" s="148"/>
      <c r="F438" s="255" t="str">
        <f>IF(E438="","",IF(OR('Quantification Tool'!$B$9="A",'Quantification Tool'!$B$9="Ba",'Quantification Tool'!$B$9="B", 'Quantification Tool'!$B$9="Bc"),IF(E438&lt;1.2,0,IF(E438&gt;=2.2,1,ROUND(IF(E438&lt;1.4,E438*'Performance Standards'!$K$84+'Performance Standards'!$K$85,E438*'Performance Standards'!$L$84+'Performance Standards'!$L$85),2))),IF(OR('Quantification Tool'!$B$9="C",'Quantification Tool'!$B$9="Cb",'Quantification Tool'!$B$9="E"),IF(E438&lt;2,0,IF(E438&gt;=5,1,ROUND(IF(E438&lt;2.4,E438*'Performance Standards'!$L$49+'Performance Standards'!$L$50,E438*'Performance Standards'!$K$49+'Performance Standards'!$K$50),2))))))</f>
        <v/>
      </c>
      <c r="G438" s="527"/>
      <c r="H438" s="532"/>
      <c r="I438" s="534"/>
      <c r="J438" s="460"/>
      <c r="K438" s="460"/>
    </row>
    <row r="439" spans="1:11" ht="15.5" x14ac:dyDescent="0.35">
      <c r="A439" s="477" t="s">
        <v>23</v>
      </c>
      <c r="B439" s="477" t="s">
        <v>24</v>
      </c>
      <c r="C439" s="64" t="s">
        <v>22</v>
      </c>
      <c r="D439" s="67"/>
      <c r="E439" s="115"/>
      <c r="F439" s="246" t="str">
        <f>IF(E439="","",IF(E439&gt;600,1,IF(E439&lt;300,ROUND('Performance Standards'!$S$15*(E439^2)+'Performance Standards'!$S$16*E439+'Performance Standards'!$S$17,2),ROUND('Performance Standards'!$T$16*E439+'Performance Standards'!$T$17,2))))</f>
        <v/>
      </c>
      <c r="G439" s="466" t="str">
        <f>IFERROR(AVERAGE(F439:F440),"")</f>
        <v/>
      </c>
      <c r="H439" s="531" t="str">
        <f>IFERROR(ROUND(AVERAGE(G439:G462),2),"")</f>
        <v/>
      </c>
      <c r="I439" s="460" t="str">
        <f>IF(H439="","",IF(H439&gt;0.69,"Functioning",IF(H439&gt;0.29,"Functioning At Risk",IF(H439&gt;-1,"Not Functioning"))))</f>
        <v/>
      </c>
      <c r="J439" s="460"/>
      <c r="K439" s="460"/>
    </row>
    <row r="440" spans="1:11" ht="15.5" x14ac:dyDescent="0.35">
      <c r="A440" s="478"/>
      <c r="B440" s="479"/>
      <c r="C440" s="66" t="s">
        <v>357</v>
      </c>
      <c r="D440" s="68"/>
      <c r="E440" s="148"/>
      <c r="F440" s="192" t="str">
        <f>IF(E440="","",IF(E440&lt;=0,0,IF(E440&gt;=30,1,ROUND(IF(E440&lt;=15,'Performance Standards'!$S$49*E440^2+'Performance Standards'!$S$50*E440,'Performance Standards'!$T$50*E440+'Performance Standards'!$T$51),2))))</f>
        <v/>
      </c>
      <c r="G440" s="468"/>
      <c r="H440" s="531"/>
      <c r="I440" s="460"/>
      <c r="J440" s="460"/>
      <c r="K440" s="460"/>
    </row>
    <row r="441" spans="1:11" ht="15.5" x14ac:dyDescent="0.35">
      <c r="A441" s="478"/>
      <c r="B441" s="478" t="s">
        <v>46</v>
      </c>
      <c r="C441" s="61" t="s">
        <v>91</v>
      </c>
      <c r="D441" s="61"/>
      <c r="E441" s="115"/>
      <c r="F441" s="238" t="str">
        <f>IF(E441="","",ROUND(IF(E441&gt;0.7,0,IF(E441&lt;=0.1,1,E441^3*'Performance Standards'!S$83+E441^2*'Performance Standards'!S$84+E441*'Performance Standards'!S$85+'Performance Standards'!S$86)),2))</f>
        <v/>
      </c>
      <c r="G441" s="467" t="str">
        <f>IFERROR(IF(E441="",AVERAGE(F442:F443),IF(E442="",F441,MAX(F441,AVERAGE(F442:F443)))),"")</f>
        <v/>
      </c>
      <c r="H441" s="531"/>
      <c r="I441" s="460"/>
      <c r="J441" s="460"/>
      <c r="K441" s="460"/>
    </row>
    <row r="442" spans="1:11" ht="15.5" x14ac:dyDescent="0.35">
      <c r="A442" s="478"/>
      <c r="B442" s="478"/>
      <c r="C442" s="61" t="s">
        <v>47</v>
      </c>
      <c r="D442" s="61"/>
      <c r="E442" s="147"/>
      <c r="F442" s="256" t="str">
        <f>IF(E442="","",IF(OR(E442="Ex/Ex",E442="Ex/VH"),0, IF(OR(E442="Ex/H",E442="VH/Ex",E442="VH/VH", E442="H/Ex",E442="H/VH",E442="M/Ex"),0.1,IF(OR(E442="Ex/M",E442="VH/H",E442="H/H", E442="M/VH"),0.2, IF(OR(E442="Ex/L",E442="VH/M",E442="H/M", E442="M/H",E442="L/Ex"),0.3, IF(OR(E442="Ex/VL",E442="VH/L",E442="H/L"),0.4, IF(OR(E442="VH/VL",E442="H/VL",E442="M/M", E442="L/VH"),0.5, IF(OR(E442="M/L",E442="L/H"),0.6, IF(OR(E442="M/VL",E442="L/M"),0.7, IF(OR(E442="L/L",E442="L/VL"),1))))))))))</f>
        <v/>
      </c>
      <c r="G442" s="467"/>
      <c r="H442" s="531"/>
      <c r="I442" s="460"/>
      <c r="J442" s="460"/>
      <c r="K442" s="460"/>
    </row>
    <row r="443" spans="1:11" ht="15.5" x14ac:dyDescent="0.35">
      <c r="A443" s="478"/>
      <c r="B443" s="478"/>
      <c r="C443" s="63" t="s">
        <v>102</v>
      </c>
      <c r="D443" s="63"/>
      <c r="E443" s="148"/>
      <c r="F443" s="213" t="str">
        <f>IF(E443="","",ROUND(IF(E443&gt;50,0,IF(E443&lt;5,1,IF(E443&gt;9,E443^2*'Performance Standards'!S$119+E443*'Performance Standards'!S$120+'Performance Standards'!S$121,'Performance Standards'!$T$120*E443+'Performance Standards'!$T$121))),2))</f>
        <v/>
      </c>
      <c r="G443" s="467"/>
      <c r="H443" s="531"/>
      <c r="I443" s="460"/>
      <c r="J443" s="460"/>
      <c r="K443" s="460"/>
    </row>
    <row r="444" spans="1:11" ht="15.5" x14ac:dyDescent="0.35">
      <c r="A444" s="478"/>
      <c r="B444" s="477" t="s">
        <v>48</v>
      </c>
      <c r="C444" s="67" t="s">
        <v>447</v>
      </c>
      <c r="D444" s="67"/>
      <c r="E444" s="147"/>
      <c r="F444" s="256" t="str">
        <f>IF(E444="","",IF('Quantification Tool'!$B$22="Unconfined Alluvial",IF(E444&gt;=100,1,IF(E444&lt;30,0,ROUND('Performance Standards'!$S$155*E444^2+'Performance Standards'!$S$156*E444+'Performance Standards'!$S$157,2))),IF('Quantification Tool'!$B$22="Confined Alluvial",(IF(E444&gt;=100,1,IF(E444&lt;60,0,ROUND('Performance Standards'!$T$155*E444^2+'Performance Standards'!$T$156*E444+'Performance Standards'!$T$157,2)))),IF('Quantification Tool'!$B$22="Colluvial/V-Shaped",(IF(E444&gt;=100,1,IF(E444&lt;80,0,ROUND('Performance Standards'!$U$155*E444^2+'Performance Standards'!$U$156*E444+'Performance Standards'!$U$157,2))))))))</f>
        <v/>
      </c>
      <c r="G444" s="466" t="str">
        <f>IFERROR(AVERAGE(F444:F456),"")</f>
        <v/>
      </c>
      <c r="H444" s="531"/>
      <c r="I444" s="460"/>
      <c r="J444" s="460"/>
      <c r="K444" s="460"/>
    </row>
    <row r="445" spans="1:11" ht="15.5" x14ac:dyDescent="0.35">
      <c r="A445" s="478"/>
      <c r="B445" s="478"/>
      <c r="C445" s="61" t="s">
        <v>448</v>
      </c>
      <c r="D445" s="61"/>
      <c r="E445" s="147"/>
      <c r="F445" s="256" t="str">
        <f>IF(E445="","",IF('Quantification Tool'!$B$22="Unconfined Alluvial",IF(E445&gt;=100,1,IF(E445&lt;30,0,ROUND('Performance Standards'!$S$155*E445^2+'Performance Standards'!$S$156*E445+'Performance Standards'!$S$157,2))),IF('Quantification Tool'!$B$22="Confined Alluvial",(IF(E445&gt;=100,1,IF(E445&lt;60,0,ROUND('Performance Standards'!$T$155*E445^2+'Performance Standards'!$T$156*E445+'Performance Standards'!$T$157,2)))),IF('Quantification Tool'!$B$22="Colluvial/V-Shaped",(IF(E445&gt;=100,1,IF(E445&lt;80,0,ROUND('Performance Standards'!$U$155*E445^2+'Performance Standards'!$U$156*E445+'Performance Standards'!$U$157,2))))))))</f>
        <v/>
      </c>
      <c r="G445" s="467"/>
      <c r="H445" s="531"/>
      <c r="I445" s="460"/>
      <c r="J445" s="460"/>
      <c r="K445" s="460"/>
    </row>
    <row r="446" spans="1:11" ht="15.5" x14ac:dyDescent="0.35">
      <c r="A446" s="478"/>
      <c r="B446" s="478"/>
      <c r="C446" s="61" t="s">
        <v>299</v>
      </c>
      <c r="D446" s="61"/>
      <c r="E446" s="147"/>
      <c r="F446" s="256" t="str">
        <f>IF(E446="","",IF('Quantification Tool'!$B$20="Herbaceous","",IF(E446="","",IF('Quantification Tool'!$B$10="Mountains",(IF(E446&gt;=90,1,ROUND('Performance Standards'!$S$191*E446^3+'Performance Standards'!$S$192*E446^2+'Performance Standards'!$S$193*E446+'Performance Standards'!$S$194,2))),IF('Quantification Tool'!$B$10="Basin",(IF(E446&gt;=90,1,ROUND('Performance Standards'!$T$191*E446^3+'Performance Standards'!$T$192*E446^2+'Performance Standards'!$T$193*E446+'Performance Standards'!$T$194,2))),(IF('Quantification Tool'!$B$10="Plains",(IF(E446&gt;=75,1,ROUND('Performance Standards'!$U$191*E446^3+'Performance Standards'!$U$192*E446^2+'Performance Standards'!$U$193*E446+'Performance Standards'!$U$194,2))))))))))</f>
        <v/>
      </c>
      <c r="G446" s="467"/>
      <c r="H446" s="531"/>
      <c r="I446" s="460"/>
      <c r="J446" s="460"/>
      <c r="K446" s="460"/>
    </row>
    <row r="447" spans="1:11" ht="15.5" x14ac:dyDescent="0.35">
      <c r="A447" s="478"/>
      <c r="B447" s="478"/>
      <c r="C447" s="61" t="s">
        <v>300</v>
      </c>
      <c r="D447" s="61"/>
      <c r="E447" s="147"/>
      <c r="F447" s="256" t="str">
        <f>IF(E447="","",IF('Quantification Tool'!$B$20="Herbaceous","",IF(E447="","",IF('Quantification Tool'!$B$10="Mountains",(IF(E447&gt;=90,1,ROUND('Performance Standards'!$S$191*E447^3+'Performance Standards'!$S$192*E447^2+'Performance Standards'!$S$193*E447+'Performance Standards'!$S$194,2))),IF('Quantification Tool'!$B$10="Basin",(IF(E447&gt;=90,1,ROUND('Performance Standards'!$T$191*E447^3+'Performance Standards'!$T$192*E447^2+'Performance Standards'!$T$193*E447+'Performance Standards'!$T$194,2))),(IF('Quantification Tool'!$B$10="Plains",(IF(E447&gt;=75,1,ROUND('Performance Standards'!$U$191*E447^3+'Performance Standards'!$U$192*E447^2+'Performance Standards'!$U$193*E447+'Performance Standards'!$U$194,2))))))))))</f>
        <v/>
      </c>
      <c r="G447" s="467"/>
      <c r="H447" s="531"/>
      <c r="I447" s="460"/>
      <c r="J447" s="460"/>
      <c r="K447" s="460"/>
    </row>
    <row r="448" spans="1:11" ht="15.5" x14ac:dyDescent="0.35">
      <c r="A448" s="478"/>
      <c r="B448" s="478"/>
      <c r="C448" s="61" t="s">
        <v>301</v>
      </c>
      <c r="D448" s="61"/>
      <c r="E448" s="147"/>
      <c r="F448" s="256" t="str">
        <f>IF(E448="","",IF('Quantification Tool'!$B$20="Herbaceous",IF(E448&lt;30,0,IF(E448&gt;=100,1,ROUND(E448^2*'Performance Standards'!$S$225+E448*'Performance Standards'!$S$226+'Performance Standards'!$S$227,2))),IF('Quantification Tool'!$B$22="Colluvial/V-Shaped",IF(E448&gt;=100,0,IF(AND(E448&gt;=0,E448&lt;=15),ROUND(E448*'Performance Standards'!$S$259+'Performance Standards'!$S$260,2),IF(AND(E448&gt;=15,E448&lt;=55),ROUND(E448*'Performance Standards'!$T$259+'Performance Standards'!$T$260,2),IF(AND(E448&gt;=56,E448&lt;=100),ROUND(E448^2*'Performance Standards'!$U$259+E448*'Performance Standards'!$U$260+'Performance Standards'!$U$261,2))))),IF(OR(E448&gt;=100,E448&lt;=0),0,IF(AND(E448&gt;0,E448&lt;=70),ROUND(E448^2*'Performance Standards'!$S$292+E448*'Performance Standards'!$S$293+'Performance Standards'!$S$294,2),IF(AND(E448&gt;70,E448&lt;100),ROUND(E448^2*'Performance Standards'!$T$292+E448*'Performance Standards'!$T$293+'Performance Standards'!$T$294,2)))))))</f>
        <v/>
      </c>
      <c r="G448" s="467"/>
      <c r="H448" s="531"/>
      <c r="I448" s="460"/>
      <c r="J448" s="460"/>
      <c r="K448" s="460"/>
    </row>
    <row r="449" spans="1:12" ht="15.5" x14ac:dyDescent="0.35">
      <c r="A449" s="478"/>
      <c r="B449" s="478"/>
      <c r="C449" s="61" t="s">
        <v>302</v>
      </c>
      <c r="D449" s="61"/>
      <c r="E449" s="147"/>
      <c r="F449" s="256" t="str">
        <f>IF(E449="","",IF('Quantification Tool'!$B$20="Herbaceous",IF(E449&lt;30,0,IF(E449&gt;=100,1,ROUND(E449^2*'Performance Standards'!$S$225+E449*'Performance Standards'!$S$226+'Performance Standards'!$S$227,2))),IF('Quantification Tool'!$B$22="Colluvial/V-Shaped",IF(E449&gt;=100,0,IF(AND(E449&gt;=0,E449&lt;=15),ROUND(E449*'Performance Standards'!$S$259+'Performance Standards'!$S$260,2),IF(AND(E449&gt;=15,E449&lt;=55),ROUND(E449*'Performance Standards'!$T$259+'Performance Standards'!$T$260,2),IF(AND(E449&gt;=56,E449&lt;=100),ROUND(E449^2*'Performance Standards'!$U$259+E449*'Performance Standards'!$U$260+'Performance Standards'!$U$261,2))))),IF(OR(E449&gt;=100,E449&lt;=0),0,IF(AND(E449&gt;0,E449&lt;=70),ROUND(E449^2*'Performance Standards'!$S$292+E449*'Performance Standards'!$S$293+'Performance Standards'!$S$294,2),IF(AND(E449&gt;70,E449&lt;100),ROUND(E449^2*'Performance Standards'!$T$292+E449*'Performance Standards'!$T$293+'Performance Standards'!$T$294,2)))))))</f>
        <v/>
      </c>
      <c r="G449" s="467"/>
      <c r="H449" s="531"/>
      <c r="I449" s="460"/>
      <c r="J449" s="460"/>
      <c r="K449" s="460"/>
    </row>
    <row r="450" spans="1:12" ht="15.5" x14ac:dyDescent="0.35">
      <c r="A450" s="478"/>
      <c r="B450" s="478"/>
      <c r="C450" s="61" t="s">
        <v>304</v>
      </c>
      <c r="D450" s="61"/>
      <c r="E450" s="147"/>
      <c r="F450" s="256" t="str">
        <f>IF(E450="","",ROUND(IF(E450&gt;=100,0,E450^2*'Performance Standards'!$S$324+E450*'Performance Standards'!$S$325+'Performance Standards'!$S$326),2))</f>
        <v/>
      </c>
      <c r="G450" s="467"/>
      <c r="H450" s="531"/>
      <c r="I450" s="460"/>
      <c r="J450" s="460"/>
      <c r="K450" s="460"/>
    </row>
    <row r="451" spans="1:12" ht="15.5" x14ac:dyDescent="0.35">
      <c r="A451" s="478"/>
      <c r="B451" s="478"/>
      <c r="C451" s="61" t="s">
        <v>305</v>
      </c>
      <c r="D451" s="61"/>
      <c r="E451" s="147"/>
      <c r="F451" s="256" t="str">
        <f>IF(E451="","",ROUND(IF(E451&gt;=100,0,E451^2*'Performance Standards'!$S$324+E451*'Performance Standards'!$S$325+'Performance Standards'!$S$326),2))</f>
        <v/>
      </c>
      <c r="G451" s="467"/>
      <c r="H451" s="531"/>
      <c r="I451" s="460"/>
      <c r="J451" s="460"/>
      <c r="K451" s="460"/>
    </row>
    <row r="452" spans="1:12" ht="15.5" x14ac:dyDescent="0.35">
      <c r="A452" s="478"/>
      <c r="B452" s="478"/>
      <c r="C452" s="61" t="s">
        <v>307</v>
      </c>
      <c r="D452" s="61"/>
      <c r="E452" s="147"/>
      <c r="F452" s="256" t="str">
        <f>IF(E452="","",ROUND(IF(E452&gt;=100,1,E452^3*'Performance Standards'!$S$357+E452^2*'Performance Standards'!$S$358+E452*'Performance Standards'!$S$359+$S$139),2))</f>
        <v/>
      </c>
      <c r="G452" s="467"/>
      <c r="H452" s="531"/>
      <c r="I452" s="460"/>
      <c r="J452" s="460"/>
      <c r="K452" s="460"/>
    </row>
    <row r="453" spans="1:12" ht="15.5" x14ac:dyDescent="0.35">
      <c r="A453" s="478"/>
      <c r="B453" s="478"/>
      <c r="C453" s="61" t="s">
        <v>308</v>
      </c>
      <c r="D453" s="61"/>
      <c r="E453" s="147"/>
      <c r="F453" s="256" t="str">
        <f>IF(E453="","",ROUND(IF(E453&gt;=100,1,E453^3*'Performance Standards'!$S$357+E453^2*'Performance Standards'!$S$358+E453*'Performance Standards'!$S$359+$S$139),2))</f>
        <v/>
      </c>
      <c r="G453" s="467"/>
      <c r="H453" s="531"/>
      <c r="I453" s="460"/>
      <c r="J453" s="460"/>
      <c r="K453" s="460"/>
      <c r="L453" s="7"/>
    </row>
    <row r="454" spans="1:12" ht="15.5" x14ac:dyDescent="0.35">
      <c r="A454" s="478"/>
      <c r="B454" s="478"/>
      <c r="C454" s="61" t="s">
        <v>158</v>
      </c>
      <c r="D454" s="61"/>
      <c r="E454" s="159"/>
      <c r="F454" s="192" t="str">
        <f>IF(E454="","",IF(OR(E454&gt;=50,E454&lt;=0),0,IF(AND(E454&gt;=25,E454&lt;=36),1,ROUND(IF(E454&lt;25,'Performance Standards'!$S$394*E454^3+'Performance Standards'!$S$395*E454^2+'Performance Standards'!$S$396*E454+'Performance Standards'!$S$397,'Performance Standards'!$T$394*E454^3+'Performance Standards'!$T$395*E454^2+'Performance Standards'!$T$396*E454+'Performance Standards'!$T$397),2))))</f>
        <v/>
      </c>
      <c r="G454" s="467"/>
      <c r="H454" s="531"/>
      <c r="I454" s="460"/>
      <c r="J454" s="460"/>
      <c r="K454" s="460"/>
      <c r="L454" s="7"/>
    </row>
    <row r="455" spans="1:12" ht="15.5" x14ac:dyDescent="0.35">
      <c r="A455" s="478"/>
      <c r="B455" s="478"/>
      <c r="C455" s="61" t="s">
        <v>159</v>
      </c>
      <c r="D455" s="61"/>
      <c r="E455" s="147"/>
      <c r="F455" s="192" t="str">
        <f>IF(E455="","",IF(OR(E455&gt;=50,E455&lt;=0),0,IF(AND(E455&gt;=25,E455&lt;=36),1,ROUND(IF(E455&lt;25,'Performance Standards'!$S$394*E455^3+'Performance Standards'!$S$395*E455^2+'Performance Standards'!$S$396*E455+'Performance Standards'!$S$397,'Performance Standards'!$T$394*E455^3+'Performance Standards'!$T$395*E455^2+'Performance Standards'!$T$396*E455+'Performance Standards'!$T$397),2))))</f>
        <v/>
      </c>
      <c r="G455" s="467"/>
      <c r="H455" s="531"/>
      <c r="I455" s="460"/>
      <c r="J455" s="460"/>
      <c r="K455" s="460"/>
      <c r="L455" s="7"/>
    </row>
    <row r="456" spans="1:12" ht="15.5" x14ac:dyDescent="0.35">
      <c r="A456" s="478"/>
      <c r="B456" s="479"/>
      <c r="C456" s="61" t="s">
        <v>298</v>
      </c>
      <c r="D456" s="68"/>
      <c r="E456" s="148"/>
      <c r="F456" s="256" t="str">
        <f>IF(E456="","",ROUND(IF(E456&lt;=2,0,IF(E456&gt;=9,1,E456^3*'Performance Standards'!S$430+E456^2*'Performance Standards'!$S$431+E456*'Performance Standards'!$S$432+'Performance Standards'!$S$433)),2))</f>
        <v/>
      </c>
      <c r="G456" s="468"/>
      <c r="H456" s="531"/>
      <c r="I456" s="460"/>
      <c r="J456" s="460"/>
      <c r="K456" s="460"/>
      <c r="L456" s="7"/>
    </row>
    <row r="457" spans="1:12" ht="15.5" x14ac:dyDescent="0.35">
      <c r="A457" s="478"/>
      <c r="B457" s="59" t="s">
        <v>121</v>
      </c>
      <c r="C457" s="74" t="s">
        <v>160</v>
      </c>
      <c r="D457" s="61"/>
      <c r="E457" s="43"/>
      <c r="F457" s="191" t="str">
        <f>IF(E457="","",IF('Quantification Tool'!$B$13="Sand","NA",IF(E457&gt;0.1,1,IF(E457&lt;=0.01,0,ROUND(E457*'Performance Standards'!$S$464+'Performance Standards'!$S$465,2)))))</f>
        <v/>
      </c>
      <c r="G457" s="83" t="str">
        <f>IFERROR(AVERAGE(F457),"")</f>
        <v/>
      </c>
      <c r="H457" s="531"/>
      <c r="I457" s="460"/>
      <c r="J457" s="460"/>
      <c r="K457" s="460"/>
      <c r="L457" s="7"/>
    </row>
    <row r="458" spans="1:12" ht="15.5" x14ac:dyDescent="0.35">
      <c r="A458" s="478"/>
      <c r="B458" s="477" t="s">
        <v>49</v>
      </c>
      <c r="C458" s="67" t="s">
        <v>50</v>
      </c>
      <c r="D458" s="67"/>
      <c r="E458" s="160"/>
      <c r="F458" s="161" t="str">
        <f>IF(E458="","",IF('Quantification Tool'!$B$9="Bc",IF(OR(E458&gt;9.2,E458&lt;=0.1),0,IF(E458&lt;=4,1,ROUND('Performance Standards'!$S$598*E458^2+'Performance Standards'!$S$599*E458+'Performance Standards'!$S$600,2))),IF(OR('Quantification Tool'!$B$9="B",'Quantification Tool'!$B$9="Ba"),IF(OR(E458&gt;7.5,E458&lt;=0.1),0,IF(E458&lt;=3,1,ROUND(IF(E458&gt;4,'Performance Standards'!$S$567*E458+'Performance Standards'!$S$568,'Performance Standards'!$T$567*E458+'Performance Standards'!$T$568),2))),IF('Quantification Tool'!$B$9="Cb",IF(OR(E458&gt;=7.6,E458&lt;=2.4),0,IF(AND(E458&gt;=3.7,E458&lt;=5),1,ROUND(IF(E458&lt;4,'Performance Standards'!$S$534*E458^2+'Performance Standards'!$S$535*E458+'Performance Standards'!$S$536,'Performance Standards'!$T$534*E458^2+'Performance Standards'!$T$535*E458+'Performance Standards'!$T$536),2))),IF('Quantification Tool'!$B$9="C",IF(OR(E458&gt;9.3,E458&lt;=3),0,IF(AND(E458&gt;=4,E458&lt;=6),1,ROUND(IF(E458&lt;4,'Performance Standards'!$S$500*E458+'Performance Standards'!$S$501,'Performance Standards'!$T$500*E458+'Performance Standards'!$T$501),2))))))))</f>
        <v/>
      </c>
      <c r="G458" s="466" t="str">
        <f>IFERROR(AVERAGE(F458:F461),"")</f>
        <v/>
      </c>
      <c r="H458" s="531"/>
      <c r="I458" s="460"/>
      <c r="J458" s="460"/>
      <c r="K458" s="460"/>
      <c r="L458" s="7"/>
    </row>
    <row r="459" spans="1:12" ht="15.5" x14ac:dyDescent="0.35">
      <c r="A459" s="478"/>
      <c r="B459" s="478"/>
      <c r="C459" s="61" t="s">
        <v>51</v>
      </c>
      <c r="D459" s="61"/>
      <c r="E459" s="159"/>
      <c r="F459" s="85" t="str">
        <f>IF(E459="","",IF(E459&lt;=1.1,0,IF(E459&gt;=2.5,1,ROUND(IF(E459&lt;1.2,'Performance Standards'!$S$632*E459+'Performance Standards'!$S$633,'Performance Standards'!$T$631*E459^2+'Performance Standards'!$T$632*E459+'Performance Standards'!$T$633),2))))</f>
        <v/>
      </c>
      <c r="G459" s="467"/>
      <c r="H459" s="531"/>
      <c r="I459" s="460"/>
      <c r="J459" s="460"/>
      <c r="K459" s="460"/>
      <c r="L459" s="7"/>
    </row>
    <row r="460" spans="1:12" ht="15.5" x14ac:dyDescent="0.35">
      <c r="A460" s="478"/>
      <c r="B460" s="478"/>
      <c r="C460" s="61" t="s">
        <v>52</v>
      </c>
      <c r="D460" s="61"/>
      <c r="E460" s="159"/>
      <c r="F460" s="245" t="str">
        <f>IF(E460="","",IF('Quantification Tool'!$B$11="Volcanic Mountains &amp; Valleys", IF(OR(E460&gt;95,E460&lt;58),0,IF(AND(E460&gt;=73,E460&lt;=80),1, ROUND(IF(E460&lt;73,'Performance Standards'!$S$665*E460^2+'Performance Standards'!$S$666*E460+'Performance Standards'!$S$667, 'Performance Standards'!$T$665*E460^2+'Performance Standards'!$T$666*E460+'Performance Standards'!$T$667),2))), IF('Quantification Tool'!$B$16="","Need Slope",IF('Quantification Tool'!$B$16&lt;3,IF( OR(E460&gt;73,E460&lt;37),0, IF(AND(E460&gt;=50,E460&lt;= 60), 1, ROUND(IF(E460&lt;50,'Performance Standards'!$S$699*E460^2+'Performance Standards'!$S$700*E460+'Performance Standards'!$S$701, IF(E460&gt;60,'Performance Standards'!$T$699*E460^2+'Performance Standards'!$T$700*E460+'Performance Standards'!$T$701)),2))), IF('Quantification Tool'!$B$16&gt;=3,IF(OR(E460&gt;88,E460&lt;57),0, IF(AND(E460 &gt;=70, E460&lt;=76),1, ROUND(IF(E460&lt;70,'Performance Standards'!$S$734*E460^2+'Performance Standards'!$S$735*E460+'Performance Standards'!$S$736,'Performance Standards'!$T$734*E460^2+'Performance Standards'!$T$735*E460+'Performance Standards'!$T$736),2) )))))))</f>
        <v/>
      </c>
      <c r="G460" s="467"/>
      <c r="H460" s="531"/>
      <c r="I460" s="460"/>
      <c r="J460" s="460"/>
      <c r="K460" s="460"/>
      <c r="L460" s="7"/>
    </row>
    <row r="461" spans="1:12" ht="15.5" x14ac:dyDescent="0.35">
      <c r="A461" s="478"/>
      <c r="B461" s="479"/>
      <c r="C461" s="66" t="s">
        <v>248</v>
      </c>
      <c r="D461" s="68"/>
      <c r="E461" s="154"/>
      <c r="F461" s="248" t="str">
        <f>IF(E461="","",IF(E461&gt;=1.6,0,IF(E461&lt;=1,1,ROUND('Performance Standards'!$S$766*E461^3+'Performance Standards'!$S$767*E461^2+'Performance Standards'!$S$768*E461+'Performance Standards'!$S$769,2))))</f>
        <v/>
      </c>
      <c r="G461" s="468"/>
      <c r="H461" s="531"/>
      <c r="I461" s="460"/>
      <c r="J461" s="460"/>
      <c r="K461" s="460"/>
      <c r="L461" s="7"/>
    </row>
    <row r="462" spans="1:12" ht="15.5" x14ac:dyDescent="0.35">
      <c r="A462" s="479"/>
      <c r="B462" s="424" t="s">
        <v>54</v>
      </c>
      <c r="C462" s="68" t="s">
        <v>53</v>
      </c>
      <c r="D462" s="68"/>
      <c r="E462" s="148"/>
      <c r="F462" s="70" t="str">
        <f>IF(E462="","",IF('Quantification Tool'!$B$9="E",IF(OR(E462&gt;2,E462&lt;1.2),0, IF(AND(E462&gt;=1.6, E462&lt;=1.7),1, ROUND(IF(E462&lt;1.3,E462*'Performance Standards'!S$803+'Performance Standards'!S$804,IF(E462&lt;=1.6,E462*'Performance Standards'!T$803+'Performance Standards'!T$804, E462^2*'Performance Standards'!U$802+E462*'Performance Standards'!U$803+'Performance Standards'!$U$804)),2))),IF(LEFT('Quantification Tool'!$B$9,1)="C",IF(OR(E462&lt;1.15, E462&gt;1.5),0, IF(AND(E462&lt;=1.35,E462&gt;=1.25),1,ROUND(IF(E462&lt;1.25,E462^2*'Performance Standards'!$S$836+E462*'Performance Standards'!$S$837+'Performance Standards'!$S$838, E462^2*'Performance Standards'!$T$836+E462*'Performance Standards'!$T$837+'Performance Standards'!$T$838),2))),IF(LEFT('Quantification Tool'!$B$9,1)="B",IF(OR(E462&gt;1.4,E462&lt;1),0, IF(AND(E462&gt;=1.15,E462&lt;=1.25),1, ROUND(IF(E462&lt;=1.15,E462^2*'Performance Standards'!$S$867+E462*'Performance Standards'!$S$868+'Performance Standards'!$S$869,E462^2*'Performance Standards'!$T$867+E462*'Performance Standards'!$T$868+'Performance Standards'!$T$869),2)))))))</f>
        <v/>
      </c>
      <c r="G462" s="85" t="str">
        <f>IFERROR(AVERAGE(F462),"")</f>
        <v/>
      </c>
      <c r="H462" s="531"/>
      <c r="I462" s="460"/>
      <c r="J462" s="460"/>
      <c r="K462" s="460"/>
      <c r="L462" s="7"/>
    </row>
    <row r="463" spans="1:12" ht="16.5" customHeight="1" x14ac:dyDescent="0.35">
      <c r="A463" s="453" t="s">
        <v>58</v>
      </c>
      <c r="B463" s="453" t="s">
        <v>93</v>
      </c>
      <c r="C463" s="182" t="s">
        <v>272</v>
      </c>
      <c r="D463" s="71"/>
      <c r="E463" s="147"/>
      <c r="F463" s="178" t="str">
        <f>IF(E463="","",IF('Quantification Tool'!$B$18="","Enter Stream Temperature",IF('Quantification Tool'!$B$18="Tier I (Cold) ",IF(E463&gt;=24.6,0,IF(E463&lt;=15.5,1,ROUND(E463*'Performance Standards'!$AB$19+'Performance Standards'!$AB$20,2))),IF('Quantification Tool'!$B$18="Tier II (Cold-Cool)",IF(E463&gt;=27.8,0,IF(E463&lt;=15.6,1,ROUND(E463*'Performance Standards'!$AC$19+'Performance Standards'!$AC$20,2))),IF('Quantification Tool'!$B$18="Tier III (Cool) ",IF(E463&gt;=32.4,0,IF(E463&lt;=17.8,1,ROUND(E463*'Performance Standards'!$AD$19+'Performance Standards'!$AD$20,2))),IF('Quantification Tool'!$B$18="Tier IV (Cool-Warm)",IF(E463&gt;=34.6,0,IF(E463&lt;=20,1,ROUND(E463*'Performance Standards'!$AE$19+'Performance Standards'!$AE$20,2))),IF('Quantification Tool'!$B$18="Tier V (Warm)",IF(E463&gt;35.4,0,IF(E463&lt;=24.6,1,ROUND(E463*'Performance Standards'!$AF$19+'Performance Standards'!$AF$20,2))))))))))</f>
        <v/>
      </c>
      <c r="G463" s="455" t="str">
        <f>IFERROR(IF(E463="",F464,IF(E464="",F463,MIN(F463:F464))),"")</f>
        <v/>
      </c>
      <c r="H463" s="455" t="str">
        <f>IFERROR(ROUND(AVERAGE(G463:G465),2),"")</f>
        <v/>
      </c>
      <c r="I463" s="459" t="str">
        <f>IF(H463="","",IF(H463&gt;0.69,"Functioning",IF(H463&gt;0.29,"Functioning At Risk",IF(H463&gt;-1,"Not Functioning"))))</f>
        <v/>
      </c>
      <c r="J463" s="460"/>
      <c r="K463" s="460"/>
    </row>
    <row r="464" spans="1:12" ht="15.75" customHeight="1" x14ac:dyDescent="0.35">
      <c r="A464" s="469"/>
      <c r="B464" s="454"/>
      <c r="C464" s="183" t="s">
        <v>273</v>
      </c>
      <c r="D464" s="71"/>
      <c r="E464" s="147"/>
      <c r="F464" s="179" t="str">
        <f>IF(E464="","",IF('Quantification Tool'!$B$18="","Enter Stream Temperature",IF('Quantification Tool'!$B$18="Tier I (Cold) ",IF(E464&gt;=19.3,0,IF(E464&lt;=15.5,1,ROUND(E464*'Performance Standards'!$AB$55+'Performance Standards'!$AB$56,2))),IF('Quantification Tool'!$B$18="Tier II (Cold-Cool)",IF(E464&gt;=21,0,IF(E464&lt;=15.6,1,ROUND(E464*'Performance Standards'!$AC$55+'Performance Standards'!$AC$56,2))),IF('Quantification Tool'!$B$18="Tier III (Cool) ",IF(E464&gt;=24,0,IF(E464&lt;=17.8,1,ROUND(E464*'Performance Standards'!$AD$55+'Performance Standards'!$AD$56,2))),IF('Quantification Tool'!$B$18="Tier IV (Cool-Warm)",IF(E464&gt;=28.8,0,IF(E464&lt;=20,1,ROUND(E464*'Performance Standards'!$AE$55+'Performance Standards'!$AE$56,2))),IF('Quantification Tool'!$B$18="Tier V (Warm)",IF(E464&gt;=31,0,IF(E464&lt;=24.5,1,ROUND(E464*'Performance Standards'!$AF$55+'Performance Standards'!$AF$56,2))))))))))</f>
        <v/>
      </c>
      <c r="G464" s="456"/>
      <c r="H464" s="535"/>
      <c r="I464" s="459"/>
      <c r="J464" s="460"/>
      <c r="K464" s="460"/>
    </row>
    <row r="465" spans="1:11" ht="15.75" customHeight="1" x14ac:dyDescent="0.35">
      <c r="A465" s="454"/>
      <c r="B465" s="243" t="s">
        <v>297</v>
      </c>
      <c r="C465" s="75" t="s">
        <v>238</v>
      </c>
      <c r="D465" s="72"/>
      <c r="E465" s="43"/>
      <c r="F465" s="163" t="str">
        <f>IF(E465="","",IF(OR('Quantification Tool'!$B$10="Basin",'Quantification Tool'!$B$10="Plains"),IF(E465&gt;=150,0,IF(E465&lt;21,1,ROUND('Performance Standards'!$AB$87*LN(E465)+'Performance Standards'!$AB$88,2))),IF(E465&gt;=97,0,IF(E465&lt;=13,1,ROUND('Performance Standards'!$AB$120*LN(E465)+'Performance Standards'!$AB$121,2)))))</f>
        <v/>
      </c>
      <c r="G465" s="87" t="str">
        <f>IFERROR(AVERAGE(F465),"")</f>
        <v/>
      </c>
      <c r="H465" s="456"/>
      <c r="I465" s="459"/>
      <c r="J465" s="460"/>
      <c r="K465" s="460"/>
    </row>
    <row r="466" spans="1:11" ht="15.75" customHeight="1" x14ac:dyDescent="0.35">
      <c r="A466" s="482" t="s">
        <v>59</v>
      </c>
      <c r="B466" s="457" t="s">
        <v>73</v>
      </c>
      <c r="C466" s="112" t="s">
        <v>217</v>
      </c>
      <c r="D466" s="113"/>
      <c r="E466" s="115"/>
      <c r="F466" s="153" t="str">
        <f>IF(E466="","",IF('Quantification Tool'!$B$11="","Enter Bioregion",IF('Quantification Tool'!$B$11="Wyoming Basin",IF(E466&lt;0.26,0,IF(E466&gt;0.94,1,ROUND('Performance Standards'!$AK$18*E466+'Performance Standards'!$AK$19,2))), IF('Quantification Tool'!$B$11="Black Hills",IF(E466&lt;0.2,0,IF(E466&gt;0.98,1,ROUND('Performance Standards'!$AL$18*E466+'Performance Standards'!$AL$19,2))), IF('Quantification Tool'!$B$11="High Valleys",IF(E466&lt;0.23,0,IF(E466&gt;0.95,1,ROUND('Performance Standards'!$AM$18*E466+'Performance Standards'!$AM$19,2))), IF('Quantification Tool'!$B$11="Sedimentary Mountains",IF(E466&lt;=0.23,0,IF(E466&gt;=1,1,ROUND('Performance Standards'!$AN$18*E466+'Performance Standards'!$AN$19,2))), IF('Quantification Tool'!$B$11="Southern Rockies",IF(E466&lt;0.07,0,IF(E466&gt;0.96,1,ROUND('Performance Standards'!$AK$54*E466+'Performance Standards'!$AK$55,2))), IF('Quantification Tool'!$B$11="SE Plains",IF(E466&lt;0.2,0,IF(E466&gt;0.95,1,ROUND('Performance Standards'!$AL$54*E466+'Performance Standards'!$AL$55,2))), IF('Quantification Tool'!$B$11="NE Plains",IF(E466&lt;0.2,0,IF(E466&gt;0.94,1,ROUND('Performance Standards'!$AM$54*E466+'Performance Standards'!$AM$55,2))),IF('Quantification Tool'!$B$11="Granitic Mountains",IF(E466&lt;0.45,0,IF(E466&gt;=1,1,ROUND('Performance Standards'!$AK$92*E466+'Performance Standards'!$AK$93,2))),IF('Quantification Tool'!$B$11="Bighorn Basin Foothills",IF(E466&lt;=0.1,0,IF(E466&gt;=1,1,ROUND('Performance Standards'!$AL$92*E466+'Performance Standards'!$AL$93,2))),IF('Quantification Tool'!$B$11="Volcanic Mountains &amp; Valleys",IF(E466&lt;0.35,0,IF(E466&gt;=1,1,ROUND('Performance Standards'!$AN$92*E466+'Performance Standards'!$AN$93,2))), IF('Quantification Tool'!$B$11="Southern Foothills &amp; Laramie Range",IF(E466&lt;0.3,0,IF(E466&gt;=1,1,ROUND('Performance Standards'!$AM$92*E466+'Performance Standards'!$AM$93,2))) )))))))))))))</f>
        <v/>
      </c>
      <c r="G466" s="473" t="str">
        <f>IFERROR(IF(AND(F466="",F467=""),"",IF(OR(F466="",F467=""),AVERAGE(F466:F467),IF(OR(F466&lt;0.3,F467&lt;0.3),IF(OR(F466&gt;=0.7,F467&gt;=0.7),MIN(0.69,AVERAGE(F466:F467)),MIN(0.29,AVERAGE(F466:F467))), IF(OR(F466&gt;=0.7,F467&gt;=0.7),IF(AVERAGE(F466:F467)&lt;0.7,0.7,AVERAGE(F466:F467)),AVERAGE(F466:F467))))),"")</f>
        <v/>
      </c>
      <c r="H466" s="485" t="str">
        <f>IFERROR(ROUND(AVERAGE(G466:G470),2),"")</f>
        <v/>
      </c>
      <c r="I466" s="459" t="str">
        <f>IF(H466="","",IF(H466&gt;0.69,"Functioning",IF(H466&gt;0.29,"Functioning At Risk",IF(H466&gt;-1,"Not Functioning"))))</f>
        <v/>
      </c>
      <c r="J466" s="460"/>
      <c r="K466" s="460"/>
    </row>
    <row r="467" spans="1:11" ht="15.75" customHeight="1" x14ac:dyDescent="0.35">
      <c r="A467" s="483"/>
      <c r="B467" s="458"/>
      <c r="C467" s="249" t="s">
        <v>218</v>
      </c>
      <c r="D467" s="250"/>
      <c r="E467" s="154"/>
      <c r="F467" s="88" t="str">
        <f>IF(E467="","",IF('Quantification Tool'!$B$11="","Enter Bioregion",IF('Quantification Tool'!$B$11="Wyoming Basin",IF(E467&lt;0.34,0,IF(E467&gt;0.96,1,ROUND('Performance Standards'!$AK$128*E467+'Performance Standards'!$AK$129,2))), IF('Quantification Tool'!$B$11="Black Hills",IF(E467&lt;0.36,0,IF(E467&gt;=1,1,ROUND('Performance Standards'!$AL$128*E467+'Performance Standards'!$AL$129,2))), IF('Quantification Tool'!$B$11="High Valleys",IF(E467&lt;0.38,0,IF(E467&gt;0.98,1,ROUND('Performance Standards'!$AM$128*E467+'Performance Standards'!$AM$129,2))), IF('Quantification Tool'!$B$11="Sedimentary Mountains",IF(E467&lt;0.36,0,IF(E467&gt;0.97,1,ROUND('Performance Standards'!$AN$128*E467+'Performance Standards'!$AN$129,2))), IF('Quantification Tool'!$B$11="Southern Rockies",IF(E467&lt;0.25,0,IF(E467&gt;=1,1,ROUND('Performance Standards'!$AK$165*E467+'Performance Standards'!$AK$166,2))), IF('Quantification Tool'!$B$11="SE Plains",IF(E467&lt;0.33,0,IF(E467&gt;0.95,1,ROUND('Performance Standards'!$AL$165*E467+'Performance Standards'!$AL$166,2))), IF('Quantification Tool'!$B$11="NE Plains",IF(E467&lt;0.35,0,IF(E467&gt;0.98,1,ROUND('Performance Standards'!$AM$165*E467+'Performance Standards'!$AM$166,2))),IF('Quantification Tool'!$B$11="Granitic Mountains",IF(E467&lt;0.5,0,IF(E467&gt;0.98,1,ROUND('Performance Standards'!$AK$202*E467+'Performance Standards'!$AK$203,2))),IF('Quantification Tool'!$B$11="Bighorn Basin Foothills",IF(E467&lt;0.48,0,IF(E467&gt;=1,1,ROUND('Performance Standards'!$AL$202*E467+'Performance Standards'!$AL$203,2))),IF('Quantification Tool'!$B$11="Volcanic Mountains &amp; Valleys",IF(E467&lt;=0.2,0,IF(E467&gt;=1,1,ROUND('Performance Standards'!$AN$202*E467+'Performance Standards'!$AN$203,2))), IF('Quantification Tool'!$B$11="Southern Foothills &amp; Laramie Range",IF(E467&lt;0.28,0,IF(E467&gt;=1,1,ROUND('Performance Standards'!$AM$202*E467+'Performance Standards'!$AM$203,2))) )))))))))))))</f>
        <v/>
      </c>
      <c r="G467" s="475"/>
      <c r="H467" s="485"/>
      <c r="I467" s="459"/>
      <c r="J467" s="460"/>
      <c r="K467" s="460"/>
    </row>
    <row r="468" spans="1:11" ht="15.5" x14ac:dyDescent="0.35">
      <c r="A468" s="483"/>
      <c r="B468" s="457" t="s">
        <v>85</v>
      </c>
      <c r="C468" s="180" t="s">
        <v>264</v>
      </c>
      <c r="D468" s="113"/>
      <c r="E468" s="160"/>
      <c r="F468" s="172" t="str">
        <f>IF(E468="","",IF(E468&lt;58,0,IF(E468&gt;=100,1,ROUND(E468*'Performance Standards'!$AK$240+'Performance Standards'!$AK$241,2))))</f>
        <v/>
      </c>
      <c r="G468" s="473" t="str">
        <f>IFERROR(AVERAGE(F468:F470),"")</f>
        <v/>
      </c>
      <c r="H468" s="485"/>
      <c r="I468" s="459"/>
      <c r="J468" s="460"/>
      <c r="K468" s="460"/>
    </row>
    <row r="469" spans="1:11" ht="15.5" x14ac:dyDescent="0.35">
      <c r="A469" s="483"/>
      <c r="B469" s="476"/>
      <c r="C469" s="181" t="s">
        <v>265</v>
      </c>
      <c r="D469" s="250"/>
      <c r="E469" s="159"/>
      <c r="F469" s="172" t="str">
        <f>IF(E469="","",ROUND(IF(E469&gt;=3,0,IF(E469&lt;=1,1,0.69)),2))</f>
        <v/>
      </c>
      <c r="G469" s="474"/>
      <c r="H469" s="485"/>
      <c r="I469" s="459"/>
      <c r="J469" s="460"/>
      <c r="K469" s="460"/>
    </row>
    <row r="470" spans="1:11" ht="15.5" x14ac:dyDescent="0.35">
      <c r="A470" s="484"/>
      <c r="B470" s="458"/>
      <c r="C470" s="114" t="s">
        <v>266</v>
      </c>
      <c r="D470" s="73"/>
      <c r="E470" s="154"/>
      <c r="F470" s="88" t="str">
        <f>IF(E470="","",IF('Quantification Tool'!$B$21="","Enter Stream Producitvity Rating",IF('Quantification Tool'!$B$21="Blue Ribbon and non-trout",IF(E470&lt;5,0,IF(E470&gt;=40,1,ROUND(E470*'Performance Standards'!$AK$316+'Performance Standards'!$AK$317,2))),IF('Quantification Tool'!$B$21="Red Ribbon",IF(E470&lt;10,0,IF(E470&gt;=80,1,ROUND(E470*'Performance Standards'!$AL$316+'Performance Standards'!$AL$317,2))),IF('Quantification Tool'!$B$21="Yellow Ribbon",IF(E470&lt;15,0,IF(E470&gt;=119,1,ROUND(E470*'Performance Standards'!$AM$316+'Performance Standards'!$AM$317,2))),IF('Quantification Tool'!$B$21="Green Ribbon",IF(E470&lt;20,0,IF(E470&gt;=160,1,ROUND(E470*'Performance Standards'!$AN$316+'Performance Standards'!$AN$317,2)))))))))</f>
        <v/>
      </c>
      <c r="G470" s="475"/>
      <c r="H470" s="485"/>
      <c r="I470" s="459"/>
      <c r="J470" s="460"/>
      <c r="K470" s="460"/>
    </row>
  </sheetData>
  <sheetProtection algorithmName="SHA-512" hashValue="4bIhG77gw7kq3HNKt28KilcDLmBh2ogiRDQ+Jdew+hpTITv9jfR6LV97B2mxvMBLsste217OmYcGfmTTzTOVfg==" saltValue="I+aPAr7o7I6raxxLZLD8Pw==" spinCount="100000" sheet="1" objects="1" scenarios="1"/>
  <dataConsolidate link="1"/>
  <mergeCells count="429">
    <mergeCell ref="A463:A465"/>
    <mergeCell ref="B463:B464"/>
    <mergeCell ref="G463:G464"/>
    <mergeCell ref="H463:H465"/>
    <mergeCell ref="I463:I465"/>
    <mergeCell ref="A466:A470"/>
    <mergeCell ref="B466:B467"/>
    <mergeCell ref="G466:G467"/>
    <mergeCell ref="H466:H470"/>
    <mergeCell ref="I466:I470"/>
    <mergeCell ref="B468:B470"/>
    <mergeCell ref="G468:G470"/>
    <mergeCell ref="A439:A462"/>
    <mergeCell ref="B439:B440"/>
    <mergeCell ref="G439:G440"/>
    <mergeCell ref="H439:H462"/>
    <mergeCell ref="I439:I462"/>
    <mergeCell ref="B441:B443"/>
    <mergeCell ref="G441:G443"/>
    <mergeCell ref="B444:B456"/>
    <mergeCell ref="G444:G456"/>
    <mergeCell ref="B458:B461"/>
    <mergeCell ref="G458:G461"/>
    <mergeCell ref="A432:A436"/>
    <mergeCell ref="H432:H436"/>
    <mergeCell ref="I432:I436"/>
    <mergeCell ref="C436:D436"/>
    <mergeCell ref="A437:A438"/>
    <mergeCell ref="B437:B438"/>
    <mergeCell ref="G437:G438"/>
    <mergeCell ref="H437:H438"/>
    <mergeCell ref="I437:I438"/>
    <mergeCell ref="A420:A422"/>
    <mergeCell ref="B420:B421"/>
    <mergeCell ref="G420:G421"/>
    <mergeCell ref="H420:H422"/>
    <mergeCell ref="I420:I422"/>
    <mergeCell ref="A423:A427"/>
    <mergeCell ref="B423:B424"/>
    <mergeCell ref="G423:G424"/>
    <mergeCell ref="H423:H427"/>
    <mergeCell ref="I423:I427"/>
    <mergeCell ref="B425:B427"/>
    <mergeCell ref="G425:G427"/>
    <mergeCell ref="A396:A419"/>
    <mergeCell ref="B396:B397"/>
    <mergeCell ref="G396:G397"/>
    <mergeCell ref="H396:H419"/>
    <mergeCell ref="I396:I419"/>
    <mergeCell ref="B398:B400"/>
    <mergeCell ref="G398:G400"/>
    <mergeCell ref="B401:B413"/>
    <mergeCell ref="G401:G413"/>
    <mergeCell ref="B415:B418"/>
    <mergeCell ref="G415:G418"/>
    <mergeCell ref="H380:H384"/>
    <mergeCell ref="I380:I384"/>
    <mergeCell ref="B382:B384"/>
    <mergeCell ref="G382:G384"/>
    <mergeCell ref="A389:A393"/>
    <mergeCell ref="H389:H393"/>
    <mergeCell ref="I389:I393"/>
    <mergeCell ref="C393:D393"/>
    <mergeCell ref="A394:A395"/>
    <mergeCell ref="B394:B395"/>
    <mergeCell ref="G394:G395"/>
    <mergeCell ref="H394:H395"/>
    <mergeCell ref="I394:I395"/>
    <mergeCell ref="B308:B309"/>
    <mergeCell ref="G308:G309"/>
    <mergeCell ref="H308:H309"/>
    <mergeCell ref="I308:I309"/>
    <mergeCell ref="A310:A333"/>
    <mergeCell ref="B310:B311"/>
    <mergeCell ref="G310:G311"/>
    <mergeCell ref="H310:H333"/>
    <mergeCell ref="I310:I333"/>
    <mergeCell ref="B312:B314"/>
    <mergeCell ref="G312:G314"/>
    <mergeCell ref="B315:B327"/>
    <mergeCell ref="G315:G327"/>
    <mergeCell ref="B329:B332"/>
    <mergeCell ref="G329:G332"/>
    <mergeCell ref="A267:A290"/>
    <mergeCell ref="B267:B268"/>
    <mergeCell ref="G267:G268"/>
    <mergeCell ref="H267:H290"/>
    <mergeCell ref="I267:I290"/>
    <mergeCell ref="B269:B271"/>
    <mergeCell ref="G269:G271"/>
    <mergeCell ref="B272:B284"/>
    <mergeCell ref="G272:G284"/>
    <mergeCell ref="B286:B289"/>
    <mergeCell ref="G286:G289"/>
    <mergeCell ref="H251:H255"/>
    <mergeCell ref="I251:I255"/>
    <mergeCell ref="B253:B255"/>
    <mergeCell ref="G253:G255"/>
    <mergeCell ref="A260:A264"/>
    <mergeCell ref="H260:H264"/>
    <mergeCell ref="I260:I264"/>
    <mergeCell ref="C264:D264"/>
    <mergeCell ref="C259:D259"/>
    <mergeCell ref="A181:A204"/>
    <mergeCell ref="A217:A221"/>
    <mergeCell ref="H217:H221"/>
    <mergeCell ref="I217:I221"/>
    <mergeCell ref="C221:D221"/>
    <mergeCell ref="A222:A223"/>
    <mergeCell ref="B222:B223"/>
    <mergeCell ref="G222:G223"/>
    <mergeCell ref="H222:H223"/>
    <mergeCell ref="I222:I223"/>
    <mergeCell ref="A205:A207"/>
    <mergeCell ref="B205:B206"/>
    <mergeCell ref="G205:G206"/>
    <mergeCell ref="H205:H207"/>
    <mergeCell ref="I205:I207"/>
    <mergeCell ref="A208:A212"/>
    <mergeCell ref="B208:B209"/>
    <mergeCell ref="G208:G209"/>
    <mergeCell ref="H208:H212"/>
    <mergeCell ref="I208:I212"/>
    <mergeCell ref="B210:B212"/>
    <mergeCell ref="G210:G212"/>
    <mergeCell ref="G215:K215"/>
    <mergeCell ref="C216:D216"/>
    <mergeCell ref="A174:A178"/>
    <mergeCell ref="H174:H178"/>
    <mergeCell ref="I174:I178"/>
    <mergeCell ref="C178:D178"/>
    <mergeCell ref="A179:A180"/>
    <mergeCell ref="B179:B180"/>
    <mergeCell ref="G179:G180"/>
    <mergeCell ref="H179:H180"/>
    <mergeCell ref="I179:I180"/>
    <mergeCell ref="A162:A164"/>
    <mergeCell ref="B162:B163"/>
    <mergeCell ref="G162:G163"/>
    <mergeCell ref="H162:H164"/>
    <mergeCell ref="I162:I164"/>
    <mergeCell ref="A165:A169"/>
    <mergeCell ref="B165:B166"/>
    <mergeCell ref="G165:G166"/>
    <mergeCell ref="H165:H169"/>
    <mergeCell ref="I165:I169"/>
    <mergeCell ref="B167:B169"/>
    <mergeCell ref="G167:G169"/>
    <mergeCell ref="A138:A161"/>
    <mergeCell ref="B138:B139"/>
    <mergeCell ref="G138:G139"/>
    <mergeCell ref="H138:H161"/>
    <mergeCell ref="I138:I161"/>
    <mergeCell ref="B140:B142"/>
    <mergeCell ref="G140:G142"/>
    <mergeCell ref="B143:B155"/>
    <mergeCell ref="G143:G155"/>
    <mergeCell ref="B157:B160"/>
    <mergeCell ref="G157:G160"/>
    <mergeCell ref="A131:A135"/>
    <mergeCell ref="H131:H135"/>
    <mergeCell ref="I131:I135"/>
    <mergeCell ref="C135:D135"/>
    <mergeCell ref="A136:A137"/>
    <mergeCell ref="B136:B137"/>
    <mergeCell ref="G136:G137"/>
    <mergeCell ref="H136:H137"/>
    <mergeCell ref="I136:I137"/>
    <mergeCell ref="I119:I121"/>
    <mergeCell ref="A122:A126"/>
    <mergeCell ref="H122:H126"/>
    <mergeCell ref="I122:I126"/>
    <mergeCell ref="B124:B126"/>
    <mergeCell ref="G124:G126"/>
    <mergeCell ref="B122:B123"/>
    <mergeCell ref="G122:G123"/>
    <mergeCell ref="A93:A94"/>
    <mergeCell ref="B93:B94"/>
    <mergeCell ref="G93:G94"/>
    <mergeCell ref="H93:H94"/>
    <mergeCell ref="I93:I94"/>
    <mergeCell ref="A95:A118"/>
    <mergeCell ref="B95:B96"/>
    <mergeCell ref="G95:G96"/>
    <mergeCell ref="H95:H118"/>
    <mergeCell ref="I95:I118"/>
    <mergeCell ref="B100:B112"/>
    <mergeCell ref="G100:G112"/>
    <mergeCell ref="B114:B117"/>
    <mergeCell ref="G114:G117"/>
    <mergeCell ref="A37:A41"/>
    <mergeCell ref="A46:A50"/>
    <mergeCell ref="H46:H50"/>
    <mergeCell ref="I46:I50"/>
    <mergeCell ref="J46:J84"/>
    <mergeCell ref="K46:K84"/>
    <mergeCell ref="C50:D50"/>
    <mergeCell ref="A51:A52"/>
    <mergeCell ref="B51:B52"/>
    <mergeCell ref="G51:G52"/>
    <mergeCell ref="H51:H52"/>
    <mergeCell ref="I51:I52"/>
    <mergeCell ref="A53:A76"/>
    <mergeCell ref="B53:B54"/>
    <mergeCell ref="G53:G54"/>
    <mergeCell ref="H53:H76"/>
    <mergeCell ref="I53:I76"/>
    <mergeCell ref="B55:B57"/>
    <mergeCell ref="G55:G57"/>
    <mergeCell ref="B58:B70"/>
    <mergeCell ref="G58:G70"/>
    <mergeCell ref="B72:B75"/>
    <mergeCell ref="G72:G75"/>
    <mergeCell ref="A77:A79"/>
    <mergeCell ref="C7:D7"/>
    <mergeCell ref="H3:H7"/>
    <mergeCell ref="I3:I7"/>
    <mergeCell ref="B10:B11"/>
    <mergeCell ref="B15:B27"/>
    <mergeCell ref="A10:A33"/>
    <mergeCell ref="B29:B32"/>
    <mergeCell ref="G29:G32"/>
    <mergeCell ref="B34:B35"/>
    <mergeCell ref="G34:G35"/>
    <mergeCell ref="A34:A36"/>
    <mergeCell ref="G10:G11"/>
    <mergeCell ref="A3:A7"/>
    <mergeCell ref="A1:F1"/>
    <mergeCell ref="G1:K1"/>
    <mergeCell ref="C2:D2"/>
    <mergeCell ref="J3:J41"/>
    <mergeCell ref="K3:K41"/>
    <mergeCell ref="B4:B6"/>
    <mergeCell ref="G4:G6"/>
    <mergeCell ref="A8:A9"/>
    <mergeCell ref="B8:B9"/>
    <mergeCell ref="G8:G9"/>
    <mergeCell ref="H8:H9"/>
    <mergeCell ref="I8:I9"/>
    <mergeCell ref="H10:H33"/>
    <mergeCell ref="I10:I33"/>
    <mergeCell ref="B12:B14"/>
    <mergeCell ref="G12:G14"/>
    <mergeCell ref="I34:I36"/>
    <mergeCell ref="G37:G38"/>
    <mergeCell ref="B37:B38"/>
    <mergeCell ref="H37:H41"/>
    <mergeCell ref="I37:I41"/>
    <mergeCell ref="G15:G27"/>
    <mergeCell ref="H34:H36"/>
    <mergeCell ref="B39:B41"/>
    <mergeCell ref="G39:G41"/>
    <mergeCell ref="G44:K44"/>
    <mergeCell ref="C45:D45"/>
    <mergeCell ref="B47:B49"/>
    <mergeCell ref="G47:G49"/>
    <mergeCell ref="B77:B78"/>
    <mergeCell ref="G77:G78"/>
    <mergeCell ref="H77:H79"/>
    <mergeCell ref="I77:I79"/>
    <mergeCell ref="B44:F44"/>
    <mergeCell ref="A80:A84"/>
    <mergeCell ref="B80:B81"/>
    <mergeCell ref="G80:G81"/>
    <mergeCell ref="H80:H84"/>
    <mergeCell ref="I80:I84"/>
    <mergeCell ref="B82:B84"/>
    <mergeCell ref="G82:G84"/>
    <mergeCell ref="A88:A92"/>
    <mergeCell ref="H88:H92"/>
    <mergeCell ref="I88:I92"/>
    <mergeCell ref="C92:D92"/>
    <mergeCell ref="B89:B91"/>
    <mergeCell ref="G89:G91"/>
    <mergeCell ref="G86:K86"/>
    <mergeCell ref="C87:D87"/>
    <mergeCell ref="J88:J126"/>
    <mergeCell ref="K88:K126"/>
    <mergeCell ref="B97:B99"/>
    <mergeCell ref="G97:G99"/>
    <mergeCell ref="B86:F86"/>
    <mergeCell ref="A119:A121"/>
    <mergeCell ref="B119:B120"/>
    <mergeCell ref="G119:G120"/>
    <mergeCell ref="H119:H121"/>
    <mergeCell ref="G129:K129"/>
    <mergeCell ref="C130:D130"/>
    <mergeCell ref="J131:J169"/>
    <mergeCell ref="K131:K169"/>
    <mergeCell ref="B132:B134"/>
    <mergeCell ref="G132:G134"/>
    <mergeCell ref="G172:K172"/>
    <mergeCell ref="C173:D173"/>
    <mergeCell ref="J174:J212"/>
    <mergeCell ref="K174:K212"/>
    <mergeCell ref="B175:B177"/>
    <mergeCell ref="G175:G177"/>
    <mergeCell ref="B181:B182"/>
    <mergeCell ref="G181:G182"/>
    <mergeCell ref="H181:H204"/>
    <mergeCell ref="I181:I204"/>
    <mergeCell ref="B183:B185"/>
    <mergeCell ref="G183:G185"/>
    <mergeCell ref="B186:B198"/>
    <mergeCell ref="G186:G198"/>
    <mergeCell ref="B200:B203"/>
    <mergeCell ref="B129:F129"/>
    <mergeCell ref="B172:F172"/>
    <mergeCell ref="G200:G203"/>
    <mergeCell ref="J217:J255"/>
    <mergeCell ref="K217:K255"/>
    <mergeCell ref="B218:B220"/>
    <mergeCell ref="G218:G220"/>
    <mergeCell ref="G258:K258"/>
    <mergeCell ref="A224:A247"/>
    <mergeCell ref="B224:B225"/>
    <mergeCell ref="G224:G225"/>
    <mergeCell ref="H224:H247"/>
    <mergeCell ref="I224:I247"/>
    <mergeCell ref="B226:B228"/>
    <mergeCell ref="G226:G228"/>
    <mergeCell ref="B229:B241"/>
    <mergeCell ref="G229:G241"/>
    <mergeCell ref="B243:B246"/>
    <mergeCell ref="G243:G246"/>
    <mergeCell ref="A248:A250"/>
    <mergeCell ref="B248:B249"/>
    <mergeCell ref="G248:G249"/>
    <mergeCell ref="H248:H250"/>
    <mergeCell ref="I248:I250"/>
    <mergeCell ref="A251:A255"/>
    <mergeCell ref="B251:B252"/>
    <mergeCell ref="G251:G252"/>
    <mergeCell ref="B215:F215"/>
    <mergeCell ref="B258:F258"/>
    <mergeCell ref="J260:J298"/>
    <mergeCell ref="K260:K298"/>
    <mergeCell ref="B261:B263"/>
    <mergeCell ref="G261:G263"/>
    <mergeCell ref="G301:K301"/>
    <mergeCell ref="C302:D302"/>
    <mergeCell ref="A291:A293"/>
    <mergeCell ref="B291:B292"/>
    <mergeCell ref="G291:G292"/>
    <mergeCell ref="H291:H293"/>
    <mergeCell ref="I291:I293"/>
    <mergeCell ref="A294:A298"/>
    <mergeCell ref="B294:B295"/>
    <mergeCell ref="G294:G295"/>
    <mergeCell ref="H294:H298"/>
    <mergeCell ref="I294:I298"/>
    <mergeCell ref="B296:B298"/>
    <mergeCell ref="G296:G298"/>
    <mergeCell ref="B301:F301"/>
    <mergeCell ref="A265:A266"/>
    <mergeCell ref="B265:B266"/>
    <mergeCell ref="G265:G266"/>
    <mergeCell ref="H265:H266"/>
    <mergeCell ref="I265:I266"/>
    <mergeCell ref="J303:J341"/>
    <mergeCell ref="K303:K341"/>
    <mergeCell ref="B304:B306"/>
    <mergeCell ref="G304:G306"/>
    <mergeCell ref="G344:K344"/>
    <mergeCell ref="C345:D345"/>
    <mergeCell ref="A334:A336"/>
    <mergeCell ref="B334:B335"/>
    <mergeCell ref="G334:G335"/>
    <mergeCell ref="H334:H336"/>
    <mergeCell ref="I334:I336"/>
    <mergeCell ref="A337:A341"/>
    <mergeCell ref="B337:B338"/>
    <mergeCell ref="G337:G338"/>
    <mergeCell ref="H337:H341"/>
    <mergeCell ref="I337:I341"/>
    <mergeCell ref="B339:B341"/>
    <mergeCell ref="G339:G341"/>
    <mergeCell ref="B344:F344"/>
    <mergeCell ref="A303:A307"/>
    <mergeCell ref="H303:H307"/>
    <mergeCell ref="I303:I307"/>
    <mergeCell ref="C307:D307"/>
    <mergeCell ref="A308:A309"/>
    <mergeCell ref="J346:J384"/>
    <mergeCell ref="K346:K384"/>
    <mergeCell ref="B347:B349"/>
    <mergeCell ref="G347:G349"/>
    <mergeCell ref="G387:K387"/>
    <mergeCell ref="C388:D388"/>
    <mergeCell ref="A377:A379"/>
    <mergeCell ref="B377:B378"/>
    <mergeCell ref="G377:G378"/>
    <mergeCell ref="H377:H379"/>
    <mergeCell ref="I377:I379"/>
    <mergeCell ref="A380:A384"/>
    <mergeCell ref="B380:B381"/>
    <mergeCell ref="B387:F387"/>
    <mergeCell ref="A346:A350"/>
    <mergeCell ref="H346:H350"/>
    <mergeCell ref="I346:I350"/>
    <mergeCell ref="C350:D350"/>
    <mergeCell ref="A351:A352"/>
    <mergeCell ref="B351:B352"/>
    <mergeCell ref="G351:G352"/>
    <mergeCell ref="H351:H352"/>
    <mergeCell ref="I351:I352"/>
    <mergeCell ref="A353:A376"/>
    <mergeCell ref="G430:K430"/>
    <mergeCell ref="C431:D431"/>
    <mergeCell ref="J389:J427"/>
    <mergeCell ref="K389:K427"/>
    <mergeCell ref="B390:B392"/>
    <mergeCell ref="G390:G392"/>
    <mergeCell ref="J432:J470"/>
    <mergeCell ref="K432:K470"/>
    <mergeCell ref="B433:B435"/>
    <mergeCell ref="G433:G435"/>
    <mergeCell ref="B430:F430"/>
    <mergeCell ref="B353:B354"/>
    <mergeCell ref="G353:G354"/>
    <mergeCell ref="H353:H376"/>
    <mergeCell ref="I353:I376"/>
    <mergeCell ref="B355:B357"/>
    <mergeCell ref="G355:G357"/>
    <mergeCell ref="B358:B370"/>
    <mergeCell ref="G358:G370"/>
    <mergeCell ref="B372:B375"/>
    <mergeCell ref="G372:G375"/>
    <mergeCell ref="G380:G381"/>
  </mergeCells>
  <conditionalFormatting sqref="I3:I8 K3 I10:I41">
    <cfRule type="containsText" dxfId="79" priority="75" stopIfTrue="1" operator="containsText" text="Functioning At Risk">
      <formula>NOT(ISERROR(SEARCH("Functioning At Risk",I3)))</formula>
    </cfRule>
    <cfRule type="containsText" dxfId="78" priority="76" stopIfTrue="1" operator="containsText" text="Not Functioning">
      <formula>NOT(ISERROR(SEARCH("Not Functioning",I3)))</formula>
    </cfRule>
    <cfRule type="containsText" dxfId="77" priority="77" operator="containsText" text="Functioning">
      <formula>NOT(ISERROR(SEARCH("Functioning",I3)))</formula>
    </cfRule>
  </conditionalFormatting>
  <conditionalFormatting sqref="J3">
    <cfRule type="cellIs" dxfId="76" priority="72" operator="between">
      <formula>0.7</formula>
      <formula>1</formula>
    </cfRule>
    <cfRule type="cellIs" dxfId="75" priority="73" operator="between">
      <formula>0.6999999</formula>
      <formula>0.3</formula>
    </cfRule>
    <cfRule type="cellIs" dxfId="74" priority="74" operator="between">
      <formula>0</formula>
      <formula>0.299999</formula>
    </cfRule>
  </conditionalFormatting>
  <conditionalFormatting sqref="I3:K39">
    <cfRule type="containsText" dxfId="73" priority="71" stopIfTrue="1" operator="containsText" text="Functioning At Risk">
      <formula>NOT(ISERROR(SEARCH("Functioning At Risk",I3)))</formula>
    </cfRule>
  </conditionalFormatting>
  <conditionalFormatting sqref="I46:I51 K46 I53:I84">
    <cfRule type="containsText" dxfId="72" priority="68" stopIfTrue="1" operator="containsText" text="Functioning At Risk">
      <formula>NOT(ISERROR(SEARCH("Functioning At Risk",I46)))</formula>
    </cfRule>
    <cfRule type="containsText" dxfId="71" priority="69" stopIfTrue="1" operator="containsText" text="Not Functioning">
      <formula>NOT(ISERROR(SEARCH("Not Functioning",I46)))</formula>
    </cfRule>
    <cfRule type="containsText" dxfId="70" priority="70" operator="containsText" text="Functioning">
      <formula>NOT(ISERROR(SEARCH("Functioning",I46)))</formula>
    </cfRule>
  </conditionalFormatting>
  <conditionalFormatting sqref="J46">
    <cfRule type="cellIs" dxfId="69" priority="65" operator="between">
      <formula>0.7</formula>
      <formula>1</formula>
    </cfRule>
    <cfRule type="cellIs" dxfId="68" priority="66" operator="between">
      <formula>0.6999999</formula>
      <formula>0.3</formula>
    </cfRule>
    <cfRule type="cellIs" dxfId="67" priority="67" operator="between">
      <formula>0</formula>
      <formula>0.299999</formula>
    </cfRule>
  </conditionalFormatting>
  <conditionalFormatting sqref="I46:K82">
    <cfRule type="containsText" dxfId="66" priority="64" stopIfTrue="1" operator="containsText" text="Functioning At Risk">
      <formula>NOT(ISERROR(SEARCH("Functioning At Risk",I46)))</formula>
    </cfRule>
  </conditionalFormatting>
  <conditionalFormatting sqref="I88:I93 K88 I95:I126">
    <cfRule type="containsText" dxfId="65" priority="61" stopIfTrue="1" operator="containsText" text="Functioning At Risk">
      <formula>NOT(ISERROR(SEARCH("Functioning At Risk",I88)))</formula>
    </cfRule>
    <cfRule type="containsText" dxfId="64" priority="62" stopIfTrue="1" operator="containsText" text="Not Functioning">
      <formula>NOT(ISERROR(SEARCH("Not Functioning",I88)))</formula>
    </cfRule>
    <cfRule type="containsText" dxfId="63" priority="63" operator="containsText" text="Functioning">
      <formula>NOT(ISERROR(SEARCH("Functioning",I88)))</formula>
    </cfRule>
  </conditionalFormatting>
  <conditionalFormatting sqref="J88">
    <cfRule type="cellIs" dxfId="62" priority="58" operator="between">
      <formula>0.7</formula>
      <formula>1</formula>
    </cfRule>
    <cfRule type="cellIs" dxfId="61" priority="59" operator="between">
      <formula>0.6999999</formula>
      <formula>0.3</formula>
    </cfRule>
    <cfRule type="cellIs" dxfId="60" priority="60" operator="between">
      <formula>0</formula>
      <formula>0.299999</formula>
    </cfRule>
  </conditionalFormatting>
  <conditionalFormatting sqref="I88:K124">
    <cfRule type="containsText" dxfId="59" priority="57" stopIfTrue="1" operator="containsText" text="Functioning At Risk">
      <formula>NOT(ISERROR(SEARCH("Functioning At Risk",I88)))</formula>
    </cfRule>
  </conditionalFormatting>
  <conditionalFormatting sqref="I131:I136 K131 I138:I169">
    <cfRule type="containsText" dxfId="58" priority="54" stopIfTrue="1" operator="containsText" text="Functioning At Risk">
      <formula>NOT(ISERROR(SEARCH("Functioning At Risk",I131)))</formula>
    </cfRule>
    <cfRule type="containsText" dxfId="57" priority="55" stopIfTrue="1" operator="containsText" text="Not Functioning">
      <formula>NOT(ISERROR(SEARCH("Not Functioning",I131)))</formula>
    </cfRule>
    <cfRule type="containsText" dxfId="56" priority="56" operator="containsText" text="Functioning">
      <formula>NOT(ISERROR(SEARCH("Functioning",I131)))</formula>
    </cfRule>
  </conditionalFormatting>
  <conditionalFormatting sqref="J131">
    <cfRule type="cellIs" dxfId="55" priority="51" operator="between">
      <formula>0.7</formula>
      <formula>1</formula>
    </cfRule>
    <cfRule type="cellIs" dxfId="54" priority="52" operator="between">
      <formula>0.6999999</formula>
      <formula>0.3</formula>
    </cfRule>
    <cfRule type="cellIs" dxfId="53" priority="53" operator="between">
      <formula>0</formula>
      <formula>0.299999</formula>
    </cfRule>
  </conditionalFormatting>
  <conditionalFormatting sqref="I131:K167">
    <cfRule type="containsText" dxfId="52" priority="50" stopIfTrue="1" operator="containsText" text="Functioning At Risk">
      <formula>NOT(ISERROR(SEARCH("Functioning At Risk",I131)))</formula>
    </cfRule>
  </conditionalFormatting>
  <conditionalFormatting sqref="I174:I179 K174 I181:I212">
    <cfRule type="containsText" dxfId="51" priority="47" stopIfTrue="1" operator="containsText" text="Functioning At Risk">
      <formula>NOT(ISERROR(SEARCH("Functioning At Risk",I174)))</formula>
    </cfRule>
    <cfRule type="containsText" dxfId="50" priority="48" stopIfTrue="1" operator="containsText" text="Not Functioning">
      <formula>NOT(ISERROR(SEARCH("Not Functioning",I174)))</formula>
    </cfRule>
    <cfRule type="containsText" dxfId="49" priority="49" operator="containsText" text="Functioning">
      <formula>NOT(ISERROR(SEARCH("Functioning",I174)))</formula>
    </cfRule>
  </conditionalFormatting>
  <conditionalFormatting sqref="J174">
    <cfRule type="cellIs" dxfId="48" priority="44" operator="between">
      <formula>0.7</formula>
      <formula>1</formula>
    </cfRule>
    <cfRule type="cellIs" dxfId="47" priority="45" operator="between">
      <formula>0.6999999</formula>
      <formula>0.3</formula>
    </cfRule>
    <cfRule type="cellIs" dxfId="46" priority="46" operator="between">
      <formula>0</formula>
      <formula>0.299999</formula>
    </cfRule>
  </conditionalFormatting>
  <conditionalFormatting sqref="I174:K210">
    <cfRule type="containsText" dxfId="45" priority="43" stopIfTrue="1" operator="containsText" text="Functioning At Risk">
      <formula>NOT(ISERROR(SEARCH("Functioning At Risk",I174)))</formula>
    </cfRule>
  </conditionalFormatting>
  <conditionalFormatting sqref="I217:I222 K217 I224:I255">
    <cfRule type="containsText" dxfId="44" priority="40" stopIfTrue="1" operator="containsText" text="Functioning At Risk">
      <formula>NOT(ISERROR(SEARCH("Functioning At Risk",I217)))</formula>
    </cfRule>
    <cfRule type="containsText" dxfId="43" priority="41" stopIfTrue="1" operator="containsText" text="Not Functioning">
      <formula>NOT(ISERROR(SEARCH("Not Functioning",I217)))</formula>
    </cfRule>
    <cfRule type="containsText" dxfId="42" priority="42" operator="containsText" text="Functioning">
      <formula>NOT(ISERROR(SEARCH("Functioning",I217)))</formula>
    </cfRule>
  </conditionalFormatting>
  <conditionalFormatting sqref="J217">
    <cfRule type="cellIs" dxfId="41" priority="37" operator="between">
      <formula>0.7</formula>
      <formula>1</formula>
    </cfRule>
    <cfRule type="cellIs" dxfId="40" priority="38" operator="between">
      <formula>0.6999999</formula>
      <formula>0.3</formula>
    </cfRule>
    <cfRule type="cellIs" dxfId="39" priority="39" operator="between">
      <formula>0</formula>
      <formula>0.299999</formula>
    </cfRule>
  </conditionalFormatting>
  <conditionalFormatting sqref="I217:K253">
    <cfRule type="containsText" dxfId="38" priority="36" stopIfTrue="1" operator="containsText" text="Functioning At Risk">
      <formula>NOT(ISERROR(SEARCH("Functioning At Risk",I217)))</formula>
    </cfRule>
  </conditionalFormatting>
  <conditionalFormatting sqref="I260:I265 K260 I267:I298">
    <cfRule type="containsText" dxfId="37" priority="33" stopIfTrue="1" operator="containsText" text="Functioning At Risk">
      <formula>NOT(ISERROR(SEARCH("Functioning At Risk",I260)))</formula>
    </cfRule>
    <cfRule type="containsText" dxfId="36" priority="34" stopIfTrue="1" operator="containsText" text="Not Functioning">
      <formula>NOT(ISERROR(SEARCH("Not Functioning",I260)))</formula>
    </cfRule>
    <cfRule type="containsText" dxfId="35" priority="35" operator="containsText" text="Functioning">
      <formula>NOT(ISERROR(SEARCH("Functioning",I260)))</formula>
    </cfRule>
  </conditionalFormatting>
  <conditionalFormatting sqref="J260">
    <cfRule type="cellIs" dxfId="34" priority="30" operator="between">
      <formula>0.7</formula>
      <formula>1</formula>
    </cfRule>
    <cfRule type="cellIs" dxfId="33" priority="31" operator="between">
      <formula>0.6999999</formula>
      <formula>0.3</formula>
    </cfRule>
    <cfRule type="cellIs" dxfId="32" priority="32" operator="between">
      <formula>0</formula>
      <formula>0.299999</formula>
    </cfRule>
  </conditionalFormatting>
  <conditionalFormatting sqref="I260:K296">
    <cfRule type="containsText" dxfId="31" priority="29" stopIfTrue="1" operator="containsText" text="Functioning At Risk">
      <formula>NOT(ISERROR(SEARCH("Functioning At Risk",I260)))</formula>
    </cfRule>
  </conditionalFormatting>
  <conditionalFormatting sqref="I303:I308 K303 I310:I341">
    <cfRule type="containsText" dxfId="30" priority="26" stopIfTrue="1" operator="containsText" text="Functioning At Risk">
      <formula>NOT(ISERROR(SEARCH("Functioning At Risk",I303)))</formula>
    </cfRule>
    <cfRule type="containsText" dxfId="29" priority="27" stopIfTrue="1" operator="containsText" text="Not Functioning">
      <formula>NOT(ISERROR(SEARCH("Not Functioning",I303)))</formula>
    </cfRule>
    <cfRule type="containsText" dxfId="28" priority="28" operator="containsText" text="Functioning">
      <formula>NOT(ISERROR(SEARCH("Functioning",I303)))</formula>
    </cfRule>
  </conditionalFormatting>
  <conditionalFormatting sqref="J303">
    <cfRule type="cellIs" dxfId="27" priority="23" operator="between">
      <formula>0.7</formula>
      <formula>1</formula>
    </cfRule>
    <cfRule type="cellIs" dxfId="26" priority="24" operator="between">
      <formula>0.6999999</formula>
      <formula>0.3</formula>
    </cfRule>
    <cfRule type="cellIs" dxfId="25" priority="25" operator="between">
      <formula>0</formula>
      <formula>0.299999</formula>
    </cfRule>
  </conditionalFormatting>
  <conditionalFormatting sqref="I303:K339">
    <cfRule type="containsText" dxfId="24" priority="22" stopIfTrue="1" operator="containsText" text="Functioning At Risk">
      <formula>NOT(ISERROR(SEARCH("Functioning At Risk",I303)))</formula>
    </cfRule>
  </conditionalFormatting>
  <conditionalFormatting sqref="I346:I351 K346 I353:I384">
    <cfRule type="containsText" dxfId="23" priority="19" stopIfTrue="1" operator="containsText" text="Functioning At Risk">
      <formula>NOT(ISERROR(SEARCH("Functioning At Risk",I346)))</formula>
    </cfRule>
    <cfRule type="containsText" dxfId="22" priority="20" stopIfTrue="1" operator="containsText" text="Not Functioning">
      <formula>NOT(ISERROR(SEARCH("Not Functioning",I346)))</formula>
    </cfRule>
    <cfRule type="containsText" dxfId="21" priority="21" operator="containsText" text="Functioning">
      <formula>NOT(ISERROR(SEARCH("Functioning",I346)))</formula>
    </cfRule>
  </conditionalFormatting>
  <conditionalFormatting sqref="J346">
    <cfRule type="cellIs" dxfId="20" priority="16" operator="between">
      <formula>0.7</formula>
      <formula>1</formula>
    </cfRule>
    <cfRule type="cellIs" dxfId="19" priority="17" operator="between">
      <formula>0.6999999</formula>
      <formula>0.3</formula>
    </cfRule>
    <cfRule type="cellIs" dxfId="18" priority="18" operator="between">
      <formula>0</formula>
      <formula>0.299999</formula>
    </cfRule>
  </conditionalFormatting>
  <conditionalFormatting sqref="I346:K382">
    <cfRule type="containsText" dxfId="17" priority="15" stopIfTrue="1" operator="containsText" text="Functioning At Risk">
      <formula>NOT(ISERROR(SEARCH("Functioning At Risk",I346)))</formula>
    </cfRule>
  </conditionalFormatting>
  <conditionalFormatting sqref="I389:I394 K389 I396:I427">
    <cfRule type="containsText" dxfId="16" priority="12" stopIfTrue="1" operator="containsText" text="Functioning At Risk">
      <formula>NOT(ISERROR(SEARCH("Functioning At Risk",I389)))</formula>
    </cfRule>
    <cfRule type="containsText" dxfId="15" priority="13" stopIfTrue="1" operator="containsText" text="Not Functioning">
      <formula>NOT(ISERROR(SEARCH("Not Functioning",I389)))</formula>
    </cfRule>
    <cfRule type="containsText" dxfId="14" priority="14" operator="containsText" text="Functioning">
      <formula>NOT(ISERROR(SEARCH("Functioning",I389)))</formula>
    </cfRule>
  </conditionalFormatting>
  <conditionalFormatting sqref="J389">
    <cfRule type="cellIs" dxfId="13" priority="9" operator="between">
      <formula>0.7</formula>
      <formula>1</formula>
    </cfRule>
    <cfRule type="cellIs" dxfId="12" priority="10" operator="between">
      <formula>0.6999999</formula>
      <formula>0.3</formula>
    </cfRule>
    <cfRule type="cellIs" dxfId="11" priority="11" operator="between">
      <formula>0</formula>
      <formula>0.299999</formula>
    </cfRule>
  </conditionalFormatting>
  <conditionalFormatting sqref="I389:K425">
    <cfRule type="containsText" dxfId="10" priority="8" stopIfTrue="1" operator="containsText" text="Functioning At Risk">
      <formula>NOT(ISERROR(SEARCH("Functioning At Risk",I389)))</formula>
    </cfRule>
  </conditionalFormatting>
  <conditionalFormatting sqref="I432:I437 K432 I439:I470">
    <cfRule type="containsText" dxfId="9" priority="5" stopIfTrue="1" operator="containsText" text="Functioning At Risk">
      <formula>NOT(ISERROR(SEARCH("Functioning At Risk",I432)))</formula>
    </cfRule>
    <cfRule type="containsText" dxfId="8" priority="6" stopIfTrue="1" operator="containsText" text="Not Functioning">
      <formula>NOT(ISERROR(SEARCH("Not Functioning",I432)))</formula>
    </cfRule>
    <cfRule type="containsText" dxfId="7" priority="7" operator="containsText" text="Functioning">
      <formula>NOT(ISERROR(SEARCH("Functioning",I432)))</formula>
    </cfRule>
  </conditionalFormatting>
  <conditionalFormatting sqref="J432">
    <cfRule type="cellIs" dxfId="6" priority="2" operator="between">
      <formula>0.7</formula>
      <formula>1</formula>
    </cfRule>
    <cfRule type="cellIs" dxfId="5" priority="3" operator="between">
      <formula>0.6999999</formula>
      <formula>0.3</formula>
    </cfRule>
    <cfRule type="cellIs" dxfId="4" priority="4" operator="between">
      <formula>0</formula>
      <formula>0.299999</formula>
    </cfRule>
  </conditionalFormatting>
  <conditionalFormatting sqref="I432:K468">
    <cfRule type="containsText" dxfId="3" priority="1" stopIfTrue="1" operator="containsText" text="Functioning At Risk">
      <formula>NOT(ISERROR(SEARCH("Functioning At Risk",I432)))</formula>
    </cfRule>
  </conditionalFormatting>
  <dataValidations count="11">
    <dataValidation allowBlank="1" showErrorMessage="1" prompt="Select catchment conditon level from the completed catchment assessment form. " sqref="E390:E392 E433:E435 E47:E49 E89:E91 E132:E134 E175:E177 E218:E220 E261:E263 E304:E306 E347:E349 E4:E6"/>
    <dataValidation type="decimal" allowBlank="1" showInputMessage="1" showErrorMessage="1" sqref="E401:E404 E444:E447 E58:E61 E100:E103 E143:E146 E186:E189 E229:E232 E272:E275 E315:E318 E358:E361 E15:E18">
      <formula1>0</formula1>
      <formula2>5280</formula2>
    </dataValidation>
    <dataValidation allowBlank="1" showInputMessage="1" showErrorMessage="1" prompt="This measurement method should be used in combination with either Erosion Rate or Dominant BEHI/NBS." sqref="E400 E443 E57 E99 E142 E185 E228 E271 E314 E357 E14"/>
    <dataValidation allowBlank="1" showInputMessage="1" showErrorMessage="1" prompt="The user should input a value for either BEHI/NBS or Erosion Rate, not both. " sqref="E398 E441 E55 E97 E140 E183 E226 E269 E312 E355 E12"/>
    <dataValidation type="list" allowBlank="1" showInputMessage="1" showErrorMessage="1" prompt="Select catchment conditon level from the completed catchment assessment form. " sqref="E389 E432 E46 E88 E131 E174 E217 E260 E303 E346 E3">
      <formula1>CatchmentAssessmentQuat</formula1>
    </dataValidation>
    <dataValidation type="list" allowBlank="1" showInputMessage="1" showErrorMessage="1" prompt="Select the dominant BEHI/NBS.  _x000a_If erosion rate was measured select blank. The user should only input a value for either BEHI/NBS or Erosion Rate, not both. " sqref="E399 E442 E56 E98 E141 E184 E227 E270 E313 E356 E13">
      <formula1>BEHI.NBS</formula1>
    </dataValidation>
    <dataValidation allowBlank="1" showErrorMessage="1" sqref="E436 E393 E50 E457 E92 E71 E135 E113 E178 E156 E221 E199 E264 E242 E307 E285 E350 E328 E414 E371 E7 E28"/>
    <dataValidation allowBlank="1" showErrorMessage="1" prompt="Leave field value blank if not a coldwater stream." sqref="F255 F34:F35 F84 F119:F120 F169 F205:F206 F291:F292 F341 F377:F378 F427 F41 F77:F78 F126 F162:F163 F212 F248:F249 F298 F334:F335 F384 F420:F421 F470 F463:F464"/>
    <dataValidation allowBlank="1" showInputMessage="1" showErrorMessage="1" prompt="If values for both RIVPACS and WSII are provided, cell does not necessarily average scores to determine parameter score." sqref="G37:G38 G80:G81 G122:G123 G165:G166 G208:G209 G251:G252 G294:G295 G337:G338 G380:G381 G423:G424 G466:G467"/>
    <dataValidation allowBlank="1" showErrorMessage="1" prompt="The user should input a value for either basal area or density, not both. " sqref="E454:E455 E68:E69 E110:E111 E153:E154 E196:E197 E239:E240 E282:E283 E325:E326 E368:E369 E411:E412 E25:E26"/>
    <dataValidation type="decimal" allowBlank="1" showErrorMessage="1" prompt="The user should input a value for either basal area or density, not both. " sqref="E448:E453 E62:E67 E104:E109 E147:E152 E190:E195 E233:E238 E276:E281 E319:E324 E362:E367 E405:E410 E19:E24">
      <formula1>0</formula1>
      <formula2>5280</formula2>
    </dataValidation>
  </dataValidations>
  <pageMargins left="0.25" right="0.25" top="0.75" bottom="0.75" header="0.3" footer="0.3"/>
  <pageSetup paperSize="3" scale="92" fitToHeight="0" orientation="landscape" r:id="rId1"/>
  <rowBreaks count="10" manualBreakCount="10">
    <brk id="42" max="16383" man="1"/>
    <brk id="84" max="16383" man="1"/>
    <brk id="126" max="16383" man="1"/>
    <brk id="170" max="16383" man="1"/>
    <brk id="213" max="16383" man="1"/>
    <brk id="256" max="16383" man="1"/>
    <brk id="299" max="16383" man="1"/>
    <brk id="342" max="16383" man="1"/>
    <brk id="385" max="16383" man="1"/>
    <brk id="4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4"/>
  <sheetViews>
    <sheetView tabSelected="1" zoomScaleNormal="100" zoomScaleSheetLayoutView="100" zoomScalePageLayoutView="25" workbookViewId="0">
      <selection activeCell="K29" sqref="K29"/>
    </sheetView>
  </sheetViews>
  <sheetFormatPr defaultRowHeight="14.5" x14ac:dyDescent="0.35"/>
  <cols>
    <col min="1" max="1" width="19.6328125" bestFit="1" customWidth="1"/>
    <col min="2" max="2" width="25.54296875" customWidth="1"/>
    <col min="3" max="3" width="14.6328125" customWidth="1"/>
    <col min="4" max="4" width="14.36328125" customWidth="1"/>
    <col min="5" max="5" width="10.36328125" style="3" customWidth="1"/>
    <col min="6" max="15" width="10.6328125" style="3" customWidth="1"/>
  </cols>
  <sheetData>
    <row r="2" spans="1:15" ht="28.75" customHeight="1" x14ac:dyDescent="0.35">
      <c r="A2" s="504" t="s">
        <v>133</v>
      </c>
      <c r="B2" s="505"/>
      <c r="C2" s="505"/>
      <c r="D2" s="505"/>
      <c r="E2" s="505"/>
      <c r="F2" s="505"/>
      <c r="G2" s="505"/>
      <c r="H2" s="505"/>
      <c r="I2" s="505"/>
      <c r="J2" s="505"/>
      <c r="K2" s="505"/>
      <c r="L2" s="505"/>
      <c r="M2" s="505"/>
      <c r="N2" s="505"/>
      <c r="O2" s="506"/>
    </row>
    <row r="3" spans="1:15" ht="18.5" x14ac:dyDescent="0.35">
      <c r="A3" s="582" t="s">
        <v>1</v>
      </c>
      <c r="B3" s="582" t="s">
        <v>2</v>
      </c>
      <c r="C3" s="587" t="s">
        <v>71</v>
      </c>
      <c r="D3" s="587" t="s">
        <v>72</v>
      </c>
      <c r="E3" s="582" t="s">
        <v>162</v>
      </c>
      <c r="F3" s="584" t="s">
        <v>165</v>
      </c>
      <c r="G3" s="585"/>
      <c r="H3" s="585"/>
      <c r="I3" s="585"/>
      <c r="J3" s="585"/>
      <c r="K3" s="585"/>
      <c r="L3" s="585"/>
      <c r="M3" s="585"/>
      <c r="N3" s="585"/>
      <c r="O3" s="586"/>
    </row>
    <row r="4" spans="1:15" s="3" customFormat="1" ht="18.5" x14ac:dyDescent="0.35">
      <c r="A4" s="583"/>
      <c r="B4" s="583"/>
      <c r="C4" s="588"/>
      <c r="D4" s="588"/>
      <c r="E4" s="583"/>
      <c r="F4" s="142">
        <f>IF('Monitoring Data'!B44="","#N/A",'Monitoring Data'!B44)</f>
        <v>1</v>
      </c>
      <c r="G4" s="142">
        <f>IF('Monitoring Data'!B86="","#N/A",'Monitoring Data'!B86)</f>
        <v>2</v>
      </c>
      <c r="H4" s="142">
        <f>IF('Monitoring Data'!B129="","#N/A",'Monitoring Data'!B129)</f>
        <v>3</v>
      </c>
      <c r="I4" s="142">
        <f>IF('Monitoring Data'!B172="","#N/A",'Monitoring Data'!B172)</f>
        <v>4</v>
      </c>
      <c r="J4" s="142">
        <f>IF('Monitoring Data'!B215="","#N/A",'Monitoring Data'!B215)</f>
        <v>5</v>
      </c>
      <c r="K4" s="142" t="str">
        <f>IF('Monitoring Data'!B258="","#N/A",'Monitoring Data'!B258)</f>
        <v>#N/A</v>
      </c>
      <c r="L4" s="142" t="str">
        <f>IF('Monitoring Data'!B301="","#N/A",'Monitoring Data'!B301)</f>
        <v>#N/A</v>
      </c>
      <c r="M4" s="142" t="str">
        <f>IF('Monitoring Data'!B344="","#N/A",'Monitoring Data'!B344)</f>
        <v>#N/A</v>
      </c>
      <c r="N4" s="142" t="str">
        <f>IF('Monitoring Data'!B387="","#N/A",'Monitoring Data'!B387)</f>
        <v>#N/A</v>
      </c>
      <c r="O4" s="142" t="str">
        <f>IF('Monitoring Data'!B430="","#N/A",'Monitoring Data'!B430)</f>
        <v>#N/A</v>
      </c>
    </row>
    <row r="5" spans="1:15" ht="15.5" x14ac:dyDescent="0.35">
      <c r="A5" s="598" t="s">
        <v>63</v>
      </c>
      <c r="B5" s="76" t="s">
        <v>100</v>
      </c>
      <c r="C5" s="135">
        <f>'Quantification Tool'!G46</f>
        <v>0.9</v>
      </c>
      <c r="D5" s="135">
        <f>'Quantification Tool'!G89</f>
        <v>0.9</v>
      </c>
      <c r="E5" s="48">
        <f>'Monitoring Data'!G3</f>
        <v>0.9</v>
      </c>
      <c r="F5" s="48">
        <f>'Monitoring Data'!G46</f>
        <v>0.9</v>
      </c>
      <c r="G5" s="48">
        <f>'Monitoring Data'!G88</f>
        <v>0.9</v>
      </c>
      <c r="H5" s="48">
        <f>'Monitoring Data'!G131</f>
        <v>0.9</v>
      </c>
      <c r="I5" s="48">
        <f>'Monitoring Data'!G174</f>
        <v>0.9</v>
      </c>
      <c r="J5" s="48">
        <f>'Monitoring Data'!G217</f>
        <v>0.9</v>
      </c>
      <c r="K5" s="48" t="str">
        <f>'Monitoring Data'!G260</f>
        <v/>
      </c>
      <c r="L5" s="48" t="str">
        <f>'Monitoring Data'!G303</f>
        <v/>
      </c>
      <c r="M5" s="48" t="str">
        <f>'Monitoring Data'!G346</f>
        <v/>
      </c>
      <c r="N5" s="48" t="str">
        <f>'Monitoring Data'!G389</f>
        <v/>
      </c>
      <c r="O5" s="48" t="str">
        <f>'Monitoring Data'!G432</f>
        <v/>
      </c>
    </row>
    <row r="6" spans="1:15" ht="15.5" x14ac:dyDescent="0.35">
      <c r="A6" s="599"/>
      <c r="B6" s="76" t="s">
        <v>146</v>
      </c>
      <c r="C6" s="135">
        <f>'Quantification Tool'!G47</f>
        <v>0.25</v>
      </c>
      <c r="D6" s="135">
        <f>'Quantification Tool'!G90</f>
        <v>0.86499999999999999</v>
      </c>
      <c r="E6" s="48">
        <f>'Monitoring Data'!G4</f>
        <v>0.86499999999999999</v>
      </c>
      <c r="F6" s="48">
        <f>'Monitoring Data'!G47</f>
        <v>0.86499999999999999</v>
      </c>
      <c r="G6" s="48">
        <f>'Monitoring Data'!G89</f>
        <v>0.86499999999999999</v>
      </c>
      <c r="H6" s="48">
        <f>'Monitoring Data'!G132</f>
        <v>0.86499999999999999</v>
      </c>
      <c r="I6" s="48">
        <f>'Monitoring Data'!G175</f>
        <v>0.86499999999999999</v>
      </c>
      <c r="J6" s="48">
        <f>'Monitoring Data'!G218</f>
        <v>0.86499999999999999</v>
      </c>
      <c r="K6" s="48" t="str">
        <f>'Monitoring Data'!G261</f>
        <v/>
      </c>
      <c r="L6" s="48" t="str">
        <f>'Monitoring Data'!G304</f>
        <v/>
      </c>
      <c r="M6" s="48" t="str">
        <f>'Monitoring Data'!G347</f>
        <v/>
      </c>
      <c r="N6" s="48" t="str">
        <f>'Monitoring Data'!G390</f>
        <v/>
      </c>
      <c r="O6" s="48" t="str">
        <f>'Monitoring Data'!G433</f>
        <v/>
      </c>
    </row>
    <row r="7" spans="1:15" s="3" customFormat="1" ht="15.5" x14ac:dyDescent="0.35">
      <c r="A7" s="600"/>
      <c r="B7" s="156" t="s">
        <v>170</v>
      </c>
      <c r="C7" s="135" t="str">
        <f>'Quantification Tool'!G50</f>
        <v/>
      </c>
      <c r="D7" s="135" t="str">
        <f>'Quantification Tool'!F93</f>
        <v/>
      </c>
      <c r="E7" s="48" t="str">
        <f>'Monitoring Data'!F7</f>
        <v/>
      </c>
      <c r="F7" s="48" t="str">
        <f>'Monitoring Data'!G50</f>
        <v/>
      </c>
      <c r="G7" s="48" t="str">
        <f>'Monitoring Data'!G92</f>
        <v/>
      </c>
      <c r="H7" s="48" t="str">
        <f>'Monitoring Data'!G135</f>
        <v/>
      </c>
      <c r="I7" s="48" t="str">
        <f>'Monitoring Data'!G178</f>
        <v/>
      </c>
      <c r="J7" s="48" t="str">
        <f>'Monitoring Data'!G221</f>
        <v/>
      </c>
      <c r="K7" s="48" t="str">
        <f>'Monitoring Data'!G264</f>
        <v/>
      </c>
      <c r="L7" s="48" t="str">
        <f>'Monitoring Data'!G307</f>
        <v/>
      </c>
      <c r="M7" s="48" t="str">
        <f>'Monitoring Data'!G350</f>
        <v/>
      </c>
      <c r="N7" s="48" t="str">
        <f>'Monitoring Data'!G393</f>
        <v/>
      </c>
      <c r="O7" s="48" t="str">
        <f>'Monitoring Data'!G436</f>
        <v/>
      </c>
    </row>
    <row r="8" spans="1:15" ht="15.5" x14ac:dyDescent="0.35">
      <c r="A8" s="143" t="s">
        <v>6</v>
      </c>
      <c r="B8" s="77" t="s">
        <v>7</v>
      </c>
      <c r="C8" s="135">
        <f>'Quantification Tool'!G51</f>
        <v>0</v>
      </c>
      <c r="D8" s="135">
        <f>'Quantification Tool'!G94</f>
        <v>0.88500000000000001</v>
      </c>
      <c r="E8" s="48">
        <f>'Monitoring Data'!G8</f>
        <v>0.88500000000000001</v>
      </c>
      <c r="F8" s="48">
        <f>'Monitoring Data'!G51</f>
        <v>0.88500000000000001</v>
      </c>
      <c r="G8" s="48">
        <f>'Monitoring Data'!G93</f>
        <v>0.88500000000000001</v>
      </c>
      <c r="H8" s="48">
        <f>'Monitoring Data'!G136</f>
        <v>0.88500000000000001</v>
      </c>
      <c r="I8" s="48">
        <f>'Monitoring Data'!G179</f>
        <v>0.88500000000000001</v>
      </c>
      <c r="J8" s="48">
        <f>'Monitoring Data'!G222</f>
        <v>0.88500000000000001</v>
      </c>
      <c r="K8" s="48" t="str">
        <f>'Monitoring Data'!G265</f>
        <v/>
      </c>
      <c r="L8" s="48" t="str">
        <f>'Monitoring Data'!G308</f>
        <v/>
      </c>
      <c r="M8" s="48" t="str">
        <f>'Monitoring Data'!G351</f>
        <v/>
      </c>
      <c r="N8" s="48" t="str">
        <f>'Monitoring Data'!G394</f>
        <v/>
      </c>
      <c r="O8" s="48" t="str">
        <f>'Monitoring Data'!G437</f>
        <v/>
      </c>
    </row>
    <row r="9" spans="1:15" ht="15.5" x14ac:dyDescent="0.35">
      <c r="A9" s="593" t="s">
        <v>23</v>
      </c>
      <c r="B9" s="78" t="s">
        <v>24</v>
      </c>
      <c r="C9" s="135">
        <f>'Quantification Tool'!G53</f>
        <v>0.37</v>
      </c>
      <c r="D9" s="135">
        <f>'Quantification Tool'!G96</f>
        <v>0.7</v>
      </c>
      <c r="E9" s="48">
        <f>'Monitoring Data'!G10</f>
        <v>0.7</v>
      </c>
      <c r="F9" s="48">
        <f>'Monitoring Data'!G53</f>
        <v>0.7</v>
      </c>
      <c r="G9" s="48">
        <f>'Monitoring Data'!G95</f>
        <v>0.7</v>
      </c>
      <c r="H9" s="48">
        <f>'Monitoring Data'!G138</f>
        <v>0.75</v>
      </c>
      <c r="I9" s="48">
        <f>'Monitoring Data'!G181</f>
        <v>0.78</v>
      </c>
      <c r="J9" s="48">
        <f>'Monitoring Data'!G224</f>
        <v>0.78</v>
      </c>
      <c r="K9" s="48" t="str">
        <f>'Monitoring Data'!G267</f>
        <v/>
      </c>
      <c r="L9" s="48" t="str">
        <f>'Monitoring Data'!G310</f>
        <v/>
      </c>
      <c r="M9" s="48" t="str">
        <f>'Monitoring Data'!G353</f>
        <v/>
      </c>
      <c r="N9" s="48" t="str">
        <f>'Monitoring Data'!G396</f>
        <v/>
      </c>
      <c r="O9" s="48" t="str">
        <f>'Monitoring Data'!G439</f>
        <v/>
      </c>
    </row>
    <row r="10" spans="1:15" ht="15.5" x14ac:dyDescent="0.35">
      <c r="A10" s="594"/>
      <c r="B10" s="78" t="s">
        <v>46</v>
      </c>
      <c r="C10" s="135">
        <f>'Quantification Tool'!G55</f>
        <v>0.20500000000000002</v>
      </c>
      <c r="D10" s="135">
        <f>'Quantification Tool'!G98</f>
        <v>0.85</v>
      </c>
      <c r="E10" s="48">
        <f>'Monitoring Data'!G12</f>
        <v>0.65</v>
      </c>
      <c r="F10" s="48">
        <f>'Monitoring Data'!G55</f>
        <v>0.65</v>
      </c>
      <c r="G10" s="48">
        <f>'Monitoring Data'!G97</f>
        <v>0.65</v>
      </c>
      <c r="H10" s="48">
        <f>'Monitoring Data'!G140</f>
        <v>0.85</v>
      </c>
      <c r="I10" s="48">
        <f>'Monitoring Data'!G183</f>
        <v>0.85</v>
      </c>
      <c r="J10" s="48">
        <f>'Monitoring Data'!G226</f>
        <v>0.85</v>
      </c>
      <c r="K10" s="48" t="str">
        <f>'Monitoring Data'!G269</f>
        <v/>
      </c>
      <c r="L10" s="48" t="str">
        <f>'Monitoring Data'!G312</f>
        <v/>
      </c>
      <c r="M10" s="48" t="str">
        <f>'Monitoring Data'!G355</f>
        <v/>
      </c>
      <c r="N10" s="48" t="str">
        <f>'Monitoring Data'!G398</f>
        <v/>
      </c>
      <c r="O10" s="48" t="str">
        <f>'Monitoring Data'!G441</f>
        <v/>
      </c>
    </row>
    <row r="11" spans="1:15" ht="15.5" x14ac:dyDescent="0.35">
      <c r="A11" s="594"/>
      <c r="B11" s="78" t="s">
        <v>48</v>
      </c>
      <c r="C11" s="135">
        <f>'Quantification Tool'!G58</f>
        <v>0.28153846153846157</v>
      </c>
      <c r="D11" s="135">
        <f>'Quantification Tool'!G101</f>
        <v>0.74923076923076926</v>
      </c>
      <c r="E11" s="48">
        <f>'Monitoring Data'!G15</f>
        <v>0.48461538461538461</v>
      </c>
      <c r="F11" s="48">
        <f>'Monitoring Data'!G58</f>
        <v>0.62769230769230766</v>
      </c>
      <c r="G11" s="48">
        <f>'Monitoring Data'!G100</f>
        <v>0.67384615384615398</v>
      </c>
      <c r="H11" s="48">
        <f>'Monitoring Data'!G143</f>
        <v>0.76769230769230767</v>
      </c>
      <c r="I11" s="48">
        <f>'Monitoring Data'!G186</f>
        <v>0.79692307692307685</v>
      </c>
      <c r="J11" s="48">
        <f>'Monitoring Data'!G229</f>
        <v>0.79692307692307685</v>
      </c>
      <c r="K11" s="48" t="str">
        <f>'Monitoring Data'!G272</f>
        <v/>
      </c>
      <c r="L11" s="48" t="str">
        <f>'Monitoring Data'!G315</f>
        <v/>
      </c>
      <c r="M11" s="48" t="str">
        <f>'Monitoring Data'!G358</f>
        <v/>
      </c>
      <c r="N11" s="48" t="str">
        <f>'Monitoring Data'!G401</f>
        <v/>
      </c>
      <c r="O11" s="48" t="str">
        <f>'Monitoring Data'!G444</f>
        <v/>
      </c>
    </row>
    <row r="12" spans="1:15" ht="15.5" x14ac:dyDescent="0.35">
      <c r="A12" s="594"/>
      <c r="B12" s="78" t="s">
        <v>120</v>
      </c>
      <c r="C12" s="135" t="str">
        <f>'Quantification Tool'!G71</f>
        <v/>
      </c>
      <c r="D12" s="135" t="str">
        <f>'Quantification Tool'!G114</f>
        <v/>
      </c>
      <c r="E12" s="48" t="str">
        <f>'Monitoring Data'!G28</f>
        <v/>
      </c>
      <c r="F12" s="48" t="str">
        <f>'Monitoring Data'!G71</f>
        <v/>
      </c>
      <c r="G12" s="48" t="str">
        <f>'Monitoring Data'!G113</f>
        <v/>
      </c>
      <c r="H12" s="48" t="str">
        <f>'Monitoring Data'!G156</f>
        <v/>
      </c>
      <c r="I12" s="48" t="str">
        <f>'Monitoring Data'!G199</f>
        <v/>
      </c>
      <c r="J12" s="48" t="str">
        <f>'Monitoring Data'!G242</f>
        <v/>
      </c>
      <c r="K12" s="48" t="str">
        <f>'Monitoring Data'!G285</f>
        <v/>
      </c>
      <c r="L12" s="48" t="str">
        <f>'Monitoring Data'!G328</f>
        <v/>
      </c>
      <c r="M12" s="48" t="str">
        <f>'Monitoring Data'!G371</f>
        <v/>
      </c>
      <c r="N12" s="48" t="str">
        <f>'Monitoring Data'!G414</f>
        <v/>
      </c>
      <c r="O12" s="48" t="str">
        <f>'Monitoring Data'!G457</f>
        <v/>
      </c>
    </row>
    <row r="13" spans="1:15" ht="15.5" x14ac:dyDescent="0.35">
      <c r="A13" s="594"/>
      <c r="B13" s="78" t="s">
        <v>49</v>
      </c>
      <c r="C13" s="135">
        <f>'Quantification Tool'!G72</f>
        <v>0.26333333333333336</v>
      </c>
      <c r="D13" s="135">
        <f>'Quantification Tool'!G115</f>
        <v>0.9</v>
      </c>
      <c r="E13" s="48">
        <f>'Monitoring Data'!G29</f>
        <v>0.9</v>
      </c>
      <c r="F13" s="48">
        <f>'Monitoring Data'!G72</f>
        <v>0.9</v>
      </c>
      <c r="G13" s="48">
        <f>'Monitoring Data'!G114</f>
        <v>0.9</v>
      </c>
      <c r="H13" s="48">
        <f>'Monitoring Data'!G157</f>
        <v>0.9</v>
      </c>
      <c r="I13" s="48">
        <f>'Monitoring Data'!G200</f>
        <v>0.9</v>
      </c>
      <c r="J13" s="48">
        <f>'Monitoring Data'!G243</f>
        <v>0.9</v>
      </c>
      <c r="K13" s="48" t="str">
        <f>'Monitoring Data'!G286</f>
        <v/>
      </c>
      <c r="L13" s="48" t="str">
        <f>'Monitoring Data'!G329</f>
        <v/>
      </c>
      <c r="M13" s="48" t="str">
        <f>'Monitoring Data'!G372</f>
        <v/>
      </c>
      <c r="N13" s="48" t="str">
        <f>'Monitoring Data'!G415</f>
        <v/>
      </c>
      <c r="O13" s="48" t="str">
        <f>'Monitoring Data'!G458</f>
        <v/>
      </c>
    </row>
    <row r="14" spans="1:15" ht="15.5" x14ac:dyDescent="0.35">
      <c r="A14" s="595"/>
      <c r="B14" s="78" t="s">
        <v>54</v>
      </c>
      <c r="C14" s="135">
        <f>'Quantification Tool'!G76</f>
        <v>0</v>
      </c>
      <c r="D14" s="135">
        <f>'Quantification Tool'!G119</f>
        <v>0.7</v>
      </c>
      <c r="E14" s="48">
        <f>'Monitoring Data'!G33</f>
        <v>0.7</v>
      </c>
      <c r="F14" s="48">
        <f>'Monitoring Data'!F76</f>
        <v>0.7</v>
      </c>
      <c r="G14" s="48">
        <f>'Monitoring Data'!G118</f>
        <v>0.7</v>
      </c>
      <c r="H14" s="48">
        <f>'Monitoring Data'!G161</f>
        <v>0.7</v>
      </c>
      <c r="I14" s="48">
        <f>'Monitoring Data'!G204</f>
        <v>0.7</v>
      </c>
      <c r="J14" s="48">
        <f>'Monitoring Data'!G247</f>
        <v>0.7</v>
      </c>
      <c r="K14" s="48" t="str">
        <f>'Monitoring Data'!G290</f>
        <v/>
      </c>
      <c r="L14" s="48" t="str">
        <f>'Monitoring Data'!G333</f>
        <v/>
      </c>
      <c r="M14" s="48" t="str">
        <f>'Monitoring Data'!G376</f>
        <v/>
      </c>
      <c r="N14" s="48" t="str">
        <f>'Monitoring Data'!G419</f>
        <v/>
      </c>
      <c r="O14" s="48" t="str">
        <f>'Monitoring Data'!G462</f>
        <v/>
      </c>
    </row>
    <row r="15" spans="1:15" ht="15.5" x14ac:dyDescent="0.35">
      <c r="A15" s="596" t="s">
        <v>58</v>
      </c>
      <c r="B15" s="79" t="s">
        <v>93</v>
      </c>
      <c r="C15" s="135">
        <f>'Quantification Tool'!G77</f>
        <v>0.61</v>
      </c>
      <c r="D15" s="135">
        <f>'Quantification Tool'!G120</f>
        <v>0.87</v>
      </c>
      <c r="E15" s="48">
        <f>'Monitoring Data'!G34</f>
        <v>0.61</v>
      </c>
      <c r="F15" s="48">
        <f>'Monitoring Data'!G77</f>
        <v>0.61</v>
      </c>
      <c r="G15" s="48">
        <f>'Monitoring Data'!G119</f>
        <v>0.61</v>
      </c>
      <c r="H15" s="48">
        <f>'Monitoring Data'!G162</f>
        <v>0.61</v>
      </c>
      <c r="I15" s="48">
        <f>'Monitoring Data'!G205</f>
        <v>0.61</v>
      </c>
      <c r="J15" s="48">
        <f>'Monitoring Data'!G248</f>
        <v>0.87</v>
      </c>
      <c r="K15" s="48" t="str">
        <f>'Monitoring Data'!G291</f>
        <v/>
      </c>
      <c r="L15" s="48" t="str">
        <f>'Monitoring Data'!G334</f>
        <v/>
      </c>
      <c r="M15" s="48" t="str">
        <f>'Monitoring Data'!G377</f>
        <v/>
      </c>
      <c r="N15" s="48" t="str">
        <f>'Monitoring Data'!G420</f>
        <v/>
      </c>
      <c r="O15" s="48" t="str">
        <f>'Monitoring Data'!G463</f>
        <v/>
      </c>
    </row>
    <row r="16" spans="1:15" ht="15.5" x14ac:dyDescent="0.35">
      <c r="A16" s="597"/>
      <c r="B16" s="79" t="s">
        <v>238</v>
      </c>
      <c r="C16" s="135">
        <f>'Quantification Tool'!G79</f>
        <v>0.33</v>
      </c>
      <c r="D16" s="135">
        <f>'Quantification Tool'!G122</f>
        <v>0.79</v>
      </c>
      <c r="E16" s="48">
        <f>'Monitoring Data'!G36</f>
        <v>0.33</v>
      </c>
      <c r="F16" s="48">
        <f>'Monitoring Data'!G79</f>
        <v>0.33</v>
      </c>
      <c r="G16" s="48">
        <f>'Monitoring Data'!G121</f>
        <v>0.33</v>
      </c>
      <c r="H16" s="48">
        <f>'Monitoring Data'!G164</f>
        <v>0.45</v>
      </c>
      <c r="I16" s="48">
        <f>'Monitoring Data'!G207</f>
        <v>0.45</v>
      </c>
      <c r="J16" s="48">
        <f>'Monitoring Data'!G250</f>
        <v>0.79</v>
      </c>
      <c r="K16" s="48" t="str">
        <f>'Monitoring Data'!G293</f>
        <v/>
      </c>
      <c r="L16" s="48" t="str">
        <f>'Monitoring Data'!G336</f>
        <v/>
      </c>
      <c r="M16" s="48" t="str">
        <f>'Monitoring Data'!G379</f>
        <v/>
      </c>
      <c r="N16" s="48" t="str">
        <f>'Monitoring Data'!G422</f>
        <v/>
      </c>
      <c r="O16" s="48" t="str">
        <f>'Monitoring Data'!G465</f>
        <v/>
      </c>
    </row>
    <row r="17" spans="1:21" ht="15.5" x14ac:dyDescent="0.35">
      <c r="A17" s="601" t="s">
        <v>59</v>
      </c>
      <c r="B17" s="80" t="s">
        <v>73</v>
      </c>
      <c r="C17" s="135">
        <f>'Quantification Tool'!G80</f>
        <v>0.53500000000000003</v>
      </c>
      <c r="D17" s="135">
        <f>'Quantification Tool'!G123</f>
        <v>0.89500000000000002</v>
      </c>
      <c r="E17" s="48">
        <f>'Monitoring Data'!G37</f>
        <v>0.08</v>
      </c>
      <c r="F17" s="48">
        <f>'Monitoring Data'!G80</f>
        <v>0.28999999999999998</v>
      </c>
      <c r="G17" s="48">
        <f>'Monitoring Data'!G122</f>
        <v>0.28999999999999998</v>
      </c>
      <c r="H17" s="48">
        <f>'Monitoring Data'!G165</f>
        <v>0.60000000000000009</v>
      </c>
      <c r="I17" s="48">
        <f>'Monitoring Data'!G208</f>
        <v>0.60000000000000009</v>
      </c>
      <c r="J17" s="48">
        <f>'Monitoring Data'!G251</f>
        <v>0.89500000000000002</v>
      </c>
      <c r="K17" s="48" t="str">
        <f>'Monitoring Data'!G294</f>
        <v/>
      </c>
      <c r="L17" s="48" t="str">
        <f>'Monitoring Data'!G337</f>
        <v/>
      </c>
      <c r="M17" s="48" t="str">
        <f>'Monitoring Data'!G380</f>
        <v/>
      </c>
      <c r="N17" s="48" t="str">
        <f>'Monitoring Data'!G423</f>
        <v/>
      </c>
      <c r="O17" s="48" t="str">
        <f>'Monitoring Data'!G466</f>
        <v/>
      </c>
    </row>
    <row r="18" spans="1:21" ht="15.5" x14ac:dyDescent="0.35">
      <c r="A18" s="602"/>
      <c r="B18" s="80" t="s">
        <v>85</v>
      </c>
      <c r="C18" s="135">
        <f>'Quantification Tool'!G82</f>
        <v>0.48499999999999999</v>
      </c>
      <c r="D18" s="135">
        <f>'Quantification Tool'!G125</f>
        <v>1</v>
      </c>
      <c r="E18" s="48">
        <f>'Monitoring Data'!G39</f>
        <v>0.53</v>
      </c>
      <c r="F18" s="48">
        <f>'Monitoring Data'!G82</f>
        <v>0.56999999999999995</v>
      </c>
      <c r="G18" s="48">
        <f>'Monitoring Data'!G124</f>
        <v>0.65500000000000003</v>
      </c>
      <c r="H18" s="48">
        <f>'Monitoring Data'!G167</f>
        <v>1</v>
      </c>
      <c r="I18" s="48">
        <f>'Monitoring Data'!G210</f>
        <v>1</v>
      </c>
      <c r="J18" s="48">
        <f>'Monitoring Data'!G253</f>
        <v>1</v>
      </c>
      <c r="K18" s="48" t="str">
        <f>'Monitoring Data'!G296</f>
        <v/>
      </c>
      <c r="L18" s="48" t="str">
        <f>'Monitoring Data'!G339</f>
        <v/>
      </c>
      <c r="M18" s="48" t="str">
        <f>'Monitoring Data'!G382</f>
        <v/>
      </c>
      <c r="N18" s="48" t="str">
        <f>'Monitoring Data'!G425</f>
        <v/>
      </c>
      <c r="O18" s="48" t="str">
        <f>'Monitoring Data'!G468</f>
        <v/>
      </c>
    </row>
    <row r="21" spans="1:21" ht="32.4" customHeight="1" x14ac:dyDescent="0.35">
      <c r="A21" s="504" t="s">
        <v>116</v>
      </c>
      <c r="B21" s="505"/>
      <c r="C21" s="505"/>
      <c r="D21" s="505"/>
      <c r="E21" s="505"/>
      <c r="F21" s="505"/>
      <c r="G21" s="505"/>
      <c r="H21" s="505"/>
      <c r="I21" s="505"/>
      <c r="J21" s="505"/>
      <c r="K21" s="505"/>
      <c r="L21" s="505"/>
      <c r="M21" s="505"/>
      <c r="N21" s="505"/>
      <c r="O21" s="506"/>
    </row>
    <row r="22" spans="1:21" ht="14.4" customHeight="1" x14ac:dyDescent="0.35">
      <c r="A22" s="589" t="s">
        <v>117</v>
      </c>
      <c r="B22" s="590"/>
      <c r="C22" s="580" t="s">
        <v>118</v>
      </c>
      <c r="D22" s="580" t="s">
        <v>119</v>
      </c>
      <c r="E22" s="582" t="s">
        <v>162</v>
      </c>
      <c r="F22" s="584" t="s">
        <v>165</v>
      </c>
      <c r="G22" s="585"/>
      <c r="H22" s="585"/>
      <c r="I22" s="585"/>
      <c r="J22" s="585"/>
      <c r="K22" s="585"/>
      <c r="L22" s="585"/>
      <c r="M22" s="585"/>
      <c r="N22" s="585"/>
      <c r="O22" s="586"/>
      <c r="P22" s="128"/>
      <c r="Q22" s="128"/>
      <c r="R22" s="3"/>
      <c r="S22" s="3"/>
      <c r="T22" s="3"/>
      <c r="U22" s="3"/>
    </row>
    <row r="23" spans="1:21" s="3" customFormat="1" ht="14.4" customHeight="1" x14ac:dyDescent="0.35">
      <c r="A23" s="591"/>
      <c r="B23" s="592"/>
      <c r="C23" s="581"/>
      <c r="D23" s="581"/>
      <c r="E23" s="583"/>
      <c r="F23" s="141">
        <f t="shared" ref="F23:O23" si="0">F4</f>
        <v>1</v>
      </c>
      <c r="G23" s="141">
        <f t="shared" si="0"/>
        <v>2</v>
      </c>
      <c r="H23" s="141">
        <f t="shared" si="0"/>
        <v>3</v>
      </c>
      <c r="I23" s="141">
        <f t="shared" si="0"/>
        <v>4</v>
      </c>
      <c r="J23" s="141">
        <f t="shared" si="0"/>
        <v>5</v>
      </c>
      <c r="K23" s="141" t="str">
        <f t="shared" si="0"/>
        <v>#N/A</v>
      </c>
      <c r="L23" s="141" t="str">
        <f t="shared" si="0"/>
        <v>#N/A</v>
      </c>
      <c r="M23" s="141" t="str">
        <f t="shared" si="0"/>
        <v>#N/A</v>
      </c>
      <c r="N23" s="141" t="str">
        <f t="shared" si="0"/>
        <v>#N/A</v>
      </c>
      <c r="O23" s="141" t="str">
        <f t="shared" si="0"/>
        <v>#N/A</v>
      </c>
      <c r="P23" s="128"/>
      <c r="Q23" s="128"/>
    </row>
    <row r="24" spans="1:21" ht="14.4" customHeight="1" x14ac:dyDescent="0.35">
      <c r="A24" s="605" t="s">
        <v>63</v>
      </c>
      <c r="B24" s="605"/>
      <c r="C24" s="136">
        <f>'Quantification Tool'!H46</f>
        <v>0.57999999999999996</v>
      </c>
      <c r="D24" s="136">
        <f>'Quantification Tool'!H89</f>
        <v>0.88</v>
      </c>
      <c r="E24" s="132">
        <f>'Monitoring Data'!H3</f>
        <v>0.88</v>
      </c>
      <c r="F24" s="132">
        <f>'Monitoring Data'!H46</f>
        <v>0.88</v>
      </c>
      <c r="G24" s="132">
        <f>'Monitoring Data'!H88</f>
        <v>0.88</v>
      </c>
      <c r="H24" s="132">
        <f>'Monitoring Data'!H131</f>
        <v>0.88</v>
      </c>
      <c r="I24" s="132">
        <f>'Monitoring Data'!H174</f>
        <v>0.88</v>
      </c>
      <c r="J24" s="132">
        <f>'Monitoring Data'!H217</f>
        <v>0.88</v>
      </c>
      <c r="K24" s="132" t="str">
        <f>'Monitoring Data'!H260</f>
        <v/>
      </c>
      <c r="L24" s="132" t="str">
        <f>'Monitoring Data'!H303</f>
        <v/>
      </c>
      <c r="M24" s="132" t="str">
        <f>'Monitoring Data'!H346</f>
        <v/>
      </c>
      <c r="N24" s="132" t="str">
        <f>'Monitoring Data'!H389</f>
        <v/>
      </c>
      <c r="O24" s="132" t="str">
        <f>'Monitoring Data'!H432</f>
        <v/>
      </c>
      <c r="P24" s="126"/>
      <c r="Q24" s="127"/>
      <c r="R24" s="125"/>
      <c r="S24" s="125"/>
      <c r="T24" s="3"/>
      <c r="U24" s="3"/>
    </row>
    <row r="25" spans="1:21" ht="14.4" customHeight="1" x14ac:dyDescent="0.35">
      <c r="A25" s="606" t="s">
        <v>6</v>
      </c>
      <c r="B25" s="606"/>
      <c r="C25" s="136">
        <f>'Quantification Tool'!H51</f>
        <v>0</v>
      </c>
      <c r="D25" s="136">
        <f>'Quantification Tool'!H94</f>
        <v>0.89</v>
      </c>
      <c r="E25" s="132">
        <f>'Monitoring Data'!H8</f>
        <v>0.89</v>
      </c>
      <c r="F25" s="132">
        <f>'Monitoring Data'!H51</f>
        <v>0.89</v>
      </c>
      <c r="G25" s="132">
        <f>'Monitoring Data'!H93</f>
        <v>0.89</v>
      </c>
      <c r="H25" s="132">
        <f>'Monitoring Data'!H136</f>
        <v>0.89</v>
      </c>
      <c r="I25" s="132">
        <f>'Monitoring Data'!H179</f>
        <v>0.89</v>
      </c>
      <c r="J25" s="132">
        <f>'Monitoring Data'!H222</f>
        <v>0.89</v>
      </c>
      <c r="K25" s="132" t="str">
        <f>'Monitoring Data'!H265</f>
        <v/>
      </c>
      <c r="L25" s="132" t="str">
        <f>'Monitoring Data'!H308</f>
        <v/>
      </c>
      <c r="M25" s="132" t="str">
        <f>'Monitoring Data'!H351</f>
        <v/>
      </c>
      <c r="N25" s="132" t="str">
        <f>'Monitoring Data'!H394</f>
        <v/>
      </c>
      <c r="O25" s="132" t="str">
        <f>'Monitoring Data'!H437</f>
        <v/>
      </c>
      <c r="P25" s="126"/>
      <c r="Q25" s="126"/>
      <c r="R25" s="125"/>
      <c r="S25" s="125"/>
      <c r="T25" s="3"/>
      <c r="U25" s="3"/>
    </row>
    <row r="26" spans="1:21" ht="14.4" customHeight="1" x14ac:dyDescent="0.35">
      <c r="A26" s="607" t="s">
        <v>23</v>
      </c>
      <c r="B26" s="607"/>
      <c r="C26" s="136">
        <f>'Quantification Tool'!H53</f>
        <v>0.22</v>
      </c>
      <c r="D26" s="136">
        <f>'Quantification Tool'!H96</f>
        <v>0.78</v>
      </c>
      <c r="E26" s="132">
        <f>'Monitoring Data'!H10</f>
        <v>0.69</v>
      </c>
      <c r="F26" s="132">
        <f>'Monitoring Data'!H53</f>
        <v>0.72</v>
      </c>
      <c r="G26" s="132">
        <f>'Monitoring Data'!H95</f>
        <v>0.72</v>
      </c>
      <c r="H26" s="132">
        <f>'Monitoring Data'!H138</f>
        <v>0.79</v>
      </c>
      <c r="I26" s="132">
        <f>'Monitoring Data'!H181</f>
        <v>0.81</v>
      </c>
      <c r="J26" s="132">
        <f>'Monitoring Data'!H224</f>
        <v>0.81</v>
      </c>
      <c r="K26" s="132" t="str">
        <f>'Monitoring Data'!H267</f>
        <v/>
      </c>
      <c r="L26" s="132" t="str">
        <f>'Monitoring Data'!H310</f>
        <v/>
      </c>
      <c r="M26" s="132" t="str">
        <f>'Monitoring Data'!H353</f>
        <v/>
      </c>
      <c r="N26" s="132" t="str">
        <f>'Monitoring Data'!H396</f>
        <v/>
      </c>
      <c r="O26" s="132" t="str">
        <f>'Monitoring Data'!H439</f>
        <v/>
      </c>
      <c r="P26" s="126"/>
      <c r="Q26" s="127"/>
      <c r="R26" s="125"/>
      <c r="S26" s="125"/>
      <c r="T26" s="3"/>
      <c r="U26" s="3"/>
    </row>
    <row r="27" spans="1:21" ht="18.5" x14ac:dyDescent="0.35">
      <c r="A27" s="608" t="s">
        <v>58</v>
      </c>
      <c r="B27" s="608"/>
      <c r="C27" s="136">
        <f>'Quantification Tool'!H77</f>
        <v>0.47</v>
      </c>
      <c r="D27" s="136">
        <f>'Quantification Tool'!H120</f>
        <v>0.83</v>
      </c>
      <c r="E27" s="132">
        <f>'Monitoring Data'!H34</f>
        <v>0.47</v>
      </c>
      <c r="F27" s="132">
        <f>'Monitoring Data'!H77</f>
        <v>0.47</v>
      </c>
      <c r="G27" s="132">
        <f>'Monitoring Data'!H119</f>
        <v>0.47</v>
      </c>
      <c r="H27" s="132">
        <f>'Monitoring Data'!H162</f>
        <v>0.53</v>
      </c>
      <c r="I27" s="132">
        <f>'Monitoring Data'!H205</f>
        <v>0.53</v>
      </c>
      <c r="J27" s="132">
        <f>'Monitoring Data'!H248</f>
        <v>0.83</v>
      </c>
      <c r="K27" s="132" t="str">
        <f>'Monitoring Data'!H291</f>
        <v/>
      </c>
      <c r="L27" s="132" t="str">
        <f>'Monitoring Data'!H334</f>
        <v/>
      </c>
      <c r="M27" s="132" t="str">
        <f>'Monitoring Data'!H377</f>
        <v/>
      </c>
      <c r="N27" s="132" t="str">
        <f>'Monitoring Data'!H420</f>
        <v/>
      </c>
      <c r="O27" s="132" t="str">
        <f>'Monitoring Data'!H463</f>
        <v/>
      </c>
      <c r="P27" s="126"/>
      <c r="Q27" s="127"/>
      <c r="R27" s="125"/>
      <c r="S27" s="125"/>
      <c r="T27" s="3"/>
      <c r="U27" s="3"/>
    </row>
    <row r="28" spans="1:21" ht="18.5" x14ac:dyDescent="0.35">
      <c r="A28" s="604" t="s">
        <v>59</v>
      </c>
      <c r="B28" s="604"/>
      <c r="C28" s="136">
        <f>'Quantification Tool'!H80</f>
        <v>0.51</v>
      </c>
      <c r="D28" s="136">
        <f>'Quantification Tool'!H123</f>
        <v>0.95</v>
      </c>
      <c r="E28" s="132">
        <f>'Monitoring Data'!H37</f>
        <v>0.31</v>
      </c>
      <c r="F28" s="132">
        <f>'Monitoring Data'!H80</f>
        <v>0.43</v>
      </c>
      <c r="G28" s="132">
        <f>'Monitoring Data'!H122</f>
        <v>0.47</v>
      </c>
      <c r="H28" s="132">
        <f>'Monitoring Data'!H165</f>
        <v>0.8</v>
      </c>
      <c r="I28" s="132">
        <f>'Monitoring Data'!H208</f>
        <v>0.8</v>
      </c>
      <c r="J28" s="132">
        <f>'Monitoring Data'!H251</f>
        <v>0.95</v>
      </c>
      <c r="K28" s="132" t="str">
        <f>'Monitoring Data'!H294</f>
        <v/>
      </c>
      <c r="L28" s="132" t="str">
        <f>'Monitoring Data'!H337</f>
        <v/>
      </c>
      <c r="M28" s="132" t="str">
        <f>'Monitoring Data'!H380</f>
        <v/>
      </c>
      <c r="N28" s="132" t="str">
        <f>'Monitoring Data'!H423</f>
        <v/>
      </c>
      <c r="O28" s="132" t="str">
        <f>'Monitoring Data'!H466</f>
        <v/>
      </c>
      <c r="P28" s="126"/>
      <c r="Q28" s="126"/>
      <c r="R28" s="125"/>
      <c r="S28" s="125"/>
      <c r="T28" s="3"/>
      <c r="U28" s="3"/>
    </row>
    <row r="29" spans="1:21" ht="18.5" x14ac:dyDescent="0.45">
      <c r="A29" s="603" t="s">
        <v>163</v>
      </c>
      <c r="B29" s="603"/>
      <c r="C29" s="137">
        <f>ROUND(0.2*SUM(C24:C28),2)</f>
        <v>0.36</v>
      </c>
      <c r="D29" s="137">
        <f>ROUND(0.2*SUM(D24:D28),2)</f>
        <v>0.87</v>
      </c>
      <c r="E29" s="133">
        <f>ROUND(0.2*SUM(E24:E28),2)</f>
        <v>0.65</v>
      </c>
      <c r="F29" s="129">
        <f t="shared" ref="F29:O29" si="1">IF(F23="","",ROUND(0.2*SUM(F24:F28),2))</f>
        <v>0.68</v>
      </c>
      <c r="G29" s="129">
        <f t="shared" si="1"/>
        <v>0.69</v>
      </c>
      <c r="H29" s="129">
        <f t="shared" si="1"/>
        <v>0.78</v>
      </c>
      <c r="I29" s="129">
        <f t="shared" si="1"/>
        <v>0.78</v>
      </c>
      <c r="J29" s="129">
        <f t="shared" si="1"/>
        <v>0.87</v>
      </c>
      <c r="K29" s="129">
        <f t="shared" si="1"/>
        <v>0</v>
      </c>
      <c r="L29" s="129">
        <f t="shared" si="1"/>
        <v>0</v>
      </c>
      <c r="M29" s="129">
        <f t="shared" si="1"/>
        <v>0</v>
      </c>
      <c r="N29" s="129">
        <f t="shared" si="1"/>
        <v>0</v>
      </c>
      <c r="O29" s="129">
        <f t="shared" si="1"/>
        <v>0</v>
      </c>
    </row>
    <row r="30" spans="1:21" ht="18.5" x14ac:dyDescent="0.45">
      <c r="A30" s="603" t="s">
        <v>164</v>
      </c>
      <c r="B30" s="603"/>
      <c r="C30" s="137">
        <f>ROUND(C29*'Quantification Tool'!B14,0)</f>
        <v>360</v>
      </c>
      <c r="D30" s="138">
        <f>ROUND(D29*'Quantification Tool'!$B$15,0)</f>
        <v>1044</v>
      </c>
      <c r="E30" s="131">
        <f>ROUND(E29*'Quantification Tool'!$B$15,0)</f>
        <v>780</v>
      </c>
      <c r="F30" s="139">
        <f>IFERROR(ROUND(F29*'Quantification Tool'!$B$15,0),"")</f>
        <v>816</v>
      </c>
      <c r="G30" s="139">
        <f>IFERROR(ROUND(G29*'Quantification Tool'!$B$15,0),"")</f>
        <v>828</v>
      </c>
      <c r="H30" s="139">
        <f>IFERROR(ROUND(H29*'Quantification Tool'!$B$15,0),"")</f>
        <v>936</v>
      </c>
      <c r="I30" s="139">
        <f>IFERROR(ROUND(I29*'Quantification Tool'!$B$15,0),"")</f>
        <v>936</v>
      </c>
      <c r="J30" s="139">
        <f>IFERROR(ROUND(J29*'Quantification Tool'!$B$15,0),"")</f>
        <v>1044</v>
      </c>
      <c r="K30" s="131">
        <f>IFERROR(ROUND(K29*'Quantification Tool'!$B$15,0),"")</f>
        <v>0</v>
      </c>
      <c r="L30" s="139">
        <f>IFERROR(ROUND(L29*'Quantification Tool'!$B$15,0),"")</f>
        <v>0</v>
      </c>
      <c r="M30" s="139">
        <f>IFERROR(ROUND(M29*'Quantification Tool'!$B$15,0),"")</f>
        <v>0</v>
      </c>
      <c r="N30" s="139">
        <f>IFERROR(ROUND(N29*'Quantification Tool'!$B$15,0),"")</f>
        <v>0</v>
      </c>
      <c r="O30" s="139">
        <f>IFERROR(ROUND(O29*'Quantification Tool'!$B$15,0),"")</f>
        <v>0</v>
      </c>
    </row>
    <row r="31" spans="1:21" ht="18.5" x14ac:dyDescent="0.45">
      <c r="C31" s="130"/>
    </row>
    <row r="33" spans="1:1" x14ac:dyDescent="0.35">
      <c r="A33" s="140" t="s">
        <v>166</v>
      </c>
    </row>
    <row r="34" spans="1:1" x14ac:dyDescent="0.35">
      <c r="A34" s="140" t="str">
        <f>IFERROR(O23,IFERROR(N23,IFERROR(M23,IFERROR(L23,IFERROR(K23,IFERROR(J23,IFERROR(I23,IFERROR(H23,IFERROR(G23,F23)))))))))</f>
        <v>#N/A</v>
      </c>
    </row>
  </sheetData>
  <sheetProtection algorithmName="SHA-512" hashValue="1NVuVx8OYRBeA2T2inEbodinJg23fqhImGwbQXG+AmEVSmM0cVsT9ZVzvKblAUFt2B6Yna7GB182IXin45Mctw==" saltValue="Z0TXQbjYPxXxDgUrE/Cr3Q==" spinCount="100000" sheet="1" objects="1" scenarios="1"/>
  <mergeCells count="24">
    <mergeCell ref="A17:A18"/>
    <mergeCell ref="A30:B30"/>
    <mergeCell ref="A28:B28"/>
    <mergeCell ref="A29:B29"/>
    <mergeCell ref="A24:B24"/>
    <mergeCell ref="A25:B25"/>
    <mergeCell ref="A26:B26"/>
    <mergeCell ref="A27:B27"/>
    <mergeCell ref="C22:C23"/>
    <mergeCell ref="D22:D23"/>
    <mergeCell ref="E22:E23"/>
    <mergeCell ref="F22:O22"/>
    <mergeCell ref="A2:O2"/>
    <mergeCell ref="A21:O21"/>
    <mergeCell ref="A3:A4"/>
    <mergeCell ref="B3:B4"/>
    <mergeCell ref="C3:C4"/>
    <mergeCell ref="D3:D4"/>
    <mergeCell ref="E3:E4"/>
    <mergeCell ref="F3:O3"/>
    <mergeCell ref="A22:B23"/>
    <mergeCell ref="A9:A14"/>
    <mergeCell ref="A15:A16"/>
    <mergeCell ref="A5:A7"/>
  </mergeCells>
  <conditionalFormatting sqref="F4:O4">
    <cfRule type="containsErrors" dxfId="2" priority="3">
      <formula>ISERROR(F4)</formula>
    </cfRule>
  </conditionalFormatting>
  <conditionalFormatting sqref="F23:O23">
    <cfRule type="containsErrors" dxfId="1" priority="2">
      <formula>ISERROR(F23)</formula>
    </cfRule>
  </conditionalFormatting>
  <conditionalFormatting sqref="E29:O29">
    <cfRule type="containsErrors" dxfId="0" priority="1">
      <formula>ISERROR(E29)</formula>
    </cfRule>
  </conditionalFormatting>
  <pageMargins left="0.7" right="0.7" top="0.75" bottom="0.75" header="0.3" footer="0.3"/>
  <pageSetup paperSize="3" orientation="landscape" r:id="rId1"/>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2"/>
  <sheetViews>
    <sheetView topLeftCell="K40" zoomScale="80" zoomScaleNormal="80" zoomScaleSheetLayoutView="30" workbookViewId="0">
      <selection activeCell="T49" sqref="T49"/>
    </sheetView>
  </sheetViews>
  <sheetFormatPr defaultColWidth="9.08984375" defaultRowHeight="14.5" x14ac:dyDescent="0.35"/>
  <cols>
    <col min="1" max="18" width="11.6328125" style="261" customWidth="1"/>
    <col min="19" max="19" width="16.453125" style="261" customWidth="1"/>
    <col min="20" max="50" width="11.6328125" style="261" customWidth="1"/>
    <col min="51" max="16384" width="9.08984375" style="261"/>
  </cols>
  <sheetData>
    <row r="1" spans="1:42" x14ac:dyDescent="0.35">
      <c r="A1" s="261" t="s">
        <v>144</v>
      </c>
    </row>
    <row r="2" spans="1:42" x14ac:dyDescent="0.35">
      <c r="A2" s="261" t="s">
        <v>369</v>
      </c>
    </row>
    <row r="3" spans="1:42" x14ac:dyDescent="0.35">
      <c r="A3" s="261" t="s">
        <v>145</v>
      </c>
    </row>
    <row r="5" spans="1:42" ht="15" customHeight="1" x14ac:dyDescent="0.35">
      <c r="B5" s="611" t="s">
        <v>87</v>
      </c>
      <c r="C5" s="611"/>
      <c r="D5" s="611"/>
      <c r="E5" s="611"/>
      <c r="F5" s="611"/>
      <c r="G5" s="611"/>
      <c r="H5" s="611"/>
      <c r="I5" s="262"/>
      <c r="J5" s="611" t="s">
        <v>86</v>
      </c>
      <c r="K5" s="611"/>
      <c r="L5" s="611"/>
      <c r="M5" s="611"/>
      <c r="N5" s="611"/>
      <c r="O5" s="611"/>
      <c r="P5" s="611"/>
      <c r="Q5" s="263"/>
      <c r="R5" s="611" t="s">
        <v>88</v>
      </c>
      <c r="S5" s="611"/>
      <c r="T5" s="611"/>
      <c r="U5" s="611"/>
      <c r="V5" s="611"/>
      <c r="W5" s="611"/>
      <c r="X5" s="611"/>
      <c r="Y5" s="611"/>
      <c r="AA5" s="611" t="s">
        <v>89</v>
      </c>
      <c r="AB5" s="611"/>
      <c r="AC5" s="611"/>
      <c r="AD5" s="611"/>
      <c r="AE5" s="611"/>
      <c r="AF5" s="611"/>
      <c r="AG5" s="611"/>
      <c r="AH5" s="611"/>
      <c r="AI5" s="264"/>
      <c r="AJ5" s="611" t="s">
        <v>90</v>
      </c>
      <c r="AK5" s="611"/>
      <c r="AL5" s="611"/>
      <c r="AM5" s="611"/>
      <c r="AN5" s="611"/>
      <c r="AO5" s="611"/>
      <c r="AP5" s="611"/>
    </row>
    <row r="6" spans="1:42" ht="15" customHeight="1" x14ac:dyDescent="0.35">
      <c r="A6" s="265"/>
      <c r="B6" s="611"/>
      <c r="C6" s="611"/>
      <c r="D6" s="611"/>
      <c r="E6" s="611"/>
      <c r="F6" s="611"/>
      <c r="G6" s="611"/>
      <c r="H6" s="611"/>
      <c r="I6" s="262"/>
      <c r="J6" s="611"/>
      <c r="K6" s="611"/>
      <c r="L6" s="611"/>
      <c r="M6" s="611"/>
      <c r="N6" s="611"/>
      <c r="O6" s="611"/>
      <c r="P6" s="611"/>
      <c r="Q6" s="263"/>
      <c r="R6" s="611"/>
      <c r="S6" s="611"/>
      <c r="T6" s="611"/>
      <c r="U6" s="611"/>
      <c r="V6" s="611"/>
      <c r="W6" s="611"/>
      <c r="X6" s="611"/>
      <c r="Y6" s="611"/>
      <c r="AA6" s="611"/>
      <c r="AB6" s="611"/>
      <c r="AC6" s="611"/>
      <c r="AD6" s="611"/>
      <c r="AE6" s="611"/>
      <c r="AF6" s="611"/>
      <c r="AG6" s="611"/>
      <c r="AH6" s="611"/>
      <c r="AI6" s="264"/>
      <c r="AJ6" s="611"/>
      <c r="AK6" s="611"/>
      <c r="AL6" s="611"/>
      <c r="AM6" s="611"/>
      <c r="AN6" s="611"/>
      <c r="AO6" s="611"/>
      <c r="AP6" s="611"/>
    </row>
    <row r="7" spans="1:42" x14ac:dyDescent="0.35">
      <c r="A7" s="265"/>
      <c r="B7" s="265"/>
      <c r="C7" s="265"/>
      <c r="D7" s="265"/>
      <c r="E7" s="265"/>
      <c r="F7" s="265"/>
      <c r="G7" s="265"/>
      <c r="H7" s="265"/>
      <c r="I7" s="265"/>
      <c r="M7" s="263"/>
      <c r="N7" s="263"/>
      <c r="O7" s="263"/>
      <c r="P7" s="263"/>
      <c r="Q7" s="263"/>
      <c r="R7" s="263"/>
      <c r="S7" s="263"/>
      <c r="T7" s="263"/>
      <c r="AG7" s="263"/>
    </row>
    <row r="8" spans="1:42" ht="15" thickBot="1" x14ac:dyDescent="0.4">
      <c r="B8" s="261" t="s">
        <v>406</v>
      </c>
      <c r="J8" s="266"/>
      <c r="M8" s="263"/>
      <c r="N8" s="264"/>
      <c r="O8" s="264"/>
      <c r="P8" s="264"/>
      <c r="Q8" s="264"/>
      <c r="R8" s="264"/>
      <c r="S8" s="264"/>
      <c r="T8" s="264"/>
    </row>
    <row r="9" spans="1:42" ht="15" thickBot="1" x14ac:dyDescent="0.4">
      <c r="B9" s="267" t="s">
        <v>282</v>
      </c>
      <c r="C9" s="268"/>
      <c r="D9" s="268"/>
      <c r="E9" s="268">
        <v>71</v>
      </c>
      <c r="F9" s="268"/>
      <c r="G9" s="268">
        <v>61</v>
      </c>
      <c r="H9" s="269">
        <v>41</v>
      </c>
      <c r="J9" s="261" t="s">
        <v>0</v>
      </c>
      <c r="R9" s="261" t="s">
        <v>22</v>
      </c>
      <c r="AA9" s="270" t="s">
        <v>398</v>
      </c>
      <c r="AB9" s="270"/>
      <c r="AC9" s="270"/>
      <c r="AD9" s="270"/>
      <c r="AE9" s="270"/>
      <c r="AF9" s="270"/>
      <c r="AG9" s="270"/>
      <c r="AJ9" s="261" t="s">
        <v>400</v>
      </c>
    </row>
    <row r="10" spans="1:42" x14ac:dyDescent="0.35">
      <c r="B10" s="271" t="s">
        <v>283</v>
      </c>
      <c r="C10" s="272">
        <v>59.6</v>
      </c>
      <c r="D10" s="272"/>
      <c r="E10" s="272">
        <v>55</v>
      </c>
      <c r="F10" s="272"/>
      <c r="G10" s="272">
        <v>47</v>
      </c>
      <c r="H10" s="273">
        <v>35</v>
      </c>
      <c r="I10" s="274"/>
      <c r="J10" s="267" t="s">
        <v>14</v>
      </c>
      <c r="K10" s="275"/>
      <c r="L10" s="275">
        <v>1.6</v>
      </c>
      <c r="M10" s="275">
        <v>1.5</v>
      </c>
      <c r="N10" s="268"/>
      <c r="O10" s="275">
        <v>1.2</v>
      </c>
      <c r="P10" s="276">
        <v>1</v>
      </c>
      <c r="R10" s="267" t="s">
        <v>14</v>
      </c>
      <c r="S10" s="275">
        <v>0</v>
      </c>
      <c r="T10" s="275"/>
      <c r="U10" s="275">
        <v>200</v>
      </c>
      <c r="V10" s="275"/>
      <c r="W10" s="275">
        <v>300</v>
      </c>
      <c r="X10" s="276">
        <v>600</v>
      </c>
      <c r="AA10" s="267" t="s">
        <v>270</v>
      </c>
      <c r="AB10" s="277">
        <v>24.6</v>
      </c>
      <c r="AC10" s="268"/>
      <c r="AD10" s="268">
        <v>21.7</v>
      </c>
      <c r="AE10" s="268"/>
      <c r="AF10" s="268">
        <v>18.600000000000001</v>
      </c>
      <c r="AG10" s="278">
        <v>15.4</v>
      </c>
      <c r="AJ10" s="279" t="s">
        <v>210</v>
      </c>
      <c r="AK10" s="280">
        <v>0.25</v>
      </c>
      <c r="AL10" s="280"/>
      <c r="AM10" s="280">
        <v>0.41</v>
      </c>
      <c r="AN10" s="280">
        <v>0.62</v>
      </c>
      <c r="AO10" s="280"/>
      <c r="AP10" s="281">
        <v>1</v>
      </c>
    </row>
    <row r="11" spans="1:42" ht="15" thickBot="1" x14ac:dyDescent="0.4">
      <c r="B11" s="282" t="s">
        <v>284</v>
      </c>
      <c r="C11" s="272"/>
      <c r="D11" s="272"/>
      <c r="E11" s="272">
        <v>85</v>
      </c>
      <c r="F11" s="272"/>
      <c r="G11" s="272">
        <v>74</v>
      </c>
      <c r="H11" s="273">
        <v>62</v>
      </c>
      <c r="I11" s="264"/>
      <c r="J11" s="283" t="s">
        <v>15</v>
      </c>
      <c r="K11" s="284">
        <v>0</v>
      </c>
      <c r="L11" s="284">
        <v>0.2</v>
      </c>
      <c r="M11" s="285">
        <v>0.3</v>
      </c>
      <c r="N11" s="286">
        <v>0.69</v>
      </c>
      <c r="O11" s="287">
        <v>0.7</v>
      </c>
      <c r="P11" s="288">
        <v>1</v>
      </c>
      <c r="R11" s="283" t="s">
        <v>15</v>
      </c>
      <c r="S11" s="284">
        <v>0</v>
      </c>
      <c r="T11" s="284">
        <v>0.28999999999999998</v>
      </c>
      <c r="U11" s="285">
        <v>0.3</v>
      </c>
      <c r="V11" s="285">
        <v>0.69</v>
      </c>
      <c r="W11" s="287">
        <v>0.7</v>
      </c>
      <c r="X11" s="288">
        <v>1</v>
      </c>
      <c r="AA11" s="271" t="s">
        <v>250</v>
      </c>
      <c r="AB11" s="270">
        <v>27.8</v>
      </c>
      <c r="AD11" s="261">
        <v>23.8</v>
      </c>
      <c r="AF11" s="261">
        <v>19.7</v>
      </c>
      <c r="AG11" s="289">
        <v>15.5</v>
      </c>
      <c r="AJ11" s="290" t="s">
        <v>205</v>
      </c>
      <c r="AK11" s="291">
        <v>0.19</v>
      </c>
      <c r="AL11" s="291"/>
      <c r="AM11" s="291">
        <v>0.47</v>
      </c>
      <c r="AN11" s="291">
        <v>0.7</v>
      </c>
      <c r="AO11" s="291"/>
      <c r="AP11" s="292">
        <v>1</v>
      </c>
    </row>
    <row r="12" spans="1:42" ht="15" customHeight="1" thickBot="1" x14ac:dyDescent="0.4">
      <c r="B12" s="283" t="s">
        <v>15</v>
      </c>
      <c r="C12" s="284">
        <v>0</v>
      </c>
      <c r="D12" s="284">
        <v>0.28999999999999998</v>
      </c>
      <c r="E12" s="285">
        <v>0.3</v>
      </c>
      <c r="F12" s="285">
        <v>0.69</v>
      </c>
      <c r="G12" s="287">
        <v>0.7</v>
      </c>
      <c r="H12" s="288">
        <v>1</v>
      </c>
      <c r="R12" s="293"/>
      <c r="S12" s="264"/>
      <c r="T12" s="264"/>
      <c r="U12" s="264"/>
      <c r="V12" s="264"/>
      <c r="W12" s="264"/>
      <c r="X12" s="264"/>
      <c r="AA12" s="271" t="s">
        <v>271</v>
      </c>
      <c r="AB12" s="270">
        <v>32.4</v>
      </c>
      <c r="AD12" s="261">
        <v>27.8</v>
      </c>
      <c r="AF12" s="261">
        <v>22.8</v>
      </c>
      <c r="AG12" s="289">
        <v>17.7</v>
      </c>
      <c r="AJ12" s="290" t="s">
        <v>206</v>
      </c>
      <c r="AK12" s="291">
        <v>0.22</v>
      </c>
      <c r="AL12" s="291"/>
      <c r="AM12" s="291">
        <v>0.42</v>
      </c>
      <c r="AN12" s="291">
        <v>0.62</v>
      </c>
      <c r="AO12" s="291"/>
      <c r="AP12" s="292">
        <v>1</v>
      </c>
    </row>
    <row r="13" spans="1:42" ht="15" customHeight="1" x14ac:dyDescent="0.35">
      <c r="K13" s="294" t="s">
        <v>370</v>
      </c>
      <c r="S13" s="294" t="s">
        <v>370</v>
      </c>
      <c r="T13" s="295"/>
      <c r="AA13" s="271" t="s">
        <v>252</v>
      </c>
      <c r="AB13" s="270">
        <v>34.6</v>
      </c>
      <c r="AD13" s="261">
        <v>30</v>
      </c>
      <c r="AF13" s="261">
        <v>25</v>
      </c>
      <c r="AG13" s="289">
        <v>19.899999999999999</v>
      </c>
      <c r="AH13" s="263"/>
      <c r="AJ13" s="296" t="s">
        <v>207</v>
      </c>
      <c r="AK13" s="291">
        <v>0.23</v>
      </c>
      <c r="AL13" s="291"/>
      <c r="AM13" s="291">
        <v>0.49</v>
      </c>
      <c r="AN13" s="291">
        <v>0.74</v>
      </c>
      <c r="AO13" s="291"/>
      <c r="AP13" s="292">
        <v>1</v>
      </c>
    </row>
    <row r="14" spans="1:42" ht="15" customHeight="1" thickBot="1" x14ac:dyDescent="0.4">
      <c r="C14" s="294" t="s">
        <v>370</v>
      </c>
      <c r="D14" s="270"/>
      <c r="F14" s="263"/>
      <c r="G14" s="297"/>
      <c r="H14" s="297"/>
      <c r="I14" s="294"/>
      <c r="J14" s="298" t="s">
        <v>124</v>
      </c>
      <c r="K14" s="270">
        <v>0.46610000000000001</v>
      </c>
      <c r="L14" s="270"/>
      <c r="R14" s="272"/>
      <c r="S14" s="299" t="s">
        <v>129</v>
      </c>
      <c r="T14" s="299" t="s">
        <v>96</v>
      </c>
      <c r="AA14" s="271" t="s">
        <v>253</v>
      </c>
      <c r="AB14" s="270">
        <v>35.4</v>
      </c>
      <c r="AD14" s="261">
        <v>32</v>
      </c>
      <c r="AF14" s="261">
        <v>28.2</v>
      </c>
      <c r="AG14" s="300">
        <v>24.5</v>
      </c>
      <c r="AH14" s="297"/>
      <c r="AJ14" s="283" t="s">
        <v>5</v>
      </c>
      <c r="AK14" s="284">
        <v>0</v>
      </c>
      <c r="AL14" s="284">
        <v>0.28999999999999998</v>
      </c>
      <c r="AM14" s="285">
        <v>0.3</v>
      </c>
      <c r="AN14" s="285">
        <v>0.69</v>
      </c>
      <c r="AO14" s="287">
        <v>0.7</v>
      </c>
      <c r="AP14" s="288">
        <v>1</v>
      </c>
    </row>
    <row r="15" spans="1:42" ht="15" thickBot="1" x14ac:dyDescent="0.4">
      <c r="C15" s="301" t="str">
        <f>B9</f>
        <v>Forested</v>
      </c>
      <c r="D15" s="298" t="str">
        <f>B10</f>
        <v>Scrub-Shrub</v>
      </c>
      <c r="E15" s="301" t="str">
        <f>B11</f>
        <v>Herbaceous</v>
      </c>
      <c r="F15" s="263"/>
      <c r="H15" s="263"/>
      <c r="J15" s="298" t="s">
        <v>125</v>
      </c>
      <c r="K15" s="270">
        <v>-2.5550999999999999</v>
      </c>
      <c r="L15" s="270"/>
      <c r="R15" s="299" t="s">
        <v>124</v>
      </c>
      <c r="S15" s="272">
        <v>8.3299999999999999E-6</v>
      </c>
      <c r="T15" s="272"/>
      <c r="AA15" s="283" t="s">
        <v>5</v>
      </c>
      <c r="AB15" s="284">
        <v>0</v>
      </c>
      <c r="AC15" s="284">
        <v>0.28999999999999998</v>
      </c>
      <c r="AD15" s="285">
        <v>0.3</v>
      </c>
      <c r="AE15" s="285">
        <v>0.69</v>
      </c>
      <c r="AF15" s="287">
        <v>0.7</v>
      </c>
      <c r="AG15" s="288">
        <v>1</v>
      </c>
      <c r="AH15" s="263"/>
    </row>
    <row r="16" spans="1:42" x14ac:dyDescent="0.35">
      <c r="B16" s="301" t="s">
        <v>124</v>
      </c>
      <c r="C16" s="302">
        <v>-8.3299999999999997E-4</v>
      </c>
      <c r="D16" s="261">
        <v>-1.24E-3</v>
      </c>
      <c r="E16" s="302">
        <v>-4.9399999999999997E-4</v>
      </c>
      <c r="F16" s="263"/>
      <c r="G16" s="263"/>
      <c r="H16" s="263"/>
      <c r="J16" s="298" t="s">
        <v>127</v>
      </c>
      <c r="K16" s="270">
        <v>3.0907</v>
      </c>
      <c r="L16" s="270"/>
      <c r="M16" s="303"/>
      <c r="R16" s="299" t="s">
        <v>125</v>
      </c>
      <c r="S16" s="272">
        <v>-1.6666700000000001E-4</v>
      </c>
      <c r="T16" s="272">
        <v>1E-3</v>
      </c>
      <c r="AH16" s="263"/>
      <c r="AJ16" s="297"/>
      <c r="AK16" s="294" t="s">
        <v>364</v>
      </c>
      <c r="AL16" s="297"/>
      <c r="AM16" s="297"/>
      <c r="AN16" s="297"/>
      <c r="AO16" s="297"/>
      <c r="AP16" s="297"/>
    </row>
    <row r="17" spans="2:42" x14ac:dyDescent="0.35">
      <c r="B17" s="298" t="s">
        <v>125</v>
      </c>
      <c r="C17" s="304">
        <v>7.0000000000000007E-2</v>
      </c>
      <c r="D17" s="261">
        <v>7.6630000000000004E-2</v>
      </c>
      <c r="E17" s="302">
        <v>4.2194000000000002E-2</v>
      </c>
      <c r="F17" s="263"/>
      <c r="G17" s="263"/>
      <c r="H17" s="263"/>
      <c r="J17" s="270"/>
      <c r="K17" s="270"/>
      <c r="L17" s="305"/>
      <c r="R17" s="299" t="s">
        <v>127</v>
      </c>
      <c r="S17" s="263">
        <v>0</v>
      </c>
      <c r="T17" s="306">
        <v>0.4</v>
      </c>
      <c r="AA17" s="272"/>
      <c r="AB17" s="294" t="s">
        <v>364</v>
      </c>
      <c r="AC17" s="297"/>
      <c r="AD17" s="297"/>
      <c r="AE17" s="297"/>
      <c r="AF17" s="297"/>
      <c r="AG17" s="263"/>
      <c r="AH17" s="263"/>
      <c r="AJ17" s="263"/>
      <c r="AK17" s="307" t="s">
        <v>210</v>
      </c>
      <c r="AL17" s="293" t="s">
        <v>205</v>
      </c>
      <c r="AM17" s="293" t="s">
        <v>206</v>
      </c>
      <c r="AN17" s="307" t="s">
        <v>207</v>
      </c>
      <c r="AO17" s="307"/>
      <c r="AP17" s="272"/>
    </row>
    <row r="18" spans="2:42" x14ac:dyDescent="0.35">
      <c r="B18" s="298" t="s">
        <v>127</v>
      </c>
      <c r="C18" s="302">
        <v>-0.469167</v>
      </c>
      <c r="D18" s="261">
        <v>-0.16300999999999999</v>
      </c>
      <c r="E18" s="261">
        <v>0.28320200000000001</v>
      </c>
      <c r="J18" s="263"/>
      <c r="R18" s="272"/>
      <c r="S18" s="263"/>
      <c r="T18" s="272"/>
      <c r="AA18" s="263"/>
      <c r="AB18" s="308" t="str">
        <f>AA10</f>
        <v>Tier I (Cold)</v>
      </c>
      <c r="AC18" s="309" t="str">
        <f>AA11</f>
        <v>Tier II (Cold-Cool)</v>
      </c>
      <c r="AD18" s="309" t="str">
        <f>AA12</f>
        <v>Tier III (Cool)</v>
      </c>
      <c r="AE18" s="309" t="str">
        <f>AA13</f>
        <v>Tier IV (Cool-Warm)</v>
      </c>
      <c r="AF18" s="308" t="str">
        <f>AA14</f>
        <v>Tier V (Warm)</v>
      </c>
      <c r="AJ18" s="310" t="s">
        <v>124</v>
      </c>
      <c r="AK18" s="263">
        <v>1.3205</v>
      </c>
      <c r="AL18" s="263">
        <v>1.2687999999999999</v>
      </c>
      <c r="AM18" s="272">
        <v>1.2924</v>
      </c>
      <c r="AN18" s="263">
        <v>1.3236000000000001</v>
      </c>
      <c r="AO18" s="272"/>
      <c r="AP18" s="272"/>
    </row>
    <row r="19" spans="2:42" x14ac:dyDescent="0.35">
      <c r="B19" s="310"/>
      <c r="J19" s="263"/>
      <c r="AA19" s="310" t="s">
        <v>124</v>
      </c>
      <c r="AB19" s="263">
        <v>-0.11070000000000001</v>
      </c>
      <c r="AC19" s="263">
        <v>-8.2900000000000001E-2</v>
      </c>
      <c r="AD19" s="263">
        <v>-6.9199999999999998E-2</v>
      </c>
      <c r="AE19" s="263">
        <v>-6.9199999999999998E-2</v>
      </c>
      <c r="AF19" s="263">
        <v>-9.3200000000000005E-2</v>
      </c>
      <c r="AJ19" s="310" t="s">
        <v>125</v>
      </c>
      <c r="AK19" s="263">
        <v>-0.25519999999999998</v>
      </c>
      <c r="AL19" s="263">
        <v>-0.25109999999999999</v>
      </c>
      <c r="AM19" s="272">
        <v>-0.23269999999999999</v>
      </c>
      <c r="AN19" s="263">
        <v>-0.3165</v>
      </c>
      <c r="AO19" s="272"/>
      <c r="AP19" s="272"/>
    </row>
    <row r="20" spans="2:42" x14ac:dyDescent="0.35">
      <c r="AA20" s="310" t="s">
        <v>125</v>
      </c>
      <c r="AB20" s="263">
        <v>2.7225999999999999</v>
      </c>
      <c r="AC20" s="263">
        <v>2.2993000000000001</v>
      </c>
      <c r="AD20" s="263">
        <v>2.2429000000000001</v>
      </c>
      <c r="AE20" s="263">
        <v>2.3952</v>
      </c>
      <c r="AF20" s="263">
        <v>3.2976000000000001</v>
      </c>
      <c r="AJ20" s="310"/>
      <c r="AK20" s="263"/>
      <c r="AL20" s="263"/>
      <c r="AM20" s="307"/>
      <c r="AN20" s="263"/>
      <c r="AO20" s="263"/>
      <c r="AP20" s="272"/>
    </row>
    <row r="21" spans="2:42" x14ac:dyDescent="0.35">
      <c r="AJ21" s="270"/>
      <c r="AK21" s="270"/>
      <c r="AL21" s="305"/>
    </row>
    <row r="22" spans="2:42" x14ac:dyDescent="0.35">
      <c r="Z22" s="311"/>
    </row>
    <row r="43" spans="2:42" ht="15" thickBot="1" x14ac:dyDescent="0.4">
      <c r="J43" s="270" t="s">
        <v>367</v>
      </c>
      <c r="K43" s="270"/>
      <c r="L43" s="270"/>
      <c r="M43" s="270"/>
      <c r="N43" s="270"/>
      <c r="O43" s="270"/>
      <c r="P43" s="270"/>
      <c r="R43" s="261" t="s">
        <v>358</v>
      </c>
    </row>
    <row r="44" spans="2:42" ht="15" thickBot="1" x14ac:dyDescent="0.4">
      <c r="B44" s="261" t="s">
        <v>148</v>
      </c>
      <c r="J44" s="267" t="s">
        <v>14</v>
      </c>
      <c r="K44" s="312"/>
      <c r="L44" s="312"/>
      <c r="M44" s="312">
        <v>2</v>
      </c>
      <c r="N44" s="312"/>
      <c r="O44" s="312">
        <v>2.4</v>
      </c>
      <c r="P44" s="313">
        <v>5</v>
      </c>
      <c r="R44" s="314" t="s">
        <v>14</v>
      </c>
      <c r="S44" s="275">
        <v>0</v>
      </c>
      <c r="T44" s="275"/>
      <c r="U44" s="275">
        <v>10</v>
      </c>
      <c r="V44" s="275"/>
      <c r="W44" s="275">
        <v>15</v>
      </c>
      <c r="X44" s="276">
        <v>30</v>
      </c>
    </row>
    <row r="45" spans="2:42" ht="15" thickBot="1" x14ac:dyDescent="0.4">
      <c r="B45" s="267" t="s">
        <v>14</v>
      </c>
      <c r="C45" s="315" t="s">
        <v>150</v>
      </c>
      <c r="D45" s="315"/>
      <c r="E45" s="315">
        <v>3</v>
      </c>
      <c r="F45" s="315">
        <v>1</v>
      </c>
      <c r="G45" s="315"/>
      <c r="H45" s="316">
        <v>0</v>
      </c>
      <c r="J45" s="283" t="s">
        <v>15</v>
      </c>
      <c r="K45" s="284">
        <v>0</v>
      </c>
      <c r="L45" s="284">
        <v>0.28999999999999998</v>
      </c>
      <c r="M45" s="285">
        <v>0.3</v>
      </c>
      <c r="N45" s="285">
        <v>0.6</v>
      </c>
      <c r="O45" s="287">
        <v>0.7</v>
      </c>
      <c r="P45" s="288">
        <v>1</v>
      </c>
      <c r="R45" s="283" t="s">
        <v>15</v>
      </c>
      <c r="S45" s="284">
        <v>0</v>
      </c>
      <c r="T45" s="284">
        <v>0.28999999999999998</v>
      </c>
      <c r="U45" s="285">
        <v>0.3</v>
      </c>
      <c r="V45" s="285">
        <v>0.69</v>
      </c>
      <c r="W45" s="287">
        <v>0.7</v>
      </c>
      <c r="X45" s="288">
        <v>1</v>
      </c>
      <c r="AA45" s="270" t="s">
        <v>399</v>
      </c>
      <c r="AB45" s="270"/>
      <c r="AC45" s="270"/>
      <c r="AD45" s="270"/>
      <c r="AE45" s="270"/>
      <c r="AF45" s="270"/>
      <c r="AG45" s="270"/>
    </row>
    <row r="46" spans="2:42" ht="15" thickBot="1" x14ac:dyDescent="0.4">
      <c r="B46" s="283" t="s">
        <v>15</v>
      </c>
      <c r="C46" s="284">
        <v>0</v>
      </c>
      <c r="D46" s="284">
        <v>0.28999999999999998</v>
      </c>
      <c r="E46" s="285">
        <v>0.3</v>
      </c>
      <c r="F46" s="285">
        <v>0.69</v>
      </c>
      <c r="G46" s="287">
        <v>0.7</v>
      </c>
      <c r="H46" s="288">
        <v>1</v>
      </c>
      <c r="AA46" s="267" t="s">
        <v>270</v>
      </c>
      <c r="AB46" s="277">
        <v>19.3</v>
      </c>
      <c r="AC46" s="268"/>
      <c r="AD46" s="268">
        <v>18.100000000000001</v>
      </c>
      <c r="AE46" s="268"/>
      <c r="AF46" s="268">
        <v>16.8</v>
      </c>
      <c r="AG46" s="278">
        <v>15.4</v>
      </c>
      <c r="AJ46" s="261" t="s">
        <v>401</v>
      </c>
    </row>
    <row r="47" spans="2:42" x14ac:dyDescent="0.35">
      <c r="K47" s="294" t="s">
        <v>364</v>
      </c>
      <c r="L47" s="294"/>
      <c r="R47" s="317"/>
      <c r="S47" s="294" t="s">
        <v>370</v>
      </c>
      <c r="AA47" s="271" t="s">
        <v>250</v>
      </c>
      <c r="AB47" s="270">
        <v>21</v>
      </c>
      <c r="AD47" s="261">
        <v>19.3</v>
      </c>
      <c r="AF47" s="261">
        <v>17.399999999999999</v>
      </c>
      <c r="AG47" s="289">
        <v>15.5</v>
      </c>
      <c r="AJ47" s="279" t="s">
        <v>204</v>
      </c>
      <c r="AK47" s="280">
        <v>0.06</v>
      </c>
      <c r="AL47" s="280"/>
      <c r="AM47" s="280">
        <v>0.4</v>
      </c>
      <c r="AN47" s="280">
        <v>0.59</v>
      </c>
      <c r="AO47" s="280"/>
      <c r="AP47" s="281">
        <v>1</v>
      </c>
    </row>
    <row r="48" spans="2:42" x14ac:dyDescent="0.35">
      <c r="C48" s="294" t="s">
        <v>364</v>
      </c>
      <c r="D48" s="294"/>
      <c r="I48" s="293"/>
      <c r="K48" s="301" t="s">
        <v>96</v>
      </c>
      <c r="L48" s="301" t="s">
        <v>366</v>
      </c>
      <c r="R48" s="270"/>
      <c r="S48" s="426" t="s">
        <v>129</v>
      </c>
      <c r="T48" s="427" t="s">
        <v>96</v>
      </c>
      <c r="AA48" s="271" t="s">
        <v>271</v>
      </c>
      <c r="AB48" s="270">
        <v>24</v>
      </c>
      <c r="AD48" s="261">
        <v>22</v>
      </c>
      <c r="AF48" s="261">
        <v>19.899999999999999</v>
      </c>
      <c r="AG48" s="289">
        <v>17.7</v>
      </c>
      <c r="AJ48" s="296" t="s">
        <v>201</v>
      </c>
      <c r="AK48" s="291">
        <v>0.19</v>
      </c>
      <c r="AL48" s="291"/>
      <c r="AM48" s="291">
        <v>0.42</v>
      </c>
      <c r="AN48" s="291">
        <v>0.63</v>
      </c>
      <c r="AO48" s="291"/>
      <c r="AP48" s="292">
        <v>1</v>
      </c>
    </row>
    <row r="49" spans="2:42" x14ac:dyDescent="0.35">
      <c r="B49" s="301" t="s">
        <v>124</v>
      </c>
      <c r="C49" s="261">
        <v>-0.19500000000000001</v>
      </c>
      <c r="D49" s="270"/>
      <c r="F49" s="263"/>
      <c r="G49" s="297"/>
      <c r="H49" s="297"/>
      <c r="I49" s="264"/>
      <c r="J49" s="298" t="s">
        <v>124</v>
      </c>
      <c r="K49" s="270">
        <v>0.1154</v>
      </c>
      <c r="L49" s="270">
        <v>1</v>
      </c>
      <c r="R49" s="298" t="s">
        <v>124</v>
      </c>
      <c r="S49" s="319">
        <v>3.3E-3</v>
      </c>
      <c r="T49" s="320">
        <v>0</v>
      </c>
      <c r="AA49" s="271" t="s">
        <v>252</v>
      </c>
      <c r="AB49" s="270">
        <v>28.8</v>
      </c>
      <c r="AD49" s="261">
        <v>26</v>
      </c>
      <c r="AF49" s="261">
        <v>23</v>
      </c>
      <c r="AG49" s="289">
        <v>19.899999999999999</v>
      </c>
      <c r="AJ49" s="296" t="s">
        <v>202</v>
      </c>
      <c r="AK49" s="291">
        <v>0.27</v>
      </c>
      <c r="AL49" s="291"/>
      <c r="AM49" s="291">
        <v>0.41</v>
      </c>
      <c r="AN49" s="291">
        <v>0.61</v>
      </c>
      <c r="AO49" s="291"/>
      <c r="AP49" s="292">
        <v>1</v>
      </c>
    </row>
    <row r="50" spans="2:42" ht="15" thickBot="1" x14ac:dyDescent="0.4">
      <c r="B50" s="298" t="s">
        <v>125</v>
      </c>
      <c r="C50" s="270">
        <v>0.88500000000000001</v>
      </c>
      <c r="D50" s="270"/>
      <c r="F50" s="263"/>
      <c r="G50" s="263"/>
      <c r="H50" s="263"/>
      <c r="J50" s="298" t="s">
        <v>125</v>
      </c>
      <c r="K50" s="270">
        <v>0.42309999999999998</v>
      </c>
      <c r="L50" s="270">
        <v>-1.7</v>
      </c>
      <c r="R50" s="298" t="s">
        <v>125</v>
      </c>
      <c r="S50" s="321">
        <v>-3.3E-3</v>
      </c>
      <c r="T50" s="321">
        <v>0.02</v>
      </c>
      <c r="AA50" s="271" t="s">
        <v>253</v>
      </c>
      <c r="AB50" s="270">
        <v>31</v>
      </c>
      <c r="AD50" s="261">
        <v>29</v>
      </c>
      <c r="AF50" s="261">
        <v>26.7</v>
      </c>
      <c r="AG50" s="300">
        <v>24.5</v>
      </c>
      <c r="AJ50" s="283" t="s">
        <v>5</v>
      </c>
      <c r="AK50" s="284">
        <v>0</v>
      </c>
      <c r="AL50" s="284">
        <v>0.28999999999999998</v>
      </c>
      <c r="AM50" s="285">
        <v>0.3</v>
      </c>
      <c r="AN50" s="285">
        <v>0.69</v>
      </c>
      <c r="AO50" s="287">
        <v>0.7</v>
      </c>
      <c r="AP50" s="288">
        <v>1</v>
      </c>
    </row>
    <row r="51" spans="2:42" ht="15" thickBot="1" x14ac:dyDescent="0.4">
      <c r="B51" s="270"/>
      <c r="C51" s="270"/>
      <c r="D51" s="270"/>
      <c r="F51" s="263" t="str">
        <f>IF(E51="","",IF(OR(E51&gt;=2,E51&lt;=0.6),0,IF(AND(E51&gt;=1,E51&lt;=1.1),1,ROUND(IF(E51&lt;1,'Performance Standards'!C121*E51^2+'Performance Standards'!C122*E51+'Performance Standards'!C123,'Performance Standards'!$L$120*E51^2+'Performance Standards'!$L$121*E51+'Performance Standards'!$L$122),2))))</f>
        <v/>
      </c>
      <c r="G51" s="263"/>
      <c r="H51" s="263"/>
      <c r="J51" s="298"/>
      <c r="K51" s="270"/>
      <c r="L51" s="305"/>
      <c r="R51" s="298" t="s">
        <v>127</v>
      </c>
      <c r="S51" s="321">
        <v>0</v>
      </c>
      <c r="T51" s="321">
        <v>0.4</v>
      </c>
      <c r="AA51" s="283" t="s">
        <v>5</v>
      </c>
      <c r="AB51" s="284">
        <v>0</v>
      </c>
      <c r="AC51" s="284">
        <v>0.28999999999999998</v>
      </c>
      <c r="AD51" s="285">
        <v>0.3</v>
      </c>
      <c r="AE51" s="285">
        <v>0.69</v>
      </c>
      <c r="AF51" s="287">
        <v>0.7</v>
      </c>
      <c r="AG51" s="288">
        <v>1</v>
      </c>
    </row>
    <row r="52" spans="2:42" x14ac:dyDescent="0.35">
      <c r="B52" s="270"/>
      <c r="C52" s="270"/>
      <c r="D52" s="305"/>
      <c r="F52" s="263"/>
      <c r="G52" s="263"/>
      <c r="H52" s="263"/>
      <c r="J52" s="270"/>
      <c r="K52" s="270"/>
      <c r="L52" s="270"/>
      <c r="AJ52" s="297"/>
      <c r="AK52" s="294" t="s">
        <v>364</v>
      </c>
      <c r="AL52" s="297"/>
      <c r="AM52" s="297"/>
      <c r="AN52" s="297"/>
      <c r="AO52" s="297"/>
      <c r="AP52" s="297"/>
    </row>
    <row r="53" spans="2:42" x14ac:dyDescent="0.35">
      <c r="B53" s="263"/>
      <c r="I53" s="297"/>
      <c r="AA53" s="272"/>
      <c r="AB53" s="294" t="s">
        <v>364</v>
      </c>
      <c r="AC53" s="297"/>
      <c r="AD53" s="297"/>
      <c r="AE53" s="297"/>
      <c r="AF53" s="297"/>
      <c r="AJ53" s="272"/>
      <c r="AK53" s="307" t="s">
        <v>204</v>
      </c>
      <c r="AL53" s="307" t="s">
        <v>201</v>
      </c>
      <c r="AM53" s="307" t="s">
        <v>202</v>
      </c>
      <c r="AN53" s="307"/>
      <c r="AO53" s="272"/>
    </row>
    <row r="54" spans="2:42" x14ac:dyDescent="0.35">
      <c r="B54" s="263"/>
      <c r="I54" s="263"/>
      <c r="AA54" s="263"/>
      <c r="AB54" s="272" t="str">
        <f>AA46</f>
        <v>Tier I (Cold)</v>
      </c>
      <c r="AC54" s="263" t="str">
        <f>AA47</f>
        <v>Tier II (Cold-Cool)</v>
      </c>
      <c r="AD54" s="263" t="str">
        <f>AA48</f>
        <v>Tier III (Cool)</v>
      </c>
      <c r="AE54" s="263" t="str">
        <f>AA49</f>
        <v>Tier IV (Cool-Warm)</v>
      </c>
      <c r="AF54" s="272" t="str">
        <f>AA50</f>
        <v>Tier V (Warm)</v>
      </c>
      <c r="AG54" s="263"/>
      <c r="AJ54" s="310" t="s">
        <v>124</v>
      </c>
      <c r="AK54" s="263">
        <v>1.1001000000000001</v>
      </c>
      <c r="AL54" s="263">
        <v>1.2572000000000001</v>
      </c>
      <c r="AM54" s="263">
        <v>1.3394999999999999</v>
      </c>
      <c r="AN54" s="272"/>
    </row>
    <row r="55" spans="2:42" x14ac:dyDescent="0.35">
      <c r="I55" s="263"/>
      <c r="AA55" s="310" t="s">
        <v>124</v>
      </c>
      <c r="AB55" s="263">
        <v>-0.26119999999999999</v>
      </c>
      <c r="AC55" s="263">
        <v>-0.18479999999999999</v>
      </c>
      <c r="AD55" s="263">
        <v>-0.1618</v>
      </c>
      <c r="AE55" s="263">
        <v>-0.1144</v>
      </c>
      <c r="AF55" s="263">
        <v>-0.156</v>
      </c>
      <c r="AJ55" s="310" t="s">
        <v>125</v>
      </c>
      <c r="AK55" s="263">
        <v>-6.6299999999999998E-2</v>
      </c>
      <c r="AL55" s="263">
        <v>-0.20649999999999999</v>
      </c>
      <c r="AM55" s="263">
        <v>-0.26939999999999997</v>
      </c>
      <c r="AN55" s="272"/>
    </row>
    <row r="56" spans="2:42" x14ac:dyDescent="0.35">
      <c r="I56" s="263"/>
      <c r="AA56" s="310" t="s">
        <v>125</v>
      </c>
      <c r="AB56" s="263">
        <v>5.0453999999999999</v>
      </c>
      <c r="AC56" s="263">
        <v>3.8813</v>
      </c>
      <c r="AD56" s="263">
        <v>3.8822999999999999</v>
      </c>
      <c r="AE56" s="263">
        <v>3.2951999999999999</v>
      </c>
      <c r="AF56" s="263">
        <v>4.8372000000000002</v>
      </c>
      <c r="AJ56" s="310"/>
      <c r="AK56" s="263"/>
      <c r="AL56" s="263"/>
      <c r="AM56" s="272"/>
      <c r="AN56" s="272"/>
    </row>
    <row r="57" spans="2:42" x14ac:dyDescent="0.35">
      <c r="AJ57" s="270"/>
      <c r="AK57" s="270"/>
      <c r="AL57" s="270"/>
      <c r="AM57" s="303"/>
    </row>
    <row r="58" spans="2:42" x14ac:dyDescent="0.35">
      <c r="AJ58" s="270"/>
      <c r="AK58" s="270"/>
      <c r="AL58" s="305"/>
    </row>
    <row r="66" spans="2:24" x14ac:dyDescent="0.35">
      <c r="J66" s="266"/>
    </row>
    <row r="73" spans="2:24" x14ac:dyDescent="0.35">
      <c r="F73" s="261" t="str">
        <f>IF(E73="","",ROUND(IF(E73&lt;=2,0,IF(E73&gt;=9,1,E73^3*'Performance Standards'!$S$430+E73^2*'Performance Standards'!S$84+E73*'Performance Standards'!S$85+'Performance Standards'!S$86)),2))</f>
        <v/>
      </c>
    </row>
    <row r="77" spans="2:24" ht="15" thickBot="1" x14ac:dyDescent="0.4">
      <c r="B77" s="261" t="s">
        <v>154</v>
      </c>
    </row>
    <row r="78" spans="2:24" ht="15" thickBot="1" x14ac:dyDescent="0.4">
      <c r="B78" s="322" t="s">
        <v>151</v>
      </c>
      <c r="C78" s="323">
        <f>(C81-$C$86)/$C$85</f>
        <v>1.953846153846154</v>
      </c>
      <c r="D78" s="315"/>
      <c r="E78" s="315">
        <v>1.8</v>
      </c>
      <c r="F78" s="315">
        <v>1.6</v>
      </c>
      <c r="G78" s="315"/>
      <c r="H78" s="324">
        <f>(H81-$C$86)/$C$85</f>
        <v>1.441025641025641</v>
      </c>
      <c r="J78" s="270" t="s">
        <v>368</v>
      </c>
      <c r="K78" s="270"/>
      <c r="L78" s="270"/>
      <c r="M78" s="270"/>
      <c r="N78" s="270"/>
      <c r="O78" s="270"/>
      <c r="P78" s="270"/>
      <c r="R78" s="261" t="s">
        <v>91</v>
      </c>
    </row>
    <row r="79" spans="2:24" x14ac:dyDescent="0.35">
      <c r="B79" s="325" t="s">
        <v>152</v>
      </c>
      <c r="C79" s="326">
        <f>(C81-$D$86)/$D$85</f>
        <v>1.8423076923076924</v>
      </c>
      <c r="D79" s="327"/>
      <c r="E79" s="327">
        <v>1.65</v>
      </c>
      <c r="F79" s="327">
        <v>1.4</v>
      </c>
      <c r="G79" s="327"/>
      <c r="H79" s="328">
        <f>(H81-$D$86)/$D$85</f>
        <v>1.2012820512820512</v>
      </c>
      <c r="J79" s="267" t="s">
        <v>14</v>
      </c>
      <c r="K79" s="275"/>
      <c r="L79" s="275"/>
      <c r="M79" s="275">
        <v>1.2</v>
      </c>
      <c r="N79" s="275"/>
      <c r="O79" s="275">
        <v>1.4</v>
      </c>
      <c r="P79" s="276">
        <v>2.2000000000000002</v>
      </c>
      <c r="R79" s="267" t="s">
        <v>14</v>
      </c>
      <c r="S79" s="275">
        <v>0.71</v>
      </c>
      <c r="T79" s="280">
        <v>0.41170000000000001</v>
      </c>
      <c r="U79" s="275">
        <v>0.4</v>
      </c>
      <c r="V79" s="329"/>
      <c r="W79" s="275">
        <v>0.19</v>
      </c>
      <c r="X79" s="276">
        <v>0.1</v>
      </c>
    </row>
    <row r="80" spans="2:24" ht="15" thickBot="1" x14ac:dyDescent="0.4">
      <c r="B80" s="325" t="s">
        <v>153</v>
      </c>
      <c r="C80" s="326">
        <f>(C81-$E$86)/$E$85</f>
        <v>1.7545773645764158</v>
      </c>
      <c r="D80" s="327"/>
      <c r="E80" s="327">
        <v>1.47</v>
      </c>
      <c r="F80" s="327">
        <v>1.1000000000000001</v>
      </c>
      <c r="G80" s="327"/>
      <c r="H80" s="328">
        <f>(H81-$E$86)/$E$85</f>
        <v>0.80590076842804281</v>
      </c>
      <c r="J80" s="283" t="s">
        <v>15</v>
      </c>
      <c r="K80" s="284">
        <v>0</v>
      </c>
      <c r="L80" s="284">
        <v>0.28999999999999998</v>
      </c>
      <c r="M80" s="285">
        <v>0.3</v>
      </c>
      <c r="N80" s="285">
        <v>0.69</v>
      </c>
      <c r="O80" s="287">
        <v>0.7</v>
      </c>
      <c r="P80" s="288">
        <v>1</v>
      </c>
      <c r="R80" s="283" t="s">
        <v>15</v>
      </c>
      <c r="S80" s="284">
        <v>0</v>
      </c>
      <c r="T80" s="284">
        <v>0.28999999999999998</v>
      </c>
      <c r="U80" s="285">
        <v>0.3</v>
      </c>
      <c r="V80" s="285">
        <v>0.69</v>
      </c>
      <c r="W80" s="287">
        <v>0.7</v>
      </c>
      <c r="X80" s="288">
        <v>1</v>
      </c>
    </row>
    <row r="81" spans="2:44" ht="15" thickBot="1" x14ac:dyDescent="0.4">
      <c r="B81" s="283" t="s">
        <v>15</v>
      </c>
      <c r="C81" s="284">
        <v>0</v>
      </c>
      <c r="D81" s="284">
        <v>0.28999999999999998</v>
      </c>
      <c r="E81" s="285">
        <v>0.3</v>
      </c>
      <c r="F81" s="285">
        <v>0.69</v>
      </c>
      <c r="G81" s="287">
        <v>0.7</v>
      </c>
      <c r="H81" s="288">
        <v>1</v>
      </c>
    </row>
    <row r="82" spans="2:44" ht="15" thickBot="1" x14ac:dyDescent="0.4">
      <c r="J82" s="270"/>
      <c r="K82" s="330" t="s">
        <v>364</v>
      </c>
      <c r="L82" s="330"/>
      <c r="R82" s="272"/>
      <c r="S82" s="297" t="s">
        <v>258</v>
      </c>
      <c r="AA82" s="261" t="s">
        <v>237</v>
      </c>
    </row>
    <row r="83" spans="2:44" ht="15" thickBot="1" x14ac:dyDescent="0.4">
      <c r="C83" s="294" t="s">
        <v>364</v>
      </c>
      <c r="D83" s="294"/>
      <c r="E83" s="294"/>
      <c r="J83" s="270"/>
      <c r="K83" s="298" t="s">
        <v>129</v>
      </c>
      <c r="L83" s="298" t="s">
        <v>96</v>
      </c>
      <c r="R83" s="299" t="s">
        <v>124</v>
      </c>
      <c r="S83" s="272">
        <v>-4.976</v>
      </c>
      <c r="T83" s="270"/>
      <c r="AA83" s="267" t="s">
        <v>4</v>
      </c>
      <c r="AB83" s="275">
        <v>150</v>
      </c>
      <c r="AC83" s="275"/>
      <c r="AD83" s="275">
        <v>116</v>
      </c>
      <c r="AE83" s="275"/>
      <c r="AF83" s="275">
        <v>35</v>
      </c>
      <c r="AG83" s="276">
        <v>22</v>
      </c>
      <c r="AJ83" s="261" t="s">
        <v>402</v>
      </c>
    </row>
    <row r="84" spans="2:44" ht="15" thickBot="1" x14ac:dyDescent="0.4">
      <c r="C84" s="301" t="s">
        <v>151</v>
      </c>
      <c r="D84" s="298" t="s">
        <v>155</v>
      </c>
      <c r="E84" s="301" t="s">
        <v>153</v>
      </c>
      <c r="F84" s="263"/>
      <c r="G84" s="297"/>
      <c r="H84" s="297"/>
      <c r="J84" s="298" t="s">
        <v>124</v>
      </c>
      <c r="K84" s="270">
        <v>2</v>
      </c>
      <c r="L84" s="270">
        <v>0.375</v>
      </c>
      <c r="R84" s="299" t="s">
        <v>125</v>
      </c>
      <c r="S84" s="272">
        <v>8.24</v>
      </c>
      <c r="T84" s="270"/>
      <c r="AA84" s="283" t="s">
        <v>5</v>
      </c>
      <c r="AB84" s="284">
        <v>0</v>
      </c>
      <c r="AC84" s="284">
        <v>0.2</v>
      </c>
      <c r="AD84" s="285">
        <v>0.3</v>
      </c>
      <c r="AE84" s="285">
        <v>0.6</v>
      </c>
      <c r="AF84" s="287">
        <v>0.7</v>
      </c>
      <c r="AG84" s="288">
        <v>1</v>
      </c>
      <c r="AH84" s="263"/>
      <c r="AJ84" s="331" t="s">
        <v>208</v>
      </c>
      <c r="AK84" s="280">
        <v>0.44</v>
      </c>
      <c r="AL84" s="332"/>
      <c r="AM84" s="280">
        <v>0.54</v>
      </c>
      <c r="AN84" s="280">
        <v>0.81</v>
      </c>
      <c r="AO84" s="280"/>
      <c r="AP84" s="281">
        <v>1</v>
      </c>
    </row>
    <row r="85" spans="2:44" x14ac:dyDescent="0.35">
      <c r="B85" s="301" t="s">
        <v>124</v>
      </c>
      <c r="C85" s="261">
        <v>-1.95</v>
      </c>
      <c r="D85" s="270">
        <v>-1.56</v>
      </c>
      <c r="E85" s="261">
        <v>-1.0541</v>
      </c>
      <c r="F85" s="263"/>
      <c r="G85" s="263"/>
      <c r="H85" s="263"/>
      <c r="J85" s="298" t="s">
        <v>125</v>
      </c>
      <c r="K85" s="270">
        <v>-2.1</v>
      </c>
      <c r="L85" s="270">
        <v>0.17499999999999999</v>
      </c>
      <c r="R85" s="299" t="s">
        <v>127</v>
      </c>
      <c r="S85" s="263">
        <v>-5.40198</v>
      </c>
      <c r="T85" s="270"/>
      <c r="U85" s="333"/>
      <c r="AH85" s="297"/>
      <c r="AJ85" s="271" t="s">
        <v>220</v>
      </c>
      <c r="AK85" s="291">
        <v>0.05</v>
      </c>
      <c r="AL85" s="334"/>
      <c r="AM85" s="291">
        <v>0.5</v>
      </c>
      <c r="AN85" s="291">
        <v>0.75</v>
      </c>
      <c r="AO85" s="291"/>
      <c r="AP85" s="292">
        <v>1</v>
      </c>
    </row>
    <row r="86" spans="2:44" x14ac:dyDescent="0.35">
      <c r="B86" s="298" t="s">
        <v>125</v>
      </c>
      <c r="C86" s="270">
        <v>3.81</v>
      </c>
      <c r="D86" s="270">
        <v>2.8740000000000001</v>
      </c>
      <c r="E86" s="261">
        <v>1.8494999999999999</v>
      </c>
      <c r="F86" s="263"/>
      <c r="G86" s="263"/>
      <c r="H86" s="263"/>
      <c r="J86" s="298"/>
      <c r="K86" s="270"/>
      <c r="L86" s="305"/>
      <c r="R86" s="310" t="s">
        <v>128</v>
      </c>
      <c r="S86" s="263">
        <v>1.4630000000000001</v>
      </c>
      <c r="T86" s="270"/>
      <c r="U86" s="303"/>
      <c r="AA86" s="270"/>
      <c r="AB86" s="270" t="s">
        <v>236</v>
      </c>
      <c r="AH86" s="263"/>
      <c r="AJ86" s="271" t="s">
        <v>203</v>
      </c>
      <c r="AK86" s="291">
        <v>0.28000000000000003</v>
      </c>
      <c r="AL86" s="334"/>
      <c r="AM86" s="291">
        <v>0.52</v>
      </c>
      <c r="AN86" s="291">
        <v>0.79</v>
      </c>
      <c r="AO86" s="291"/>
      <c r="AP86" s="292">
        <v>1</v>
      </c>
    </row>
    <row r="87" spans="2:44" x14ac:dyDescent="0.35">
      <c r="B87" s="270"/>
      <c r="C87" s="270"/>
      <c r="D87" s="305"/>
      <c r="F87" s="263"/>
      <c r="G87" s="263"/>
      <c r="H87" s="263"/>
      <c r="R87" s="270"/>
      <c r="S87" s="270"/>
      <c r="T87" s="305"/>
      <c r="AA87" s="310" t="s">
        <v>124</v>
      </c>
      <c r="AB87" s="270">
        <v>-0.46700000000000003</v>
      </c>
      <c r="AC87" s="270"/>
      <c r="AH87" s="263"/>
      <c r="AJ87" s="271" t="s">
        <v>209</v>
      </c>
      <c r="AK87" s="291">
        <v>0.36</v>
      </c>
      <c r="AL87" s="334"/>
      <c r="AM87" s="291">
        <v>0.52</v>
      </c>
      <c r="AN87" s="291">
        <v>0.78</v>
      </c>
      <c r="AO87" s="291"/>
      <c r="AP87" s="292">
        <v>1</v>
      </c>
    </row>
    <row r="88" spans="2:44" ht="15" thickBot="1" x14ac:dyDescent="0.4">
      <c r="B88" s="263"/>
      <c r="AA88" s="310" t="s">
        <v>125</v>
      </c>
      <c r="AB88" s="270">
        <v>2.4140000000000001</v>
      </c>
      <c r="AC88" s="270"/>
      <c r="AE88" s="263"/>
      <c r="AF88" s="297"/>
      <c r="AG88" s="297"/>
      <c r="AH88" s="263"/>
      <c r="AJ88" s="283" t="s">
        <v>5</v>
      </c>
      <c r="AK88" s="284">
        <v>0</v>
      </c>
      <c r="AL88" s="284">
        <v>0.28999999999999998</v>
      </c>
      <c r="AM88" s="285">
        <v>0.3</v>
      </c>
      <c r="AN88" s="285">
        <v>0.69</v>
      </c>
      <c r="AO88" s="287">
        <v>0.7</v>
      </c>
      <c r="AP88" s="288">
        <v>1</v>
      </c>
    </row>
    <row r="89" spans="2:44" x14ac:dyDescent="0.35">
      <c r="B89" s="263"/>
      <c r="AA89" s="310"/>
      <c r="AB89" s="270"/>
      <c r="AC89" s="270"/>
      <c r="AE89" s="263"/>
      <c r="AF89" s="263"/>
      <c r="AG89" s="263"/>
      <c r="AJ89" s="270"/>
      <c r="AK89" s="270"/>
      <c r="AL89" s="270"/>
    </row>
    <row r="90" spans="2:44" x14ac:dyDescent="0.35">
      <c r="AA90" s="270"/>
      <c r="AB90" s="270"/>
      <c r="AC90" s="270"/>
      <c r="AD90" s="303"/>
      <c r="AE90" s="263"/>
      <c r="AF90" s="263"/>
      <c r="AG90" s="263"/>
      <c r="AJ90" s="297"/>
      <c r="AK90" s="295" t="s">
        <v>364</v>
      </c>
      <c r="AL90" s="297"/>
      <c r="AM90" s="297"/>
      <c r="AN90" s="297"/>
      <c r="AO90" s="297"/>
      <c r="AP90" s="297"/>
      <c r="AQ90" s="297"/>
      <c r="AR90" s="297"/>
    </row>
    <row r="91" spans="2:44" x14ac:dyDescent="0.35">
      <c r="AA91" s="270"/>
      <c r="AB91" s="270"/>
      <c r="AC91" s="305"/>
      <c r="AE91" s="263"/>
      <c r="AF91" s="263"/>
      <c r="AG91" s="263"/>
      <c r="AJ91" s="299"/>
      <c r="AK91" s="272" t="s">
        <v>231</v>
      </c>
      <c r="AL91" s="272" t="s">
        <v>232</v>
      </c>
      <c r="AM91" s="272" t="s">
        <v>233</v>
      </c>
      <c r="AN91" s="272" t="s">
        <v>234</v>
      </c>
      <c r="AO91" s="272"/>
      <c r="AP91" s="272"/>
      <c r="AQ91" s="272"/>
      <c r="AR91" s="272"/>
    </row>
    <row r="92" spans="2:44" x14ac:dyDescent="0.35">
      <c r="AJ92" s="299" t="s">
        <v>124</v>
      </c>
      <c r="AK92" s="272">
        <v>1.7045999999999999</v>
      </c>
      <c r="AL92" s="307">
        <v>1.0624</v>
      </c>
      <c r="AM92" s="272">
        <v>1.3944000000000001</v>
      </c>
      <c r="AN92" s="272">
        <v>1.5484</v>
      </c>
      <c r="AO92" s="272"/>
      <c r="AP92" s="272"/>
      <c r="AQ92" s="272"/>
      <c r="AR92" s="272"/>
    </row>
    <row r="93" spans="2:44" x14ac:dyDescent="0.35">
      <c r="AJ93" s="299" t="s">
        <v>125</v>
      </c>
      <c r="AK93" s="263">
        <v>-0.6915</v>
      </c>
      <c r="AL93" s="272">
        <v>-0.1134</v>
      </c>
      <c r="AM93" s="272">
        <v>-0.40539999999999998</v>
      </c>
      <c r="AN93" s="272">
        <v>-0.53220000000000001</v>
      </c>
      <c r="AO93" s="272"/>
      <c r="AP93" s="272"/>
      <c r="AQ93" s="272"/>
      <c r="AR93" s="272"/>
    </row>
    <row r="94" spans="2:44" x14ac:dyDescent="0.35">
      <c r="AJ94" s="301"/>
      <c r="AK94" s="270"/>
      <c r="AO94" s="272"/>
      <c r="AP94" s="272"/>
      <c r="AQ94" s="272"/>
      <c r="AR94" s="272"/>
    </row>
    <row r="97" spans="10:25" x14ac:dyDescent="0.35">
      <c r="M97" s="263"/>
      <c r="N97" s="264"/>
      <c r="O97" s="264"/>
      <c r="P97" s="264"/>
    </row>
    <row r="98" spans="10:25" x14ac:dyDescent="0.35">
      <c r="M98" s="263"/>
      <c r="N98" s="264"/>
      <c r="O98" s="264"/>
      <c r="P98" s="264"/>
    </row>
    <row r="99" spans="10:25" x14ac:dyDescent="0.35">
      <c r="N99" s="263"/>
      <c r="O99" s="263"/>
      <c r="P99" s="263"/>
    </row>
    <row r="100" spans="10:25" x14ac:dyDescent="0.35">
      <c r="N100" s="263"/>
      <c r="O100" s="263"/>
      <c r="P100" s="263"/>
    </row>
    <row r="101" spans="10:25" x14ac:dyDescent="0.35">
      <c r="N101" s="263"/>
      <c r="O101" s="263"/>
      <c r="P101" s="263"/>
    </row>
    <row r="102" spans="10:25" x14ac:dyDescent="0.35">
      <c r="N102" s="263"/>
      <c r="O102" s="263"/>
      <c r="P102" s="263"/>
      <c r="Y102" s="264"/>
    </row>
    <row r="103" spans="10:25" x14ac:dyDescent="0.35">
      <c r="N103" s="264"/>
      <c r="O103" s="264"/>
      <c r="P103" s="264"/>
      <c r="Y103" s="263"/>
    </row>
    <row r="104" spans="10:25" x14ac:dyDescent="0.35">
      <c r="N104" s="264"/>
      <c r="O104" s="264"/>
      <c r="P104" s="264"/>
      <c r="Y104" s="263"/>
    </row>
    <row r="105" spans="10:25" x14ac:dyDescent="0.35">
      <c r="N105" s="263"/>
      <c r="O105" s="263"/>
      <c r="P105" s="263"/>
    </row>
    <row r="106" spans="10:25" x14ac:dyDescent="0.35">
      <c r="N106" s="263"/>
      <c r="O106" s="263"/>
      <c r="P106" s="263"/>
    </row>
    <row r="107" spans="10:25" x14ac:dyDescent="0.35">
      <c r="N107" s="263"/>
      <c r="O107" s="263"/>
      <c r="P107" s="263"/>
    </row>
    <row r="108" spans="10:25" x14ac:dyDescent="0.35">
      <c r="N108" s="263"/>
      <c r="O108" s="263"/>
      <c r="P108" s="263"/>
    </row>
    <row r="109" spans="10:25" x14ac:dyDescent="0.35">
      <c r="N109" s="263"/>
      <c r="O109" s="263"/>
      <c r="P109" s="263"/>
    </row>
    <row r="110" spans="10:25" x14ac:dyDescent="0.35">
      <c r="N110" s="263"/>
      <c r="O110" s="263"/>
      <c r="P110" s="263"/>
    </row>
    <row r="111" spans="10:25" x14ac:dyDescent="0.35">
      <c r="M111" s="263"/>
      <c r="N111" s="263"/>
      <c r="O111" s="263"/>
      <c r="P111" s="263"/>
    </row>
    <row r="112" spans="10:25" x14ac:dyDescent="0.35">
      <c r="J112" s="298"/>
      <c r="K112" s="270"/>
      <c r="L112" s="270"/>
    </row>
    <row r="113" spans="2:42" ht="15" thickBot="1" x14ac:dyDescent="0.4">
      <c r="B113" s="261" t="s">
        <v>365</v>
      </c>
      <c r="J113" s="298"/>
      <c r="K113" s="270"/>
      <c r="L113" s="305"/>
      <c r="R113" s="261" t="s">
        <v>102</v>
      </c>
    </row>
    <row r="114" spans="2:42" x14ac:dyDescent="0.35">
      <c r="B114" s="609" t="s">
        <v>14</v>
      </c>
      <c r="C114" s="275">
        <v>0.6</v>
      </c>
      <c r="D114" s="275"/>
      <c r="E114" s="275"/>
      <c r="F114" s="275">
        <v>0.75</v>
      </c>
      <c r="G114" s="275"/>
      <c r="H114" s="276">
        <v>1</v>
      </c>
      <c r="K114" s="263"/>
      <c r="L114" s="263"/>
      <c r="M114" s="263"/>
      <c r="N114" s="263"/>
      <c r="O114" s="263"/>
      <c r="P114" s="263"/>
      <c r="R114" s="267" t="s">
        <v>14</v>
      </c>
      <c r="S114" s="275">
        <v>50</v>
      </c>
      <c r="T114" s="275"/>
      <c r="U114" s="275">
        <v>25</v>
      </c>
      <c r="V114" s="275"/>
      <c r="W114" s="275">
        <v>9</v>
      </c>
      <c r="X114" s="276">
        <v>5</v>
      </c>
    </row>
    <row r="115" spans="2:42" ht="15" thickBot="1" x14ac:dyDescent="0.4">
      <c r="B115" s="610"/>
      <c r="C115" s="293">
        <v>2</v>
      </c>
      <c r="D115" s="293"/>
      <c r="E115" s="293"/>
      <c r="F115" s="293">
        <v>1.6</v>
      </c>
      <c r="G115" s="293"/>
      <c r="H115" s="335">
        <v>1.1000000000000001</v>
      </c>
      <c r="R115" s="283" t="s">
        <v>15</v>
      </c>
      <c r="S115" s="284">
        <v>0</v>
      </c>
      <c r="T115" s="284">
        <v>0.28999999999999998</v>
      </c>
      <c r="U115" s="285">
        <v>0.3</v>
      </c>
      <c r="V115" s="285">
        <v>0.69</v>
      </c>
      <c r="W115" s="287">
        <v>0.7</v>
      </c>
      <c r="X115" s="288">
        <v>1</v>
      </c>
      <c r="AA115" s="261" t="s">
        <v>235</v>
      </c>
    </row>
    <row r="116" spans="2:42" ht="15" thickBot="1" x14ac:dyDescent="0.4">
      <c r="B116" s="283" t="s">
        <v>15</v>
      </c>
      <c r="C116" s="284">
        <v>0</v>
      </c>
      <c r="D116" s="284">
        <v>0.28999999999999998</v>
      </c>
      <c r="E116" s="285">
        <v>0.3</v>
      </c>
      <c r="F116" s="285">
        <v>0.5</v>
      </c>
      <c r="G116" s="287">
        <v>0.7</v>
      </c>
      <c r="H116" s="288">
        <v>1</v>
      </c>
      <c r="AA116" s="267" t="s">
        <v>4</v>
      </c>
      <c r="AB116" s="275">
        <v>97</v>
      </c>
      <c r="AC116" s="275"/>
      <c r="AD116" s="336">
        <v>50.32</v>
      </c>
      <c r="AE116" s="336"/>
      <c r="AF116" s="336">
        <v>26.75</v>
      </c>
      <c r="AG116" s="337">
        <v>12.52</v>
      </c>
    </row>
    <row r="117" spans="2:42" ht="15" thickBot="1" x14ac:dyDescent="0.4">
      <c r="R117" s="270"/>
      <c r="S117" s="297" t="s">
        <v>371</v>
      </c>
      <c r="T117" s="295"/>
      <c r="AA117" s="283" t="s">
        <v>5</v>
      </c>
      <c r="AB117" s="284">
        <v>0</v>
      </c>
      <c r="AC117" s="284">
        <v>0.28999999999999998</v>
      </c>
      <c r="AD117" s="285">
        <v>0.3</v>
      </c>
      <c r="AE117" s="285">
        <v>0.69</v>
      </c>
      <c r="AF117" s="287">
        <v>0.7</v>
      </c>
      <c r="AG117" s="288">
        <v>1</v>
      </c>
    </row>
    <row r="118" spans="2:42" x14ac:dyDescent="0.35">
      <c r="B118" s="270"/>
      <c r="C118" s="294" t="s">
        <v>370</v>
      </c>
      <c r="D118" s="338"/>
      <c r="R118" s="310"/>
      <c r="S118" s="310" t="s">
        <v>129</v>
      </c>
      <c r="T118" s="299" t="s">
        <v>96</v>
      </c>
      <c r="AH118" s="297"/>
    </row>
    <row r="119" spans="2:42" ht="15" thickBot="1" x14ac:dyDescent="0.4">
      <c r="B119" s="270"/>
      <c r="C119" s="298" t="s">
        <v>268</v>
      </c>
      <c r="D119" s="298" t="s">
        <v>269</v>
      </c>
      <c r="R119" s="310" t="s">
        <v>124</v>
      </c>
      <c r="S119" s="270">
        <v>3.1700000000000001E-4</v>
      </c>
      <c r="T119" s="270"/>
      <c r="AA119" s="270"/>
      <c r="AB119" s="270" t="s">
        <v>236</v>
      </c>
      <c r="AC119" s="270"/>
      <c r="AH119" s="263"/>
      <c r="AJ119" s="261" t="s">
        <v>403</v>
      </c>
    </row>
    <row r="120" spans="2:42" x14ac:dyDescent="0.35">
      <c r="B120" s="270"/>
      <c r="C120" s="298" t="s">
        <v>227</v>
      </c>
      <c r="D120" s="298" t="s">
        <v>228</v>
      </c>
      <c r="R120" s="310" t="s">
        <v>125</v>
      </c>
      <c r="S120" s="270">
        <v>-3.5779999999999999E-2</v>
      </c>
      <c r="T120" s="270">
        <v>-7.4999999999999997E-2</v>
      </c>
      <c r="AA120" s="310" t="s">
        <v>124</v>
      </c>
      <c r="AB120" s="270">
        <v>-0.5</v>
      </c>
      <c r="AC120" s="270"/>
      <c r="AE120" s="263"/>
      <c r="AF120" s="263"/>
      <c r="AG120" s="263"/>
      <c r="AH120" s="263"/>
      <c r="AJ120" s="279" t="s">
        <v>210</v>
      </c>
      <c r="AK120" s="410">
        <v>0.3559322033898305</v>
      </c>
      <c r="AL120" s="410"/>
      <c r="AM120" s="411">
        <v>0.53822033898305088</v>
      </c>
      <c r="AN120" s="411">
        <v>0.69135593220338987</v>
      </c>
      <c r="AO120" s="410"/>
      <c r="AP120" s="412">
        <v>1</v>
      </c>
    </row>
    <row r="121" spans="2:42" x14ac:dyDescent="0.35">
      <c r="B121" s="298" t="s">
        <v>124</v>
      </c>
      <c r="C121" s="270">
        <v>-3.3332999999999999</v>
      </c>
      <c r="D121" s="270">
        <v>-0.27779999999999999</v>
      </c>
      <c r="J121" s="298"/>
      <c r="K121" s="270"/>
      <c r="L121" s="270"/>
      <c r="R121" s="310" t="s">
        <v>127</v>
      </c>
      <c r="S121" s="270">
        <v>0.99634100000000003</v>
      </c>
      <c r="T121" s="305">
        <v>1.375</v>
      </c>
      <c r="AA121" s="310" t="s">
        <v>125</v>
      </c>
      <c r="AB121" s="270">
        <v>2.2898999999999998</v>
      </c>
      <c r="AC121" s="270"/>
      <c r="AE121" s="263"/>
      <c r="AF121" s="297"/>
      <c r="AG121" s="297"/>
      <c r="AH121" s="263"/>
      <c r="AJ121" s="296" t="s">
        <v>205</v>
      </c>
      <c r="AK121" s="413">
        <v>0.34259259259259256</v>
      </c>
      <c r="AL121" s="413"/>
      <c r="AM121" s="414">
        <v>0.54999999999999993</v>
      </c>
      <c r="AN121" s="414">
        <v>0.81601851851851848</v>
      </c>
      <c r="AO121" s="414"/>
      <c r="AP121" s="415">
        <v>1</v>
      </c>
    </row>
    <row r="122" spans="2:42" x14ac:dyDescent="0.35">
      <c r="B122" s="298" t="s">
        <v>125</v>
      </c>
      <c r="C122" s="270">
        <v>7.8333000000000004</v>
      </c>
      <c r="D122" s="270">
        <v>-0.25</v>
      </c>
      <c r="J122" s="298"/>
      <c r="K122" s="270"/>
      <c r="L122" s="305"/>
      <c r="AA122" s="310"/>
      <c r="AB122" s="270"/>
      <c r="AC122" s="270"/>
      <c r="AE122" s="263"/>
      <c r="AF122" s="263"/>
      <c r="AG122" s="263"/>
      <c r="AJ122" s="296" t="s">
        <v>206</v>
      </c>
      <c r="AK122" s="413">
        <v>0.36842105263157898</v>
      </c>
      <c r="AL122" s="413"/>
      <c r="AM122" s="414">
        <v>0.60061403508771938</v>
      </c>
      <c r="AN122" s="414">
        <v>0.75429824561403513</v>
      </c>
      <c r="AO122" s="413"/>
      <c r="AP122" s="415">
        <v>1</v>
      </c>
    </row>
    <row r="123" spans="2:42" x14ac:dyDescent="0.35">
      <c r="B123" s="298" t="s">
        <v>127</v>
      </c>
      <c r="C123" s="270">
        <v>-3.5</v>
      </c>
      <c r="D123" s="305">
        <v>1.611</v>
      </c>
      <c r="K123" s="263"/>
      <c r="L123" s="263"/>
      <c r="M123" s="263"/>
      <c r="N123" s="263"/>
      <c r="O123" s="263"/>
      <c r="P123" s="263"/>
      <c r="AA123" s="270"/>
      <c r="AB123" s="270"/>
      <c r="AC123" s="270"/>
      <c r="AD123" s="303"/>
      <c r="AE123" s="263"/>
      <c r="AF123" s="263"/>
      <c r="AG123" s="263"/>
      <c r="AJ123" s="296" t="s">
        <v>207</v>
      </c>
      <c r="AK123" s="413">
        <v>0.35897435897435898</v>
      </c>
      <c r="AL123" s="413"/>
      <c r="AM123" s="414">
        <v>0.58333333333333337</v>
      </c>
      <c r="AN123" s="414">
        <v>0.70376068376068379</v>
      </c>
      <c r="AO123" s="413"/>
      <c r="AP123" s="415">
        <v>1</v>
      </c>
    </row>
    <row r="124" spans="2:42" ht="15" thickBot="1" x14ac:dyDescent="0.4">
      <c r="AA124" s="270"/>
      <c r="AB124" s="270"/>
      <c r="AC124" s="305"/>
      <c r="AE124" s="263"/>
      <c r="AF124" s="263"/>
      <c r="AG124" s="263"/>
      <c r="AJ124" s="283" t="s">
        <v>5</v>
      </c>
      <c r="AK124" s="284">
        <v>0</v>
      </c>
      <c r="AL124" s="284">
        <v>0.28999999999999998</v>
      </c>
      <c r="AM124" s="285">
        <v>0.3</v>
      </c>
      <c r="AN124" s="285">
        <v>0.69</v>
      </c>
      <c r="AO124" s="287">
        <v>0.7</v>
      </c>
      <c r="AP124" s="288">
        <v>1</v>
      </c>
    </row>
    <row r="126" spans="2:42" x14ac:dyDescent="0.35">
      <c r="AJ126" s="297"/>
      <c r="AK126" s="295" t="s">
        <v>364</v>
      </c>
      <c r="AL126" s="297"/>
      <c r="AM126" s="297"/>
      <c r="AN126" s="297"/>
      <c r="AO126" s="297"/>
      <c r="AP126" s="297"/>
    </row>
    <row r="127" spans="2:42" x14ac:dyDescent="0.35">
      <c r="AJ127" s="263"/>
      <c r="AK127" s="307" t="s">
        <v>210</v>
      </c>
      <c r="AL127" s="307" t="s">
        <v>205</v>
      </c>
      <c r="AM127" s="293" t="s">
        <v>206</v>
      </c>
      <c r="AN127" s="307" t="s">
        <v>207</v>
      </c>
      <c r="AO127" s="272"/>
    </row>
    <row r="128" spans="2:42" x14ac:dyDescent="0.35">
      <c r="AJ128" s="299" t="s">
        <v>124</v>
      </c>
      <c r="AK128" s="272">
        <v>1.5785</v>
      </c>
      <c r="AL128" s="307">
        <v>1.5123</v>
      </c>
      <c r="AM128" s="272">
        <v>1.6365000000000001</v>
      </c>
      <c r="AN128" s="272">
        <v>1.6083000000000001</v>
      </c>
    </row>
    <row r="129" spans="36:40" x14ac:dyDescent="0.35">
      <c r="AJ129" s="299" t="s">
        <v>125</v>
      </c>
      <c r="AK129" s="263">
        <v>-0.52280000000000004</v>
      </c>
      <c r="AL129" s="307">
        <v>-0.52659999999999996</v>
      </c>
      <c r="AM129" s="272">
        <v>-0.61670000000000003</v>
      </c>
      <c r="AN129" s="272">
        <v>-0.56640000000000001</v>
      </c>
    </row>
    <row r="130" spans="36:40" x14ac:dyDescent="0.35">
      <c r="AJ130" s="299"/>
      <c r="AK130" s="263"/>
      <c r="AL130" s="272"/>
      <c r="AM130" s="272"/>
      <c r="AN130" s="272"/>
    </row>
    <row r="147" spans="18:42" ht="15" thickBot="1" x14ac:dyDescent="0.4">
      <c r="R147" s="425" t="s">
        <v>451</v>
      </c>
    </row>
    <row r="148" spans="18:42" x14ac:dyDescent="0.35">
      <c r="R148" s="339" t="s">
        <v>359</v>
      </c>
      <c r="S148" s="268"/>
      <c r="T148" s="268"/>
      <c r="U148" s="340">
        <v>30</v>
      </c>
      <c r="V148" s="340">
        <v>59</v>
      </c>
      <c r="W148" s="340">
        <v>60</v>
      </c>
      <c r="X148" s="341">
        <v>100</v>
      </c>
    </row>
    <row r="149" spans="18:42" x14ac:dyDescent="0.35">
      <c r="R149" s="342" t="s">
        <v>360</v>
      </c>
      <c r="S149" s="272"/>
      <c r="T149" s="272"/>
      <c r="U149" s="343">
        <v>60</v>
      </c>
      <c r="V149" s="344">
        <v>74</v>
      </c>
      <c r="W149" s="343">
        <v>75</v>
      </c>
      <c r="X149" s="345">
        <v>100</v>
      </c>
    </row>
    <row r="150" spans="18:42" x14ac:dyDescent="0.35">
      <c r="R150" s="282" t="s">
        <v>361</v>
      </c>
      <c r="S150" s="272"/>
      <c r="T150" s="263"/>
      <c r="U150" s="343">
        <v>80</v>
      </c>
      <c r="V150" s="346">
        <v>89</v>
      </c>
      <c r="W150" s="344">
        <v>90</v>
      </c>
      <c r="X150" s="347">
        <v>100</v>
      </c>
    </row>
    <row r="151" spans="18:42" ht="15" thickBot="1" x14ac:dyDescent="0.4">
      <c r="R151" s="283" t="s">
        <v>15</v>
      </c>
      <c r="S151" s="284">
        <v>0</v>
      </c>
      <c r="T151" s="284">
        <v>0.28999999999999998</v>
      </c>
      <c r="U151" s="285">
        <v>0.3</v>
      </c>
      <c r="V151" s="285">
        <v>0.69</v>
      </c>
      <c r="W151" s="287">
        <v>0.7</v>
      </c>
      <c r="X151" s="288">
        <v>1</v>
      </c>
    </row>
    <row r="153" spans="18:42" x14ac:dyDescent="0.35">
      <c r="S153" s="297" t="s">
        <v>371</v>
      </c>
    </row>
    <row r="154" spans="18:42" x14ac:dyDescent="0.35">
      <c r="R154" s="270"/>
      <c r="S154" s="348" t="s">
        <v>359</v>
      </c>
      <c r="T154" s="348" t="s">
        <v>360</v>
      </c>
      <c r="U154" s="309" t="s">
        <v>361</v>
      </c>
      <c r="AD154" s="272"/>
      <c r="AE154" s="272"/>
    </row>
    <row r="155" spans="18:42" ht="17.399999999999999" customHeight="1" x14ac:dyDescent="0.35">
      <c r="R155" s="298" t="s">
        <v>124</v>
      </c>
      <c r="S155" s="270">
        <v>-8.3999999999999995E-5</v>
      </c>
      <c r="T155" s="270">
        <v>-3.8170000000000001E-4</v>
      </c>
      <c r="U155" s="261">
        <v>-6.265E-4</v>
      </c>
      <c r="AD155" s="293"/>
      <c r="AE155" s="293"/>
    </row>
    <row r="156" spans="18:42" x14ac:dyDescent="0.35">
      <c r="R156" s="298" t="s">
        <v>125</v>
      </c>
      <c r="S156" s="270">
        <v>2.0882000000000001E-2</v>
      </c>
      <c r="T156" s="270">
        <v>7.8559599999999993E-2</v>
      </c>
      <c r="U156" s="261">
        <v>0.1477106</v>
      </c>
      <c r="AD156" s="272"/>
      <c r="AE156" s="272"/>
    </row>
    <row r="157" spans="18:42" ht="15" thickBot="1" x14ac:dyDescent="0.4">
      <c r="R157" s="301" t="s">
        <v>127</v>
      </c>
      <c r="S157" s="270">
        <v>-0.25112299999999999</v>
      </c>
      <c r="T157" s="270">
        <v>-3.039288</v>
      </c>
      <c r="U157" s="261">
        <v>-7.5063711</v>
      </c>
      <c r="AD157" s="272"/>
      <c r="AE157" s="272"/>
      <c r="AJ157" s="261" t="s">
        <v>404</v>
      </c>
    </row>
    <row r="158" spans="18:42" x14ac:dyDescent="0.35">
      <c r="AJ158" s="279" t="s">
        <v>204</v>
      </c>
      <c r="AK158" s="280">
        <v>0.22881355932203393</v>
      </c>
      <c r="AL158" s="280"/>
      <c r="AM158" s="329">
        <v>0.52610169491525427</v>
      </c>
      <c r="AN158" s="329">
        <v>0.75567796610169502</v>
      </c>
      <c r="AO158" s="329"/>
      <c r="AP158" s="281">
        <v>1</v>
      </c>
    </row>
    <row r="159" spans="18:42" x14ac:dyDescent="0.35">
      <c r="AJ159" s="296" t="s">
        <v>201</v>
      </c>
      <c r="AK159" s="291">
        <v>0.40178571428571425</v>
      </c>
      <c r="AL159" s="291"/>
      <c r="AM159" s="349">
        <v>0.45928571428571419</v>
      </c>
      <c r="AN159" s="349">
        <v>0.69758928571428569</v>
      </c>
      <c r="AO159" s="349"/>
      <c r="AP159" s="292">
        <v>1</v>
      </c>
    </row>
    <row r="160" spans="18:42" x14ac:dyDescent="0.35">
      <c r="AJ160" s="296" t="s">
        <v>202</v>
      </c>
      <c r="AK160" s="291">
        <v>0.34693877551020413</v>
      </c>
      <c r="AL160" s="291"/>
      <c r="AM160" s="349">
        <v>0.53051020408163274</v>
      </c>
      <c r="AN160" s="349">
        <v>0.76530612244897955</v>
      </c>
      <c r="AO160" s="349"/>
      <c r="AP160" s="292">
        <v>1</v>
      </c>
    </row>
    <row r="161" spans="36:42" ht="15" thickBot="1" x14ac:dyDescent="0.4">
      <c r="AJ161" s="283" t="s">
        <v>5</v>
      </c>
      <c r="AK161" s="284">
        <v>0</v>
      </c>
      <c r="AL161" s="284">
        <v>0.28999999999999998</v>
      </c>
      <c r="AM161" s="285">
        <v>0.3</v>
      </c>
      <c r="AN161" s="285">
        <v>0.69</v>
      </c>
      <c r="AO161" s="287">
        <v>0.7</v>
      </c>
      <c r="AP161" s="288">
        <v>1</v>
      </c>
    </row>
    <row r="163" spans="36:42" x14ac:dyDescent="0.35">
      <c r="AJ163" s="297"/>
      <c r="AK163" s="295" t="s">
        <v>364</v>
      </c>
      <c r="AL163" s="297"/>
      <c r="AM163" s="297"/>
      <c r="AN163" s="297"/>
      <c r="AO163" s="297"/>
    </row>
    <row r="164" spans="36:42" x14ac:dyDescent="0.35">
      <c r="AJ164" s="272"/>
      <c r="AK164" s="307" t="s">
        <v>204</v>
      </c>
      <c r="AL164" s="307" t="s">
        <v>201</v>
      </c>
      <c r="AM164" s="307" t="s">
        <v>202</v>
      </c>
      <c r="AN164" s="307"/>
      <c r="AO164" s="307"/>
    </row>
    <row r="165" spans="36:42" x14ac:dyDescent="0.35">
      <c r="AJ165" s="299" t="s">
        <v>124</v>
      </c>
      <c r="AK165" s="272">
        <v>1.3262</v>
      </c>
      <c r="AL165" s="350">
        <v>1.5571999999999999</v>
      </c>
      <c r="AM165" s="272">
        <v>1.5424</v>
      </c>
      <c r="AN165" s="272"/>
      <c r="AO165" s="272"/>
    </row>
    <row r="166" spans="36:42" x14ac:dyDescent="0.35">
      <c r="AJ166" s="299" t="s">
        <v>125</v>
      </c>
      <c r="AK166" s="263">
        <v>-0.33489999999999998</v>
      </c>
      <c r="AL166" s="272">
        <v>-0.49859999999999999</v>
      </c>
      <c r="AM166" s="272">
        <v>-0.52159999999999995</v>
      </c>
      <c r="AN166" s="272"/>
    </row>
    <row r="167" spans="36:42" x14ac:dyDescent="0.35">
      <c r="AJ167" s="299"/>
      <c r="AK167" s="272"/>
      <c r="AL167" s="272"/>
      <c r="AM167" s="272"/>
      <c r="AN167" s="272"/>
    </row>
    <row r="182" spans="18:25" x14ac:dyDescent="0.35">
      <c r="Y182" s="270"/>
    </row>
    <row r="183" spans="18:25" ht="15" thickBot="1" x14ac:dyDescent="0.4">
      <c r="R183" s="261" t="s">
        <v>373</v>
      </c>
    </row>
    <row r="184" spans="18:25" ht="14.4" customHeight="1" x14ac:dyDescent="0.35">
      <c r="R184" s="351" t="s">
        <v>374</v>
      </c>
      <c r="S184" s="312">
        <v>0</v>
      </c>
      <c r="T184" s="352">
        <v>35</v>
      </c>
      <c r="U184" s="312">
        <v>36</v>
      </c>
      <c r="V184" s="352">
        <v>65</v>
      </c>
      <c r="W184" s="312">
        <v>66</v>
      </c>
      <c r="X184" s="353">
        <v>90</v>
      </c>
    </row>
    <row r="185" spans="18:25" ht="13.75" customHeight="1" x14ac:dyDescent="0.35">
      <c r="R185" s="354" t="s">
        <v>375</v>
      </c>
      <c r="S185" s="355">
        <v>0</v>
      </c>
      <c r="T185" s="356">
        <v>30</v>
      </c>
      <c r="U185" s="355">
        <v>31</v>
      </c>
      <c r="V185" s="356">
        <v>60</v>
      </c>
      <c r="W185" s="355">
        <v>61</v>
      </c>
      <c r="X185" s="357">
        <v>90</v>
      </c>
    </row>
    <row r="186" spans="18:25" ht="12.65" customHeight="1" x14ac:dyDescent="0.35">
      <c r="R186" s="354" t="s">
        <v>376</v>
      </c>
      <c r="S186" s="355">
        <v>0</v>
      </c>
      <c r="T186" s="356">
        <v>25</v>
      </c>
      <c r="U186" s="355">
        <v>26</v>
      </c>
      <c r="V186" s="356">
        <v>45</v>
      </c>
      <c r="W186" s="355">
        <v>46</v>
      </c>
      <c r="X186" s="357">
        <v>75</v>
      </c>
    </row>
    <row r="187" spans="18:25" ht="15" thickBot="1" x14ac:dyDescent="0.4">
      <c r="R187" s="283" t="s">
        <v>15</v>
      </c>
      <c r="S187" s="358">
        <v>0</v>
      </c>
      <c r="T187" s="358">
        <v>0.28999999999999998</v>
      </c>
      <c r="U187" s="359">
        <v>0.3</v>
      </c>
      <c r="V187" s="359">
        <v>0.69</v>
      </c>
      <c r="W187" s="360">
        <v>0.7</v>
      </c>
      <c r="X187" s="361">
        <v>1</v>
      </c>
    </row>
    <row r="189" spans="18:25" x14ac:dyDescent="0.35">
      <c r="R189" s="317"/>
      <c r="S189" s="297" t="s">
        <v>258</v>
      </c>
    </row>
    <row r="190" spans="18:25" x14ac:dyDescent="0.35">
      <c r="R190" s="270"/>
      <c r="S190" s="348" t="s">
        <v>255</v>
      </c>
      <c r="T190" s="348" t="s">
        <v>328</v>
      </c>
      <c r="U190" s="309" t="s">
        <v>256</v>
      </c>
    </row>
    <row r="191" spans="18:25" x14ac:dyDescent="0.35">
      <c r="R191" s="298" t="s">
        <v>124</v>
      </c>
      <c r="S191" s="270">
        <v>-1.0300000000000001E-6</v>
      </c>
      <c r="T191" s="270">
        <v>-1.2300000000000001E-6</v>
      </c>
      <c r="U191" s="261">
        <v>-5.0599999999999998E-6</v>
      </c>
    </row>
    <row r="192" spans="18:25" x14ac:dyDescent="0.35">
      <c r="R192" s="298" t="s">
        <v>125</v>
      </c>
      <c r="S192" s="270">
        <v>1.8087999999999999E-4</v>
      </c>
      <c r="T192" s="270">
        <v>1.7249999999999999E-4</v>
      </c>
      <c r="U192" s="261">
        <v>5.4423999999999998E-4</v>
      </c>
    </row>
    <row r="193" spans="1:44" ht="15" thickBot="1" x14ac:dyDescent="0.4">
      <c r="R193" s="298" t="s">
        <v>127</v>
      </c>
      <c r="S193" s="270">
        <v>3.1895299999999999E-3</v>
      </c>
      <c r="T193" s="270">
        <v>5.5649000000000002E-3</v>
      </c>
      <c r="U193" s="261">
        <v>9.8700000000000003E-4</v>
      </c>
      <c r="AJ193" s="261" t="s">
        <v>405</v>
      </c>
    </row>
    <row r="194" spans="1:44" x14ac:dyDescent="0.35">
      <c r="A194" s="263"/>
      <c r="R194" s="298" t="s">
        <v>128</v>
      </c>
      <c r="S194" s="270">
        <v>1.99E-6</v>
      </c>
      <c r="T194" s="270">
        <v>6.4400000000000002E-6</v>
      </c>
      <c r="U194" s="261">
        <v>1.9640000000000002E-5</v>
      </c>
      <c r="AC194" s="272"/>
      <c r="AD194" s="272"/>
      <c r="AJ194" s="331" t="s">
        <v>208</v>
      </c>
      <c r="AK194" s="280">
        <v>0.54128440366972475</v>
      </c>
      <c r="AL194" s="280"/>
      <c r="AM194" s="329">
        <v>0.59339449541284406</v>
      </c>
      <c r="AN194" s="329">
        <v>0.81027522935779805</v>
      </c>
      <c r="AO194" s="329"/>
      <c r="AP194" s="281">
        <v>1</v>
      </c>
    </row>
    <row r="195" spans="1:44" x14ac:dyDescent="0.35">
      <c r="A195" s="263"/>
      <c r="AC195" s="272"/>
      <c r="AD195" s="272"/>
      <c r="AJ195" s="271" t="s">
        <v>220</v>
      </c>
      <c r="AK195" s="291">
        <v>0.44565217391304346</v>
      </c>
      <c r="AL195" s="291"/>
      <c r="AM195" s="349">
        <v>0.68586956521739129</v>
      </c>
      <c r="AN195" s="349">
        <v>0.91793478260869565</v>
      </c>
      <c r="AO195" s="349"/>
      <c r="AP195" s="292">
        <v>1</v>
      </c>
    </row>
    <row r="196" spans="1:44" x14ac:dyDescent="0.35">
      <c r="A196" s="263"/>
      <c r="AC196" s="272"/>
      <c r="AD196" s="272"/>
      <c r="AJ196" s="271" t="s">
        <v>203</v>
      </c>
      <c r="AK196" s="291">
        <v>0.24166666666666667</v>
      </c>
      <c r="AL196" s="291"/>
      <c r="AM196" s="349">
        <v>0.5698333333333333</v>
      </c>
      <c r="AN196" s="349">
        <v>0.73483333333333334</v>
      </c>
      <c r="AO196" s="291"/>
      <c r="AP196" s="292">
        <v>1</v>
      </c>
    </row>
    <row r="197" spans="1:44" x14ac:dyDescent="0.35">
      <c r="A197" s="263"/>
      <c r="AC197" s="293"/>
      <c r="AD197" s="272"/>
      <c r="AJ197" s="271" t="s">
        <v>209</v>
      </c>
      <c r="AK197" s="291">
        <v>0.17355371900826447</v>
      </c>
      <c r="AL197" s="291"/>
      <c r="AM197" s="349">
        <v>0.53355371900826443</v>
      </c>
      <c r="AN197" s="349">
        <v>0.71454545454545459</v>
      </c>
      <c r="AO197" s="291"/>
      <c r="AP197" s="292">
        <v>1</v>
      </c>
    </row>
    <row r="198" spans="1:44" ht="15" thickBot="1" x14ac:dyDescent="0.4">
      <c r="A198" s="263"/>
      <c r="AC198" s="272"/>
      <c r="AD198" s="272"/>
      <c r="AJ198" s="283" t="s">
        <v>5</v>
      </c>
      <c r="AK198" s="284">
        <v>0</v>
      </c>
      <c r="AL198" s="284">
        <v>0.28999999999999998</v>
      </c>
      <c r="AM198" s="285">
        <v>0.3</v>
      </c>
      <c r="AN198" s="285">
        <v>0.69</v>
      </c>
      <c r="AO198" s="287">
        <v>0.7</v>
      </c>
      <c r="AP198" s="288">
        <v>1</v>
      </c>
    </row>
    <row r="199" spans="1:44" x14ac:dyDescent="0.35">
      <c r="A199" s="263"/>
      <c r="AC199" s="272"/>
      <c r="AD199" s="272"/>
    </row>
    <row r="200" spans="1:44" x14ac:dyDescent="0.35">
      <c r="A200" s="263"/>
      <c r="AC200" s="272"/>
      <c r="AD200" s="272"/>
      <c r="AJ200" s="297"/>
      <c r="AK200" s="295" t="s">
        <v>364</v>
      </c>
      <c r="AL200" s="297"/>
      <c r="AM200" s="297"/>
      <c r="AN200" s="297"/>
      <c r="AO200" s="297"/>
      <c r="AP200" s="297"/>
      <c r="AQ200" s="297"/>
      <c r="AR200" s="297"/>
    </row>
    <row r="201" spans="1:44" x14ac:dyDescent="0.35">
      <c r="A201" s="263"/>
      <c r="AC201" s="272"/>
      <c r="AD201" s="272"/>
      <c r="AJ201" s="299"/>
      <c r="AK201" s="272" t="s">
        <v>208</v>
      </c>
      <c r="AL201" s="272" t="s">
        <v>220</v>
      </c>
      <c r="AM201" s="272" t="s">
        <v>203</v>
      </c>
      <c r="AN201" s="272" t="s">
        <v>209</v>
      </c>
      <c r="AO201" s="272"/>
      <c r="AP201" s="272"/>
    </row>
    <row r="202" spans="1:44" x14ac:dyDescent="0.35">
      <c r="A202" s="263"/>
      <c r="AJ202" s="299" t="s">
        <v>124</v>
      </c>
      <c r="AK202" s="272">
        <v>2.0379999999999998</v>
      </c>
      <c r="AL202" s="307">
        <v>1.7237</v>
      </c>
      <c r="AM202" s="272">
        <v>1.3609</v>
      </c>
      <c r="AN202" s="272">
        <v>1.2479</v>
      </c>
      <c r="AO202" s="272"/>
      <c r="AP202" s="272"/>
    </row>
    <row r="203" spans="1:44" x14ac:dyDescent="0.35">
      <c r="A203" s="263"/>
      <c r="AJ203" s="299" t="s">
        <v>125</v>
      </c>
      <c r="AK203" s="307">
        <v>-1.0028999999999999</v>
      </c>
      <c r="AL203" s="307">
        <v>-0.8165</v>
      </c>
      <c r="AM203" s="272">
        <v>-0.36880000000000002</v>
      </c>
      <c r="AN203" s="272">
        <v>-0.25800000000000001</v>
      </c>
      <c r="AO203" s="272"/>
      <c r="AP203" s="272"/>
    </row>
    <row r="204" spans="1:44" x14ac:dyDescent="0.35">
      <c r="A204" s="263"/>
      <c r="AJ204" s="299"/>
      <c r="AK204" s="272"/>
      <c r="AL204" s="272"/>
      <c r="AM204" s="272"/>
      <c r="AN204" s="272"/>
      <c r="AO204" s="272"/>
      <c r="AP204" s="272"/>
    </row>
    <row r="205" spans="1:44" x14ac:dyDescent="0.35">
      <c r="A205" s="263"/>
      <c r="AJ205" s="299"/>
      <c r="AK205" s="272"/>
      <c r="AL205" s="350"/>
      <c r="AM205" s="307"/>
      <c r="AN205" s="272"/>
      <c r="AO205" s="272"/>
      <c r="AP205" s="272"/>
      <c r="AQ205" s="272"/>
      <c r="AR205" s="272"/>
    </row>
    <row r="206" spans="1:44" x14ac:dyDescent="0.35">
      <c r="A206" s="263"/>
      <c r="AJ206" s="272"/>
      <c r="AK206" s="263"/>
      <c r="AL206" s="350"/>
      <c r="AM206" s="272"/>
      <c r="AN206" s="272"/>
      <c r="AO206" s="272"/>
      <c r="AP206" s="272"/>
      <c r="AQ206" s="272"/>
      <c r="AR206" s="272"/>
    </row>
    <row r="207" spans="1:44" x14ac:dyDescent="0.35">
      <c r="A207" s="263"/>
      <c r="AJ207" s="270"/>
      <c r="AK207" s="270"/>
      <c r="AL207" s="305"/>
    </row>
    <row r="208" spans="1:44" x14ac:dyDescent="0.35">
      <c r="A208" s="263"/>
      <c r="AJ208" s="270"/>
      <c r="AK208" s="270"/>
      <c r="AL208" s="270"/>
    </row>
    <row r="209" spans="1:25" x14ac:dyDescent="0.35">
      <c r="A209" s="263"/>
    </row>
    <row r="216" spans="1:25" x14ac:dyDescent="0.35">
      <c r="Y216" s="270"/>
    </row>
    <row r="220" spans="1:25" ht="15" thickBot="1" x14ac:dyDescent="0.4">
      <c r="R220" s="261" t="s">
        <v>309</v>
      </c>
    </row>
    <row r="221" spans="1:25" x14ac:dyDescent="0.35">
      <c r="R221" s="314" t="s">
        <v>14</v>
      </c>
      <c r="S221" s="275">
        <v>0</v>
      </c>
      <c r="T221" s="275"/>
      <c r="U221" s="275">
        <v>30</v>
      </c>
      <c r="V221" s="275"/>
      <c r="W221" s="275">
        <v>75</v>
      </c>
      <c r="X221" s="276">
        <v>100</v>
      </c>
    </row>
    <row r="222" spans="1:25" ht="15" thickBot="1" x14ac:dyDescent="0.4">
      <c r="R222" s="283" t="s">
        <v>15</v>
      </c>
      <c r="S222" s="284">
        <v>0</v>
      </c>
      <c r="T222" s="284">
        <v>0.28999999999999998</v>
      </c>
      <c r="U222" s="285">
        <v>0.3</v>
      </c>
      <c r="V222" s="285">
        <v>0.69</v>
      </c>
      <c r="W222" s="287">
        <v>0.7</v>
      </c>
      <c r="X222" s="288">
        <v>1</v>
      </c>
    </row>
    <row r="224" spans="1:25" x14ac:dyDescent="0.35">
      <c r="R224" s="270"/>
      <c r="S224" s="297" t="s">
        <v>371</v>
      </c>
    </row>
    <row r="225" spans="18:42" x14ac:dyDescent="0.35">
      <c r="R225" s="298" t="s">
        <v>124</v>
      </c>
      <c r="S225" s="362">
        <v>4.3999999999999999E-5</v>
      </c>
    </row>
    <row r="226" spans="18:42" x14ac:dyDescent="0.35">
      <c r="R226" s="298" t="s">
        <v>125</v>
      </c>
      <c r="S226" s="362">
        <v>4.2220000000000001E-3</v>
      </c>
    </row>
    <row r="227" spans="18:42" x14ac:dyDescent="0.35">
      <c r="R227" s="298" t="s">
        <v>127</v>
      </c>
      <c r="S227" s="362">
        <v>0.13333300000000001</v>
      </c>
    </row>
    <row r="228" spans="18:42" x14ac:dyDescent="0.35">
      <c r="R228" s="298"/>
      <c r="S228" s="270"/>
    </row>
    <row r="234" spans="18:42" ht="15" thickBot="1" x14ac:dyDescent="0.4">
      <c r="AJ234" s="261" t="s">
        <v>264</v>
      </c>
    </row>
    <row r="235" spans="18:42" x14ac:dyDescent="0.35">
      <c r="AJ235" s="267" t="s">
        <v>4</v>
      </c>
      <c r="AK235" s="336">
        <f>0.9887/0.017</f>
        <v>58.158823529411762</v>
      </c>
      <c r="AL235" s="275"/>
      <c r="AM235" s="275">
        <v>76</v>
      </c>
      <c r="AN235" s="275">
        <v>99</v>
      </c>
      <c r="AO235" s="275"/>
      <c r="AP235" s="276">
        <v>100</v>
      </c>
    </row>
    <row r="236" spans="18:42" ht="15" thickBot="1" x14ac:dyDescent="0.4">
      <c r="AJ236" s="283" t="s">
        <v>5</v>
      </c>
      <c r="AK236" s="284">
        <v>0</v>
      </c>
      <c r="AL236" s="284">
        <v>0.28999999999999998</v>
      </c>
      <c r="AM236" s="285">
        <v>0.3</v>
      </c>
      <c r="AN236" s="285">
        <v>0.69</v>
      </c>
      <c r="AO236" s="287">
        <v>0.7</v>
      </c>
      <c r="AP236" s="288">
        <v>1</v>
      </c>
    </row>
    <row r="238" spans="18:42" x14ac:dyDescent="0.35">
      <c r="AK238" s="295" t="s">
        <v>364</v>
      </c>
    </row>
    <row r="239" spans="18:42" x14ac:dyDescent="0.35">
      <c r="AJ239" s="270"/>
      <c r="AK239" s="298" t="s">
        <v>129</v>
      </c>
    </row>
    <row r="240" spans="18:42" x14ac:dyDescent="0.35">
      <c r="AJ240" s="310" t="s">
        <v>124</v>
      </c>
      <c r="AK240" s="270">
        <v>1.6899999999999998E-2</v>
      </c>
    </row>
    <row r="241" spans="18:37" x14ac:dyDescent="0.35">
      <c r="AJ241" s="310" t="s">
        <v>125</v>
      </c>
      <c r="AK241" s="264">
        <v>-0.98329999999999995</v>
      </c>
    </row>
    <row r="253" spans="18:37" ht="15" thickBot="1" x14ac:dyDescent="0.4">
      <c r="R253" s="261" t="s">
        <v>310</v>
      </c>
      <c r="AI253" s="270"/>
    </row>
    <row r="254" spans="18:37" x14ac:dyDescent="0.35">
      <c r="R254" s="609" t="s">
        <v>14</v>
      </c>
      <c r="S254" s="363"/>
      <c r="T254" s="364"/>
      <c r="U254" s="364">
        <v>0</v>
      </c>
      <c r="V254" s="364">
        <v>15</v>
      </c>
      <c r="W254" s="364"/>
      <c r="X254" s="365">
        <v>55</v>
      </c>
    </row>
    <row r="255" spans="18:37" x14ac:dyDescent="0.35">
      <c r="R255" s="610"/>
      <c r="S255" s="366">
        <v>100</v>
      </c>
      <c r="T255" s="367">
        <v>76</v>
      </c>
      <c r="U255" s="367"/>
      <c r="V255" s="367">
        <v>56</v>
      </c>
      <c r="W255" s="367"/>
      <c r="X255" s="368"/>
    </row>
    <row r="256" spans="18:37" ht="15" thickBot="1" x14ac:dyDescent="0.4">
      <c r="R256" s="283" t="s">
        <v>15</v>
      </c>
      <c r="S256" s="369">
        <v>0</v>
      </c>
      <c r="T256" s="370">
        <v>0.28999999999999998</v>
      </c>
      <c r="U256" s="371">
        <v>0.3</v>
      </c>
      <c r="V256" s="371">
        <v>0.69</v>
      </c>
      <c r="W256" s="372">
        <v>0.7</v>
      </c>
      <c r="X256" s="373">
        <v>1</v>
      </c>
    </row>
    <row r="258" spans="18:43" x14ac:dyDescent="0.35">
      <c r="R258" s="270"/>
      <c r="S258" s="298" t="s">
        <v>377</v>
      </c>
      <c r="T258" s="301" t="s">
        <v>378</v>
      </c>
      <c r="U258" s="301" t="s">
        <v>379</v>
      </c>
    </row>
    <row r="259" spans="18:43" x14ac:dyDescent="0.35">
      <c r="R259" s="298" t="s">
        <v>124</v>
      </c>
      <c r="S259" s="374">
        <v>2.5999999999999999E-2</v>
      </c>
      <c r="T259" s="261">
        <v>7.7000000000000002E-3</v>
      </c>
      <c r="U259" s="362">
        <v>1.7992E-4</v>
      </c>
    </row>
    <row r="260" spans="18:43" x14ac:dyDescent="0.35">
      <c r="R260" s="298" t="s">
        <v>125</v>
      </c>
      <c r="S260" s="270">
        <v>0.3</v>
      </c>
      <c r="T260" s="261">
        <v>0.57379999999999998</v>
      </c>
      <c r="U260" s="261">
        <v>-4.3749999999999997E-2</v>
      </c>
    </row>
    <row r="261" spans="18:43" x14ac:dyDescent="0.35">
      <c r="R261" s="298" t="s">
        <v>127</v>
      </c>
      <c r="S261" s="270"/>
      <c r="U261" s="362">
        <v>2.5757575799999999</v>
      </c>
    </row>
    <row r="262" spans="18:43" x14ac:dyDescent="0.35">
      <c r="R262" s="298"/>
      <c r="S262" s="270"/>
    </row>
    <row r="270" spans="18:43" ht="15" thickBot="1" x14ac:dyDescent="0.4">
      <c r="AJ270" s="261" t="s">
        <v>267</v>
      </c>
    </row>
    <row r="271" spans="18:43" x14ac:dyDescent="0.35">
      <c r="AJ271" s="267" t="s">
        <v>4</v>
      </c>
      <c r="AK271" s="275"/>
      <c r="AL271" s="275">
        <v>3</v>
      </c>
      <c r="AM271" s="275"/>
      <c r="AN271" s="275">
        <v>2</v>
      </c>
      <c r="AO271" s="275"/>
      <c r="AP271" s="276">
        <v>1</v>
      </c>
      <c r="AQ271" s="264">
        <v>1</v>
      </c>
    </row>
    <row r="272" spans="18:43" ht="15" thickBot="1" x14ac:dyDescent="0.4">
      <c r="AJ272" s="283" t="s">
        <v>5</v>
      </c>
      <c r="AK272" s="284">
        <v>0</v>
      </c>
      <c r="AL272" s="284">
        <v>0.28999999999999998</v>
      </c>
      <c r="AM272" s="285">
        <v>0.3</v>
      </c>
      <c r="AN272" s="285">
        <v>0.69</v>
      </c>
      <c r="AO272" s="287">
        <v>0.7</v>
      </c>
      <c r="AP272" s="288">
        <v>1</v>
      </c>
      <c r="AQ272" s="261">
        <v>0</v>
      </c>
    </row>
    <row r="274" spans="18:38" x14ac:dyDescent="0.35">
      <c r="AK274" s="295" t="s">
        <v>364</v>
      </c>
    </row>
    <row r="275" spans="18:38" x14ac:dyDescent="0.35">
      <c r="AK275" s="301" t="s">
        <v>296</v>
      </c>
      <c r="AL275" s="301" t="s">
        <v>126</v>
      </c>
    </row>
    <row r="276" spans="18:38" x14ac:dyDescent="0.35">
      <c r="AJ276" s="310" t="s">
        <v>124</v>
      </c>
      <c r="AK276" s="270">
        <v>-0.31</v>
      </c>
      <c r="AL276" s="261">
        <v>-0.4</v>
      </c>
    </row>
    <row r="277" spans="18:38" x14ac:dyDescent="0.35">
      <c r="AJ277" s="310" t="s">
        <v>125</v>
      </c>
      <c r="AK277" s="270">
        <v>1.31</v>
      </c>
      <c r="AL277" s="261">
        <v>1.48</v>
      </c>
    </row>
    <row r="286" spans="18:38" ht="15" thickBot="1" x14ac:dyDescent="0.4">
      <c r="R286" s="261" t="s">
        <v>329</v>
      </c>
    </row>
    <row r="287" spans="18:38" x14ac:dyDescent="0.35">
      <c r="R287" s="609" t="s">
        <v>14</v>
      </c>
      <c r="S287" s="375">
        <v>0</v>
      </c>
      <c r="T287" s="376"/>
      <c r="U287" s="376">
        <v>11</v>
      </c>
      <c r="V287" s="376"/>
      <c r="W287" s="376">
        <v>31</v>
      </c>
      <c r="X287" s="377">
        <v>70</v>
      </c>
    </row>
    <row r="288" spans="18:38" x14ac:dyDescent="0.35">
      <c r="R288" s="610"/>
      <c r="S288" s="378">
        <v>100</v>
      </c>
      <c r="T288" s="367">
        <v>86</v>
      </c>
      <c r="U288" s="367"/>
      <c r="V288" s="367">
        <v>71</v>
      </c>
      <c r="W288" s="367"/>
      <c r="X288" s="379"/>
    </row>
    <row r="289" spans="18:25" ht="15" thickBot="1" x14ac:dyDescent="0.4">
      <c r="R289" s="283" t="s">
        <v>15</v>
      </c>
      <c r="S289" s="284">
        <v>0</v>
      </c>
      <c r="T289" s="284">
        <v>0.28999999999999998</v>
      </c>
      <c r="U289" s="285">
        <v>0.3</v>
      </c>
      <c r="V289" s="285">
        <v>0.69</v>
      </c>
      <c r="W289" s="287">
        <v>0.7</v>
      </c>
      <c r="X289" s="288">
        <v>1</v>
      </c>
    </row>
    <row r="291" spans="18:25" x14ac:dyDescent="0.35">
      <c r="R291" s="270"/>
      <c r="S291" s="298" t="s">
        <v>380</v>
      </c>
      <c r="T291" s="301" t="s">
        <v>381</v>
      </c>
    </row>
    <row r="292" spans="18:25" x14ac:dyDescent="0.35">
      <c r="R292" s="298" t="s">
        <v>124</v>
      </c>
      <c r="S292" s="362">
        <v>-2.13E-4</v>
      </c>
      <c r="T292" s="362">
        <v>2.05E-4</v>
      </c>
      <c r="U292" s="362"/>
    </row>
    <row r="293" spans="18:25" x14ac:dyDescent="0.35">
      <c r="R293" s="298" t="s">
        <v>125</v>
      </c>
      <c r="S293" s="362">
        <v>2.9194000000000001E-2</v>
      </c>
      <c r="T293" s="380">
        <v>-5.8892E-2</v>
      </c>
    </row>
    <row r="294" spans="18:25" x14ac:dyDescent="0.35">
      <c r="R294" s="298" t="s">
        <v>127</v>
      </c>
      <c r="S294" s="362">
        <v>1.6479999999999999E-3</v>
      </c>
      <c r="T294" s="362">
        <v>3.8366169999999999</v>
      </c>
      <c r="U294" s="362"/>
    </row>
    <row r="296" spans="18:25" x14ac:dyDescent="0.35">
      <c r="Y296" s="264"/>
    </row>
    <row r="297" spans="18:25" x14ac:dyDescent="0.35">
      <c r="Y297" s="263"/>
    </row>
    <row r="307" spans="18:42" ht="15" thickBot="1" x14ac:dyDescent="0.4">
      <c r="AJ307" s="270" t="s">
        <v>274</v>
      </c>
      <c r="AK307" s="270"/>
      <c r="AL307" s="270"/>
      <c r="AM307" s="270"/>
      <c r="AN307" s="270"/>
      <c r="AO307" s="270"/>
      <c r="AP307" s="270"/>
    </row>
    <row r="308" spans="18:42" ht="17.399999999999999" customHeight="1" x14ac:dyDescent="0.35">
      <c r="AJ308" s="416" t="s">
        <v>275</v>
      </c>
      <c r="AK308" s="277"/>
      <c r="AL308" s="268"/>
      <c r="AM308" s="268">
        <v>5</v>
      </c>
      <c r="AN308" s="268"/>
      <c r="AO308" s="268">
        <v>25</v>
      </c>
      <c r="AP308" s="278">
        <v>40</v>
      </c>
    </row>
    <row r="309" spans="18:42" x14ac:dyDescent="0.35">
      <c r="AJ309" s="271" t="s">
        <v>276</v>
      </c>
      <c r="AK309" s="270"/>
      <c r="AM309" s="261">
        <v>10</v>
      </c>
      <c r="AO309" s="261">
        <v>50</v>
      </c>
      <c r="AP309" s="289">
        <v>80</v>
      </c>
    </row>
    <row r="310" spans="18:42" x14ac:dyDescent="0.35">
      <c r="AJ310" s="271" t="s">
        <v>277</v>
      </c>
      <c r="AK310" s="270"/>
      <c r="AM310" s="261">
        <v>15</v>
      </c>
      <c r="AO310" s="261">
        <v>75</v>
      </c>
      <c r="AP310" s="289">
        <v>119</v>
      </c>
    </row>
    <row r="311" spans="18:42" x14ac:dyDescent="0.35">
      <c r="AJ311" s="271" t="s">
        <v>278</v>
      </c>
      <c r="AK311" s="270"/>
      <c r="AM311" s="261">
        <v>20</v>
      </c>
      <c r="AO311" s="261">
        <v>100</v>
      </c>
      <c r="AP311" s="289">
        <v>160</v>
      </c>
    </row>
    <row r="312" spans="18:42" ht="15" thickBot="1" x14ac:dyDescent="0.4">
      <c r="AJ312" s="283" t="s">
        <v>5</v>
      </c>
      <c r="AK312" s="284">
        <v>0</v>
      </c>
      <c r="AL312" s="284">
        <v>0.28999999999999998</v>
      </c>
      <c r="AM312" s="285">
        <v>0.3</v>
      </c>
      <c r="AN312" s="285">
        <v>0.69</v>
      </c>
      <c r="AO312" s="287">
        <v>0.7</v>
      </c>
      <c r="AP312" s="288">
        <v>1</v>
      </c>
    </row>
    <row r="313" spans="18:42" x14ac:dyDescent="0.35">
      <c r="AO313" s="297"/>
    </row>
    <row r="314" spans="18:42" x14ac:dyDescent="0.35">
      <c r="AJ314" s="272"/>
      <c r="AK314" s="295" t="s">
        <v>364</v>
      </c>
      <c r="AL314" s="297"/>
      <c r="AM314" s="297"/>
      <c r="AN314" s="297"/>
      <c r="AO314" s="272"/>
      <c r="AP314" s="263"/>
    </row>
    <row r="315" spans="18:42" x14ac:dyDescent="0.35">
      <c r="AJ315" s="263"/>
      <c r="AK315" s="272" t="str">
        <f>AJ308</f>
        <v>Blue Ribbon and non-trout game fish</v>
      </c>
      <c r="AL315" s="263" t="str">
        <f>AJ309</f>
        <v>Red Ribbon</v>
      </c>
      <c r="AM315" s="263" t="str">
        <f>AJ310</f>
        <v>Yellow Ribbon</v>
      </c>
      <c r="AN315" s="263" t="str">
        <f>AJ311</f>
        <v>Green Ribbon</v>
      </c>
      <c r="AO315" s="263"/>
    </row>
    <row r="316" spans="18:42" x14ac:dyDescent="0.35">
      <c r="AJ316" s="310" t="s">
        <v>124</v>
      </c>
      <c r="AK316" s="263">
        <v>0.02</v>
      </c>
      <c r="AL316" s="263">
        <v>0.01</v>
      </c>
      <c r="AM316" s="263">
        <v>6.7000000000000002E-3</v>
      </c>
      <c r="AN316" s="263">
        <v>5.0000000000000001E-3</v>
      </c>
      <c r="AO316" s="263"/>
    </row>
    <row r="317" spans="18:42" x14ac:dyDescent="0.35">
      <c r="AJ317" s="310" t="s">
        <v>125</v>
      </c>
      <c r="AK317" s="263">
        <v>0.2</v>
      </c>
      <c r="AL317" s="263">
        <v>0.2</v>
      </c>
      <c r="AM317" s="263">
        <v>0.19800000000000001</v>
      </c>
      <c r="AN317" s="263">
        <v>0.2</v>
      </c>
    </row>
    <row r="319" spans="18:42" ht="15" thickBot="1" x14ac:dyDescent="0.4">
      <c r="R319" s="270" t="s">
        <v>372</v>
      </c>
      <c r="S319" s="270"/>
      <c r="T319" s="270"/>
      <c r="U319" s="270"/>
      <c r="V319" s="270"/>
      <c r="W319" s="270"/>
      <c r="X319" s="270"/>
    </row>
    <row r="320" spans="18:42" x14ac:dyDescent="0.35">
      <c r="R320" s="267" t="s">
        <v>14</v>
      </c>
      <c r="S320" s="275">
        <v>100</v>
      </c>
      <c r="T320" s="275">
        <v>50</v>
      </c>
      <c r="U320" s="275">
        <v>49</v>
      </c>
      <c r="V320" s="275">
        <v>19</v>
      </c>
      <c r="W320" s="275">
        <v>18</v>
      </c>
      <c r="X320" s="276">
        <v>0</v>
      </c>
    </row>
    <row r="321" spans="18:25" ht="15" thickBot="1" x14ac:dyDescent="0.4">
      <c r="R321" s="283" t="s">
        <v>15</v>
      </c>
      <c r="S321" s="284">
        <v>0</v>
      </c>
      <c r="T321" s="284">
        <v>0.28999999999999998</v>
      </c>
      <c r="U321" s="285">
        <v>0.3</v>
      </c>
      <c r="V321" s="285">
        <v>0.69</v>
      </c>
      <c r="W321" s="287">
        <v>0.7</v>
      </c>
      <c r="X321" s="288">
        <v>1</v>
      </c>
    </row>
    <row r="323" spans="18:25" x14ac:dyDescent="0.35">
      <c r="R323" s="270"/>
      <c r="S323" s="297" t="s">
        <v>371</v>
      </c>
      <c r="T323" s="270"/>
      <c r="U323" s="270"/>
      <c r="V323" s="270"/>
      <c r="W323" s="270"/>
      <c r="X323" s="270"/>
    </row>
    <row r="324" spans="18:25" x14ac:dyDescent="0.35">
      <c r="R324" s="310" t="s">
        <v>124</v>
      </c>
      <c r="S324" s="381">
        <v>8.3710700000000005E-5</v>
      </c>
      <c r="T324" s="270"/>
      <c r="U324" s="270"/>
      <c r="V324" s="270"/>
      <c r="W324" s="270"/>
      <c r="X324" s="270"/>
    </row>
    <row r="325" spans="18:25" x14ac:dyDescent="0.35">
      <c r="R325" s="310" t="s">
        <v>125</v>
      </c>
      <c r="S325" s="381">
        <v>-1.8414099999999999E-2</v>
      </c>
      <c r="T325" s="270"/>
      <c r="U325" s="270"/>
      <c r="V325" s="270"/>
      <c r="W325" s="270"/>
      <c r="X325" s="270"/>
    </row>
    <row r="326" spans="18:25" x14ac:dyDescent="0.35">
      <c r="R326" s="298" t="s">
        <v>127</v>
      </c>
      <c r="S326" s="381">
        <v>1.0035000000000001</v>
      </c>
      <c r="T326" s="270"/>
      <c r="U326" s="270"/>
      <c r="V326" s="382"/>
      <c r="W326" s="270"/>
      <c r="X326" s="270"/>
    </row>
    <row r="327" spans="18:25" x14ac:dyDescent="0.35">
      <c r="R327" s="270"/>
      <c r="S327" s="270"/>
      <c r="T327" s="305"/>
      <c r="U327" s="270"/>
      <c r="V327" s="270"/>
      <c r="W327" s="270"/>
      <c r="X327" s="305"/>
    </row>
    <row r="328" spans="18:25" x14ac:dyDescent="0.35">
      <c r="R328" s="270"/>
      <c r="S328" s="270"/>
      <c r="T328" s="305"/>
      <c r="U328" s="270"/>
      <c r="V328" s="270"/>
      <c r="W328" s="270"/>
      <c r="X328" s="305"/>
      <c r="Y328" s="264"/>
    </row>
    <row r="329" spans="18:25" x14ac:dyDescent="0.35">
      <c r="Y329" s="263"/>
    </row>
    <row r="352" spans="18:24" ht="15" thickBot="1" x14ac:dyDescent="0.4">
      <c r="R352" s="270" t="s">
        <v>306</v>
      </c>
      <c r="S352" s="270"/>
      <c r="T352" s="270"/>
      <c r="U352" s="270"/>
      <c r="V352" s="270"/>
      <c r="W352" s="270"/>
      <c r="X352" s="270"/>
    </row>
    <row r="353" spans="10:25" x14ac:dyDescent="0.35">
      <c r="R353" s="267" t="s">
        <v>14</v>
      </c>
      <c r="S353" s="275">
        <v>0</v>
      </c>
      <c r="T353" s="275">
        <v>24</v>
      </c>
      <c r="U353" s="275">
        <v>25</v>
      </c>
      <c r="V353" s="275">
        <v>69</v>
      </c>
      <c r="W353" s="275">
        <v>70</v>
      </c>
      <c r="X353" s="337">
        <v>100</v>
      </c>
    </row>
    <row r="354" spans="10:25" ht="15" thickBot="1" x14ac:dyDescent="0.4">
      <c r="R354" s="283" t="s">
        <v>15</v>
      </c>
      <c r="S354" s="284">
        <v>0</v>
      </c>
      <c r="T354" s="284">
        <v>0.28999999999999998</v>
      </c>
      <c r="U354" s="285">
        <v>0.3</v>
      </c>
      <c r="V354" s="285">
        <v>0.69</v>
      </c>
      <c r="W354" s="287">
        <v>0.7</v>
      </c>
      <c r="X354" s="288">
        <v>1</v>
      </c>
    </row>
    <row r="356" spans="10:25" x14ac:dyDescent="0.35">
      <c r="S356" s="261" t="s">
        <v>258</v>
      </c>
    </row>
    <row r="357" spans="10:25" x14ac:dyDescent="0.35">
      <c r="R357" s="310" t="s">
        <v>124</v>
      </c>
      <c r="S357" s="383">
        <v>6.0080999999999999E-7</v>
      </c>
      <c r="T357" s="270"/>
      <c r="U357" s="270"/>
      <c r="V357" s="270"/>
      <c r="W357" s="270"/>
      <c r="X357" s="270"/>
    </row>
    <row r="358" spans="10:25" x14ac:dyDescent="0.35">
      <c r="R358" s="310" t="s">
        <v>125</v>
      </c>
      <c r="S358" s="381">
        <v>-1.0183000000000001E-4</v>
      </c>
      <c r="T358" s="270"/>
      <c r="U358" s="270"/>
      <c r="V358" s="270"/>
      <c r="W358" s="270"/>
      <c r="X358" s="270"/>
    </row>
    <row r="359" spans="10:25" ht="21" x14ac:dyDescent="0.5">
      <c r="J359" s="263"/>
      <c r="R359" s="298" t="s">
        <v>127</v>
      </c>
      <c r="S359" s="381">
        <v>1.4174900000000001E-2</v>
      </c>
      <c r="T359" s="270"/>
      <c r="U359" s="270"/>
      <c r="V359" s="384"/>
      <c r="W359" s="270"/>
      <c r="X359" s="270"/>
    </row>
    <row r="360" spans="10:25" x14ac:dyDescent="0.35">
      <c r="J360" s="263"/>
      <c r="R360" s="298" t="s">
        <v>128</v>
      </c>
      <c r="S360" s="381">
        <v>7.8002000000000003E-6</v>
      </c>
      <c r="T360" s="305"/>
      <c r="U360" s="270"/>
      <c r="V360" s="270"/>
      <c r="W360" s="270"/>
      <c r="X360" s="305"/>
      <c r="Y360" s="263"/>
    </row>
    <row r="361" spans="10:25" x14ac:dyDescent="0.35">
      <c r="J361" s="263"/>
      <c r="R361" s="270"/>
      <c r="S361" s="270"/>
      <c r="T361" s="305"/>
      <c r="U361" s="270"/>
      <c r="V361" s="270"/>
      <c r="W361" s="270"/>
      <c r="X361" s="305"/>
      <c r="Y361" s="263"/>
    </row>
    <row r="362" spans="10:25" x14ac:dyDescent="0.35">
      <c r="J362" s="263"/>
      <c r="Y362" s="263"/>
    </row>
    <row r="363" spans="10:25" x14ac:dyDescent="0.35">
      <c r="J363" s="263"/>
    </row>
    <row r="364" spans="10:25" x14ac:dyDescent="0.35">
      <c r="J364" s="263"/>
    </row>
    <row r="365" spans="10:25" x14ac:dyDescent="0.35">
      <c r="J365" s="263"/>
    </row>
    <row r="366" spans="10:25" x14ac:dyDescent="0.35">
      <c r="J366" s="263"/>
    </row>
    <row r="367" spans="10:25" x14ac:dyDescent="0.35">
      <c r="J367" s="263"/>
    </row>
    <row r="368" spans="10:25" x14ac:dyDescent="0.35">
      <c r="J368" s="263"/>
    </row>
    <row r="369" spans="10:10" x14ac:dyDescent="0.35">
      <c r="J369" s="263"/>
    </row>
    <row r="370" spans="10:10" x14ac:dyDescent="0.35">
      <c r="J370" s="263"/>
    </row>
    <row r="371" spans="10:10" x14ac:dyDescent="0.35">
      <c r="J371" s="263"/>
    </row>
    <row r="372" spans="10:10" x14ac:dyDescent="0.35">
      <c r="J372" s="263"/>
    </row>
    <row r="373" spans="10:10" x14ac:dyDescent="0.35">
      <c r="J373" s="263"/>
    </row>
    <row r="374" spans="10:10" x14ac:dyDescent="0.35">
      <c r="J374" s="263"/>
    </row>
    <row r="387" spans="18:37" ht="15" thickBot="1" x14ac:dyDescent="0.4">
      <c r="R387" s="261" t="s">
        <v>384</v>
      </c>
    </row>
    <row r="388" spans="18:37" x14ac:dyDescent="0.35">
      <c r="R388" s="267" t="s">
        <v>14</v>
      </c>
      <c r="S388" s="385">
        <v>0</v>
      </c>
      <c r="T388" s="386">
        <v>10</v>
      </c>
      <c r="U388" s="386"/>
      <c r="V388" s="386"/>
      <c r="W388" s="386">
        <v>20</v>
      </c>
      <c r="X388" s="387">
        <v>25</v>
      </c>
      <c r="AJ388" s="272"/>
      <c r="AK388" s="272"/>
    </row>
    <row r="389" spans="18:37" x14ac:dyDescent="0.35">
      <c r="R389" s="290"/>
      <c r="S389" s="388">
        <v>50</v>
      </c>
      <c r="T389" s="389">
        <v>45</v>
      </c>
      <c r="U389" s="389"/>
      <c r="V389" s="389"/>
      <c r="W389" s="389">
        <v>40</v>
      </c>
      <c r="X389" s="390">
        <v>36</v>
      </c>
      <c r="AJ389" s="293"/>
      <c r="AK389" s="272"/>
    </row>
    <row r="390" spans="18:37" ht="15" thickBot="1" x14ac:dyDescent="0.4">
      <c r="R390" s="283" t="s">
        <v>15</v>
      </c>
      <c r="S390" s="284">
        <v>0</v>
      </c>
      <c r="T390" s="284">
        <v>0.28999999999999998</v>
      </c>
      <c r="U390" s="285">
        <v>0.3</v>
      </c>
      <c r="V390" s="285">
        <v>0.69</v>
      </c>
      <c r="W390" s="287">
        <v>0.7</v>
      </c>
      <c r="X390" s="288">
        <v>1</v>
      </c>
      <c r="AJ390" s="272"/>
      <c r="AK390" s="272"/>
    </row>
    <row r="391" spans="18:37" x14ac:dyDescent="0.35">
      <c r="AJ391" s="272"/>
      <c r="AK391" s="272"/>
    </row>
    <row r="392" spans="18:37" x14ac:dyDescent="0.35">
      <c r="S392" s="261" t="s">
        <v>258</v>
      </c>
    </row>
    <row r="393" spans="18:37" x14ac:dyDescent="0.35">
      <c r="R393" s="270"/>
      <c r="S393" s="298" t="s">
        <v>382</v>
      </c>
      <c r="T393" s="318" t="s">
        <v>383</v>
      </c>
    </row>
    <row r="394" spans="18:37" x14ac:dyDescent="0.35">
      <c r="R394" s="310" t="s">
        <v>124</v>
      </c>
      <c r="S394" s="362">
        <v>2.6999999999999999E-5</v>
      </c>
      <c r="T394" s="321">
        <v>2.2699999999999999E-4</v>
      </c>
    </row>
    <row r="395" spans="18:37" x14ac:dyDescent="0.35">
      <c r="R395" s="310" t="s">
        <v>125</v>
      </c>
      <c r="S395" s="362">
        <v>-2.0000000000000001E-4</v>
      </c>
      <c r="T395" s="391">
        <v>-2.8243000000000001E-2</v>
      </c>
    </row>
    <row r="396" spans="18:37" x14ac:dyDescent="0.35">
      <c r="R396" s="310" t="s">
        <v>127</v>
      </c>
      <c r="S396" s="362">
        <v>2.8333000000000001E-2</v>
      </c>
      <c r="T396" s="391">
        <v>1.0872539999999999</v>
      </c>
    </row>
    <row r="397" spans="18:37" x14ac:dyDescent="0.35">
      <c r="R397" s="310" t="s">
        <v>128</v>
      </c>
      <c r="S397" s="392">
        <v>1E-13</v>
      </c>
      <c r="T397" s="391">
        <v>-12.128571000000001</v>
      </c>
    </row>
    <row r="398" spans="18:37" x14ac:dyDescent="0.35">
      <c r="R398" s="270"/>
      <c r="S398" s="270"/>
      <c r="T398" s="270"/>
    </row>
    <row r="411" spans="10:10" x14ac:dyDescent="0.35">
      <c r="J411" s="263"/>
    </row>
    <row r="412" spans="10:10" x14ac:dyDescent="0.35">
      <c r="J412" s="263"/>
    </row>
    <row r="413" spans="10:10" x14ac:dyDescent="0.35">
      <c r="J413" s="263"/>
    </row>
    <row r="414" spans="10:10" x14ac:dyDescent="0.35">
      <c r="J414" s="263"/>
    </row>
    <row r="415" spans="10:10" x14ac:dyDescent="0.35">
      <c r="J415" s="263"/>
    </row>
    <row r="425" spans="18:24" ht="15" thickBot="1" x14ac:dyDescent="0.4">
      <c r="R425" s="261" t="s">
        <v>298</v>
      </c>
    </row>
    <row r="426" spans="18:24" x14ac:dyDescent="0.35">
      <c r="R426" s="314" t="s">
        <v>14</v>
      </c>
      <c r="S426" s="275">
        <v>2</v>
      </c>
      <c r="T426" s="275">
        <v>4.9000000000000004</v>
      </c>
      <c r="U426" s="275">
        <v>5</v>
      </c>
      <c r="V426" s="275">
        <v>6.9</v>
      </c>
      <c r="W426" s="275">
        <v>7</v>
      </c>
      <c r="X426" s="276">
        <v>9</v>
      </c>
    </row>
    <row r="427" spans="18:24" ht="15" thickBot="1" x14ac:dyDescent="0.4">
      <c r="R427" s="283" t="s">
        <v>15</v>
      </c>
      <c r="S427" s="284">
        <v>0</v>
      </c>
      <c r="T427" s="284">
        <v>0.28999999999999998</v>
      </c>
      <c r="U427" s="285">
        <v>0.3</v>
      </c>
      <c r="V427" s="285">
        <v>0.69</v>
      </c>
      <c r="W427" s="287">
        <v>0.7</v>
      </c>
      <c r="X427" s="288">
        <v>1</v>
      </c>
    </row>
    <row r="428" spans="18:24" x14ac:dyDescent="0.35">
      <c r="S428" s="263"/>
      <c r="T428" s="263"/>
      <c r="U428" s="263"/>
      <c r="V428" s="263"/>
      <c r="W428" s="263"/>
      <c r="X428" s="263"/>
    </row>
    <row r="429" spans="18:24" x14ac:dyDescent="0.35">
      <c r="R429" s="270"/>
      <c r="S429" s="261" t="s">
        <v>258</v>
      </c>
      <c r="T429" s="338"/>
      <c r="U429" s="263"/>
      <c r="V429" s="263"/>
      <c r="W429" s="263"/>
      <c r="X429" s="263"/>
    </row>
    <row r="430" spans="18:24" x14ac:dyDescent="0.35">
      <c r="R430" s="298" t="s">
        <v>124</v>
      </c>
      <c r="S430" s="270">
        <v>-4.7000000000000002E-3</v>
      </c>
      <c r="T430" s="270"/>
      <c r="U430" s="263"/>
      <c r="V430" s="263"/>
      <c r="W430" s="263"/>
      <c r="X430" s="263"/>
    </row>
    <row r="431" spans="18:24" x14ac:dyDescent="0.35">
      <c r="R431" s="298" t="s">
        <v>125</v>
      </c>
      <c r="S431" s="270">
        <v>8.5199999999999998E-2</v>
      </c>
      <c r="T431" s="270"/>
      <c r="U431" s="264"/>
      <c r="V431" s="264"/>
      <c r="W431" s="264"/>
      <c r="X431" s="264"/>
    </row>
    <row r="432" spans="18:24" x14ac:dyDescent="0.35">
      <c r="R432" s="298" t="s">
        <v>127</v>
      </c>
      <c r="S432" s="270">
        <v>-0.3125</v>
      </c>
      <c r="T432" s="270"/>
    </row>
    <row r="433" spans="10:20" x14ac:dyDescent="0.35">
      <c r="R433" s="298" t="s">
        <v>128</v>
      </c>
      <c r="S433" s="270">
        <v>0.32150000000000001</v>
      </c>
      <c r="T433" s="305"/>
    </row>
    <row r="436" spans="10:20" x14ac:dyDescent="0.35">
      <c r="J436" s="263"/>
      <c r="K436" s="263"/>
      <c r="L436" s="263"/>
      <c r="M436" s="263"/>
      <c r="N436" s="263"/>
      <c r="O436" s="263"/>
      <c r="P436" s="263"/>
    </row>
    <row r="437" spans="10:20" x14ac:dyDescent="0.35">
      <c r="J437" s="263"/>
      <c r="K437" s="263"/>
      <c r="L437" s="263"/>
      <c r="M437" s="263"/>
      <c r="N437" s="263"/>
      <c r="O437" s="263"/>
      <c r="P437" s="263"/>
    </row>
    <row r="438" spans="10:20" x14ac:dyDescent="0.35">
      <c r="J438" s="263"/>
      <c r="K438" s="263"/>
      <c r="L438" s="263"/>
      <c r="M438" s="263"/>
      <c r="N438" s="263"/>
      <c r="O438" s="263"/>
      <c r="P438" s="263"/>
    </row>
    <row r="439" spans="10:20" x14ac:dyDescent="0.35">
      <c r="J439" s="263"/>
      <c r="K439" s="263"/>
      <c r="L439" s="263"/>
      <c r="M439" s="263"/>
      <c r="N439" s="263"/>
      <c r="O439" s="263"/>
      <c r="P439" s="263"/>
    </row>
    <row r="440" spans="10:20" x14ac:dyDescent="0.35">
      <c r="J440" s="263"/>
      <c r="K440" s="263"/>
      <c r="L440" s="263"/>
      <c r="M440" s="263"/>
      <c r="N440" s="263"/>
      <c r="O440" s="263"/>
      <c r="P440" s="263"/>
    </row>
    <row r="441" spans="10:20" x14ac:dyDescent="0.35">
      <c r="J441" s="263"/>
      <c r="K441" s="263"/>
      <c r="L441" s="263"/>
      <c r="M441" s="263"/>
      <c r="N441" s="263"/>
      <c r="O441" s="263"/>
      <c r="P441" s="263"/>
    </row>
    <row r="442" spans="10:20" x14ac:dyDescent="0.35">
      <c r="J442" s="263"/>
      <c r="K442" s="263"/>
      <c r="L442" s="263"/>
      <c r="M442" s="263"/>
      <c r="N442" s="263"/>
      <c r="O442" s="263"/>
      <c r="P442" s="263"/>
    </row>
    <row r="443" spans="10:20" x14ac:dyDescent="0.35">
      <c r="J443" s="263"/>
      <c r="K443" s="263"/>
      <c r="L443" s="263"/>
      <c r="M443" s="263"/>
      <c r="N443" s="263"/>
      <c r="O443" s="263"/>
      <c r="P443" s="263"/>
    </row>
    <row r="444" spans="10:20" x14ac:dyDescent="0.35">
      <c r="J444" s="263"/>
      <c r="K444" s="263"/>
      <c r="L444" s="263"/>
      <c r="M444" s="263"/>
      <c r="N444" s="263"/>
      <c r="O444" s="263"/>
      <c r="P444" s="263"/>
    </row>
    <row r="445" spans="10:20" x14ac:dyDescent="0.35">
      <c r="J445" s="263"/>
      <c r="K445" s="263"/>
      <c r="L445" s="263"/>
      <c r="M445" s="263"/>
      <c r="N445" s="263"/>
      <c r="O445" s="263"/>
      <c r="P445" s="263"/>
    </row>
    <row r="446" spans="10:20" x14ac:dyDescent="0.35">
      <c r="J446" s="263"/>
      <c r="K446" s="263"/>
      <c r="L446" s="263"/>
      <c r="M446" s="263"/>
      <c r="N446" s="263"/>
      <c r="O446" s="263"/>
      <c r="P446" s="263"/>
    </row>
    <row r="447" spans="10:20" x14ac:dyDescent="0.35">
      <c r="J447" s="263"/>
      <c r="K447" s="263"/>
      <c r="L447" s="263"/>
      <c r="M447" s="263"/>
      <c r="N447" s="263"/>
      <c r="O447" s="263"/>
      <c r="P447" s="263"/>
    </row>
    <row r="448" spans="10:20" x14ac:dyDescent="0.35">
      <c r="J448" s="263"/>
      <c r="K448" s="263"/>
      <c r="L448" s="263"/>
      <c r="M448" s="263"/>
      <c r="N448" s="263"/>
      <c r="O448" s="263"/>
      <c r="P448" s="263"/>
    </row>
    <row r="449" spans="10:25" x14ac:dyDescent="0.35">
      <c r="J449" s="263"/>
      <c r="K449" s="263"/>
      <c r="L449" s="263"/>
      <c r="M449" s="263"/>
      <c r="N449" s="263"/>
      <c r="O449" s="263"/>
      <c r="P449" s="263"/>
    </row>
    <row r="450" spans="10:25" x14ac:dyDescent="0.35">
      <c r="J450" s="263"/>
      <c r="K450" s="263"/>
      <c r="L450" s="263"/>
      <c r="M450" s="263"/>
      <c r="N450" s="263"/>
      <c r="O450" s="263"/>
      <c r="P450" s="263"/>
    </row>
    <row r="451" spans="10:25" x14ac:dyDescent="0.35">
      <c r="J451" s="263"/>
      <c r="K451" s="263"/>
      <c r="L451" s="263"/>
      <c r="M451" s="263"/>
      <c r="N451" s="263"/>
      <c r="O451" s="263"/>
      <c r="P451" s="263"/>
    </row>
    <row r="452" spans="10:25" x14ac:dyDescent="0.35">
      <c r="J452" s="263"/>
      <c r="K452" s="263"/>
      <c r="L452" s="263"/>
      <c r="M452" s="263"/>
      <c r="N452" s="263"/>
      <c r="O452" s="263"/>
      <c r="P452" s="263"/>
    </row>
    <row r="453" spans="10:25" x14ac:dyDescent="0.35">
      <c r="J453" s="263"/>
      <c r="K453" s="263"/>
      <c r="L453" s="263"/>
      <c r="M453" s="263"/>
      <c r="N453" s="263"/>
      <c r="O453" s="263"/>
      <c r="P453" s="263"/>
    </row>
    <row r="454" spans="10:25" x14ac:dyDescent="0.35">
      <c r="J454" s="263"/>
      <c r="K454" s="263"/>
      <c r="L454" s="263"/>
      <c r="M454" s="263"/>
      <c r="N454" s="263"/>
      <c r="O454" s="263"/>
      <c r="P454" s="263"/>
    </row>
    <row r="455" spans="10:25" x14ac:dyDescent="0.35">
      <c r="J455" s="263"/>
      <c r="K455" s="263"/>
      <c r="L455" s="263"/>
      <c r="M455" s="263"/>
      <c r="N455" s="263"/>
      <c r="O455" s="263"/>
      <c r="P455" s="263"/>
    </row>
    <row r="456" spans="10:25" x14ac:dyDescent="0.35">
      <c r="J456" s="263"/>
      <c r="K456" s="263"/>
      <c r="L456" s="263"/>
      <c r="M456" s="263"/>
      <c r="N456" s="263"/>
      <c r="O456" s="263"/>
      <c r="P456" s="263"/>
    </row>
    <row r="457" spans="10:25" x14ac:dyDescent="0.35">
      <c r="J457" s="263"/>
      <c r="K457" s="263"/>
      <c r="L457" s="263"/>
      <c r="M457" s="263"/>
      <c r="N457" s="263"/>
      <c r="O457" s="263"/>
      <c r="P457" s="263"/>
      <c r="Y457" s="263"/>
    </row>
    <row r="458" spans="10:25" x14ac:dyDescent="0.35">
      <c r="J458" s="263"/>
      <c r="K458" s="263"/>
      <c r="L458" s="263"/>
      <c r="M458" s="263"/>
      <c r="N458" s="263"/>
      <c r="O458" s="263"/>
      <c r="P458" s="263"/>
      <c r="Y458" s="264"/>
    </row>
    <row r="459" spans="10:25" ht="15" thickBot="1" x14ac:dyDescent="0.4">
      <c r="J459" s="263"/>
      <c r="K459" s="263"/>
      <c r="L459" s="263"/>
      <c r="M459" s="263"/>
      <c r="N459" s="263"/>
      <c r="O459" s="263"/>
      <c r="P459" s="263"/>
      <c r="R459" s="270" t="s">
        <v>121</v>
      </c>
      <c r="S459" s="270"/>
      <c r="T459" s="270"/>
      <c r="U459" s="270"/>
      <c r="V459" s="270"/>
      <c r="W459" s="270"/>
      <c r="X459" s="270"/>
    </row>
    <row r="460" spans="10:25" x14ac:dyDescent="0.35">
      <c r="J460" s="263"/>
      <c r="K460" s="263"/>
      <c r="L460" s="263"/>
      <c r="M460" s="263"/>
      <c r="N460" s="263"/>
      <c r="O460" s="263"/>
      <c r="P460" s="263"/>
      <c r="R460" s="267" t="s">
        <v>14</v>
      </c>
      <c r="S460" s="275">
        <v>0.01</v>
      </c>
      <c r="T460" s="275">
        <v>0.05</v>
      </c>
      <c r="U460" s="275"/>
      <c r="V460" s="275">
        <v>0.1</v>
      </c>
      <c r="W460" s="275"/>
      <c r="X460" s="276">
        <v>0.11</v>
      </c>
    </row>
    <row r="461" spans="10:25" ht="15" thickBot="1" x14ac:dyDescent="0.4">
      <c r="J461" s="263"/>
      <c r="K461" s="263"/>
      <c r="L461" s="263"/>
      <c r="M461" s="263"/>
      <c r="N461" s="263"/>
      <c r="O461" s="263"/>
      <c r="P461" s="263"/>
      <c r="R461" s="283" t="s">
        <v>15</v>
      </c>
      <c r="S461" s="284">
        <v>0</v>
      </c>
      <c r="T461" s="284">
        <v>0.28999999999999998</v>
      </c>
      <c r="U461" s="285">
        <v>0.3</v>
      </c>
      <c r="V461" s="393">
        <v>0.65200000000000002</v>
      </c>
      <c r="W461" s="287">
        <v>0.7</v>
      </c>
      <c r="X461" s="288">
        <v>1</v>
      </c>
    </row>
    <row r="462" spans="10:25" x14ac:dyDescent="0.35">
      <c r="J462" s="263"/>
      <c r="K462" s="263"/>
      <c r="L462" s="263"/>
      <c r="M462" s="263"/>
      <c r="N462" s="263"/>
      <c r="O462" s="263"/>
      <c r="P462" s="263"/>
    </row>
    <row r="463" spans="10:25" x14ac:dyDescent="0.35">
      <c r="J463" s="263"/>
      <c r="K463" s="263"/>
      <c r="L463" s="263"/>
      <c r="M463" s="263"/>
      <c r="N463" s="263"/>
      <c r="O463" s="263"/>
      <c r="P463" s="263"/>
      <c r="S463" s="261" t="s">
        <v>363</v>
      </c>
    </row>
    <row r="464" spans="10:25" x14ac:dyDescent="0.35">
      <c r="J464" s="263"/>
      <c r="K464" s="263"/>
      <c r="L464" s="263"/>
      <c r="M464" s="263"/>
      <c r="N464" s="263"/>
      <c r="O464" s="263"/>
      <c r="P464" s="263"/>
      <c r="R464" s="310" t="s">
        <v>124</v>
      </c>
      <c r="S464" s="270">
        <v>7.25</v>
      </c>
      <c r="T464" s="270"/>
    </row>
    <row r="465" spans="10:24" x14ac:dyDescent="0.35">
      <c r="J465" s="263"/>
      <c r="K465" s="263"/>
      <c r="L465" s="263"/>
      <c r="M465" s="263"/>
      <c r="N465" s="263"/>
      <c r="O465" s="263"/>
      <c r="P465" s="263"/>
      <c r="R465" s="310" t="s">
        <v>125</v>
      </c>
      <c r="S465" s="270">
        <v>-7.2999999999999995E-2</v>
      </c>
      <c r="T465" s="270"/>
      <c r="U465" s="394"/>
    </row>
    <row r="466" spans="10:24" ht="21" x14ac:dyDescent="0.5">
      <c r="J466" s="263"/>
      <c r="K466" s="263"/>
      <c r="L466" s="263"/>
      <c r="M466" s="263"/>
      <c r="N466" s="263"/>
      <c r="O466" s="263"/>
      <c r="P466" s="263"/>
      <c r="R466" s="298"/>
      <c r="S466" s="270"/>
      <c r="T466" s="270"/>
      <c r="V466" s="384"/>
      <c r="W466" s="270"/>
      <c r="X466" s="270"/>
    </row>
    <row r="467" spans="10:24" x14ac:dyDescent="0.35">
      <c r="J467" s="263"/>
      <c r="K467" s="263"/>
      <c r="L467" s="263"/>
      <c r="M467" s="263"/>
      <c r="N467" s="263"/>
      <c r="O467" s="263"/>
      <c r="P467" s="263"/>
      <c r="R467" s="298"/>
      <c r="S467" s="270"/>
      <c r="T467" s="305"/>
      <c r="V467" s="270"/>
      <c r="W467" s="270"/>
      <c r="X467" s="305"/>
    </row>
    <row r="468" spans="10:24" x14ac:dyDescent="0.35">
      <c r="J468" s="263"/>
      <c r="K468" s="263"/>
      <c r="L468" s="263"/>
      <c r="M468" s="263"/>
      <c r="N468" s="263"/>
      <c r="O468" s="263"/>
      <c r="P468" s="263"/>
      <c r="R468" s="270"/>
      <c r="S468" s="270"/>
      <c r="T468" s="305"/>
      <c r="V468" s="270"/>
      <c r="W468" s="270"/>
      <c r="X468" s="305"/>
    </row>
    <row r="469" spans="10:24" x14ac:dyDescent="0.35">
      <c r="J469" s="263"/>
      <c r="K469" s="263"/>
      <c r="L469" s="263"/>
      <c r="M469" s="263"/>
      <c r="N469" s="263"/>
      <c r="O469" s="263"/>
      <c r="P469" s="263"/>
    </row>
    <row r="470" spans="10:24" x14ac:dyDescent="0.35">
      <c r="K470" s="263"/>
      <c r="L470" s="263"/>
      <c r="M470" s="263"/>
      <c r="N470" s="263"/>
      <c r="O470" s="263"/>
      <c r="P470" s="263"/>
    </row>
    <row r="471" spans="10:24" x14ac:dyDescent="0.35">
      <c r="K471" s="263"/>
      <c r="L471" s="263"/>
      <c r="M471" s="263"/>
      <c r="N471" s="263"/>
      <c r="O471" s="263"/>
      <c r="P471" s="263"/>
    </row>
    <row r="472" spans="10:24" x14ac:dyDescent="0.35">
      <c r="K472" s="263"/>
      <c r="L472" s="263"/>
      <c r="M472" s="263"/>
      <c r="N472" s="263"/>
      <c r="O472" s="263"/>
      <c r="P472" s="263"/>
    </row>
    <row r="473" spans="10:24" x14ac:dyDescent="0.35">
      <c r="K473" s="263"/>
      <c r="L473" s="263"/>
      <c r="M473" s="263"/>
      <c r="N473" s="263"/>
      <c r="O473" s="263"/>
      <c r="P473" s="263"/>
    </row>
    <row r="474" spans="10:24" x14ac:dyDescent="0.35">
      <c r="K474" s="263"/>
      <c r="L474" s="263"/>
      <c r="M474" s="263"/>
      <c r="N474" s="263"/>
      <c r="O474" s="263"/>
      <c r="P474" s="263"/>
    </row>
    <row r="475" spans="10:24" x14ac:dyDescent="0.35">
      <c r="K475" s="263"/>
      <c r="L475" s="263"/>
      <c r="M475" s="263"/>
      <c r="N475" s="263"/>
      <c r="O475" s="263"/>
      <c r="P475" s="263"/>
    </row>
    <row r="476" spans="10:24" x14ac:dyDescent="0.35">
      <c r="K476" s="263"/>
      <c r="L476" s="263"/>
      <c r="M476" s="263"/>
      <c r="N476" s="263"/>
      <c r="O476" s="263"/>
      <c r="P476" s="263"/>
    </row>
    <row r="477" spans="10:24" x14ac:dyDescent="0.35">
      <c r="K477" s="263"/>
      <c r="L477" s="263"/>
      <c r="M477" s="263"/>
      <c r="N477" s="263"/>
      <c r="O477" s="263"/>
      <c r="P477" s="263"/>
    </row>
    <row r="478" spans="10:24" x14ac:dyDescent="0.35">
      <c r="K478" s="263"/>
      <c r="L478" s="263"/>
      <c r="M478" s="263"/>
      <c r="N478" s="263"/>
      <c r="O478" s="263"/>
      <c r="P478" s="263"/>
    </row>
    <row r="479" spans="10:24" x14ac:dyDescent="0.35">
      <c r="K479" s="263"/>
      <c r="L479" s="263"/>
      <c r="M479" s="263"/>
      <c r="N479" s="263"/>
      <c r="O479" s="263"/>
      <c r="P479" s="263"/>
    </row>
    <row r="480" spans="10:24" x14ac:dyDescent="0.35">
      <c r="K480" s="263"/>
      <c r="L480" s="263"/>
      <c r="M480" s="263"/>
      <c r="N480" s="263"/>
      <c r="O480" s="263"/>
      <c r="P480" s="263"/>
    </row>
    <row r="481" spans="11:24" x14ac:dyDescent="0.35">
      <c r="K481" s="263"/>
      <c r="L481" s="263"/>
      <c r="M481" s="263"/>
      <c r="N481" s="263"/>
      <c r="O481" s="263"/>
      <c r="P481" s="263"/>
    </row>
    <row r="482" spans="11:24" x14ac:dyDescent="0.35">
      <c r="K482" s="263"/>
      <c r="L482" s="263"/>
      <c r="M482" s="263"/>
      <c r="N482" s="263"/>
      <c r="O482" s="263"/>
      <c r="P482" s="263"/>
    </row>
    <row r="493" spans="11:24" ht="15" thickBot="1" x14ac:dyDescent="0.4">
      <c r="R493" s="261" t="s">
        <v>224</v>
      </c>
    </row>
    <row r="494" spans="11:24" x14ac:dyDescent="0.35">
      <c r="R494" s="612" t="s">
        <v>14</v>
      </c>
      <c r="S494" s="395">
        <v>3</v>
      </c>
      <c r="T494" s="275"/>
      <c r="U494" s="312">
        <v>3.3</v>
      </c>
      <c r="V494" s="275"/>
      <c r="W494" s="275">
        <v>3.7</v>
      </c>
      <c r="X494" s="396">
        <v>4</v>
      </c>
    </row>
    <row r="495" spans="11:24" x14ac:dyDescent="0.35">
      <c r="R495" s="613"/>
      <c r="S495" s="397">
        <f>2.8/0.3</f>
        <v>9.3333333333333339</v>
      </c>
      <c r="T495" s="293"/>
      <c r="U495" s="264"/>
      <c r="V495" s="293"/>
      <c r="W495" s="293">
        <v>7</v>
      </c>
      <c r="X495" s="398">
        <v>6</v>
      </c>
    </row>
    <row r="496" spans="11:24" ht="15" thickBot="1" x14ac:dyDescent="0.4">
      <c r="R496" s="283" t="s">
        <v>15</v>
      </c>
      <c r="S496" s="284">
        <v>0</v>
      </c>
      <c r="T496" s="284">
        <v>0.28999999999999998</v>
      </c>
      <c r="U496" s="285">
        <v>0.3</v>
      </c>
      <c r="V496" s="285">
        <v>0.69</v>
      </c>
      <c r="W496" s="287">
        <v>0.7</v>
      </c>
      <c r="X496" s="288">
        <v>1</v>
      </c>
    </row>
    <row r="498" spans="18:21" x14ac:dyDescent="0.35">
      <c r="S498" s="261" t="s">
        <v>363</v>
      </c>
      <c r="T498" s="294"/>
    </row>
    <row r="499" spans="18:21" x14ac:dyDescent="0.35">
      <c r="S499" s="298" t="s">
        <v>385</v>
      </c>
      <c r="T499" s="298" t="s">
        <v>386</v>
      </c>
    </row>
    <row r="500" spans="18:21" x14ac:dyDescent="0.35">
      <c r="R500" s="298" t="s">
        <v>124</v>
      </c>
      <c r="S500" s="399">
        <v>1</v>
      </c>
      <c r="T500" s="399">
        <v>-0.3</v>
      </c>
    </row>
    <row r="501" spans="18:21" x14ac:dyDescent="0.35">
      <c r="R501" s="298" t="s">
        <v>125</v>
      </c>
      <c r="S501" s="399">
        <v>-3</v>
      </c>
      <c r="T501" s="399">
        <v>2.8</v>
      </c>
      <c r="U501" s="303"/>
    </row>
    <row r="502" spans="18:21" x14ac:dyDescent="0.35">
      <c r="R502" s="270"/>
      <c r="S502" s="270"/>
      <c r="T502" s="270"/>
    </row>
    <row r="514" spans="11:25" x14ac:dyDescent="0.35">
      <c r="K514" s="270"/>
    </row>
    <row r="515" spans="11:25" x14ac:dyDescent="0.35">
      <c r="K515" s="270"/>
    </row>
    <row r="516" spans="11:25" x14ac:dyDescent="0.35">
      <c r="K516" s="270"/>
      <c r="Y516" s="263"/>
    </row>
    <row r="517" spans="11:25" x14ac:dyDescent="0.35">
      <c r="K517" s="270"/>
      <c r="Y517" s="263"/>
    </row>
    <row r="518" spans="11:25" x14ac:dyDescent="0.35">
      <c r="K518" s="270"/>
      <c r="Y518" s="264"/>
    </row>
    <row r="519" spans="11:25" x14ac:dyDescent="0.35">
      <c r="K519" s="270"/>
      <c r="Y519" s="264"/>
    </row>
    <row r="520" spans="11:25" x14ac:dyDescent="0.35">
      <c r="K520" s="270"/>
      <c r="Y520" s="263"/>
    </row>
    <row r="521" spans="11:25" x14ac:dyDescent="0.35">
      <c r="K521" s="270"/>
      <c r="L521" s="270"/>
      <c r="M521" s="270"/>
      <c r="N521" s="270"/>
      <c r="O521" s="270"/>
      <c r="P521" s="270"/>
      <c r="Y521" s="263"/>
    </row>
    <row r="522" spans="11:25" x14ac:dyDescent="0.35">
      <c r="K522" s="270"/>
      <c r="L522" s="270"/>
      <c r="M522" s="270"/>
      <c r="N522" s="270"/>
      <c r="O522" s="270"/>
      <c r="P522" s="270"/>
      <c r="Q522" s="270"/>
      <c r="Y522" s="263"/>
    </row>
    <row r="523" spans="11:25" x14ac:dyDescent="0.35">
      <c r="K523" s="263"/>
      <c r="L523" s="263"/>
      <c r="M523" s="263"/>
      <c r="N523" s="263"/>
      <c r="O523" s="263"/>
      <c r="P523" s="263"/>
      <c r="Q523" s="270"/>
      <c r="Y523" s="263"/>
    </row>
    <row r="524" spans="11:25" x14ac:dyDescent="0.35">
      <c r="K524" s="263"/>
      <c r="L524" s="263"/>
      <c r="M524" s="263"/>
      <c r="N524" s="263"/>
      <c r="O524" s="263"/>
      <c r="P524" s="263"/>
      <c r="Y524" s="264"/>
    </row>
    <row r="525" spans="11:25" x14ac:dyDescent="0.35">
      <c r="K525" s="263"/>
      <c r="L525" s="263"/>
      <c r="M525" s="263"/>
      <c r="N525" s="263"/>
      <c r="O525" s="263"/>
      <c r="P525" s="263"/>
      <c r="Y525" s="264"/>
    </row>
    <row r="526" spans="11:25" x14ac:dyDescent="0.35">
      <c r="K526" s="264"/>
      <c r="L526" s="264"/>
      <c r="M526" s="264"/>
      <c r="N526" s="264"/>
      <c r="O526" s="264"/>
      <c r="P526" s="264"/>
      <c r="Y526" s="263"/>
    </row>
    <row r="527" spans="11:25" ht="15" thickBot="1" x14ac:dyDescent="0.4">
      <c r="K527" s="264"/>
      <c r="L527" s="264"/>
      <c r="M527" s="264"/>
      <c r="N527" s="264"/>
      <c r="O527" s="264"/>
      <c r="P527" s="264"/>
      <c r="R527" s="261" t="s">
        <v>389</v>
      </c>
    </row>
    <row r="528" spans="11:25" x14ac:dyDescent="0.35">
      <c r="K528" s="263"/>
      <c r="L528" s="263"/>
      <c r="M528" s="263"/>
      <c r="N528" s="263"/>
      <c r="O528" s="263"/>
      <c r="P528" s="263"/>
      <c r="R528" s="612" t="s">
        <v>14</v>
      </c>
      <c r="S528" s="400">
        <v>2.3736720089268464</v>
      </c>
      <c r="T528" s="312"/>
      <c r="U528" s="312">
        <v>2.6</v>
      </c>
      <c r="V528" s="312"/>
      <c r="W528" s="312">
        <v>3</v>
      </c>
      <c r="X528" s="313">
        <v>3.7</v>
      </c>
    </row>
    <row r="529" spans="11:25" x14ac:dyDescent="0.35">
      <c r="K529" s="263"/>
      <c r="L529" s="263"/>
      <c r="M529" s="263"/>
      <c r="N529" s="263"/>
      <c r="O529" s="263"/>
      <c r="P529" s="263"/>
      <c r="R529" s="613"/>
      <c r="S529" s="401">
        <v>7.6237626511543954</v>
      </c>
      <c r="T529" s="264"/>
      <c r="U529" s="264">
        <v>7</v>
      </c>
      <c r="V529" s="264"/>
      <c r="W529" s="264">
        <v>6</v>
      </c>
      <c r="X529" s="335">
        <v>5</v>
      </c>
    </row>
    <row r="530" spans="11:25" ht="15" thickBot="1" x14ac:dyDescent="0.4">
      <c r="K530" s="263"/>
      <c r="L530" s="263"/>
      <c r="M530" s="263"/>
      <c r="N530" s="263"/>
      <c r="O530" s="263"/>
      <c r="P530" s="263"/>
      <c r="R530" s="283" t="s">
        <v>15</v>
      </c>
      <c r="S530" s="284">
        <v>0</v>
      </c>
      <c r="T530" s="284">
        <v>0.28999999999999998</v>
      </c>
      <c r="U530" s="285">
        <v>0.3</v>
      </c>
      <c r="V530" s="285">
        <v>0.69</v>
      </c>
      <c r="W530" s="287">
        <v>0.7</v>
      </c>
      <c r="X530" s="288">
        <v>1</v>
      </c>
    </row>
    <row r="531" spans="11:25" x14ac:dyDescent="0.35">
      <c r="K531" s="263"/>
      <c r="L531" s="263"/>
      <c r="M531" s="263"/>
      <c r="N531" s="263"/>
      <c r="O531" s="263"/>
      <c r="P531" s="263"/>
    </row>
    <row r="532" spans="11:25" x14ac:dyDescent="0.35">
      <c r="K532" s="263"/>
      <c r="L532" s="263"/>
      <c r="M532" s="263"/>
      <c r="N532" s="263"/>
      <c r="O532" s="263"/>
      <c r="P532" s="263"/>
      <c r="R532" s="270"/>
      <c r="S532" s="297" t="s">
        <v>371</v>
      </c>
      <c r="T532" s="330"/>
    </row>
    <row r="533" spans="11:25" x14ac:dyDescent="0.35">
      <c r="K533" s="263"/>
      <c r="L533" s="263"/>
      <c r="M533" s="350"/>
      <c r="N533" s="263"/>
      <c r="O533" s="263"/>
      <c r="P533" s="263"/>
      <c r="R533" s="270"/>
      <c r="S533" s="298" t="s">
        <v>387</v>
      </c>
      <c r="T533" s="298" t="s">
        <v>388</v>
      </c>
    </row>
    <row r="534" spans="11:25" x14ac:dyDescent="0.35">
      <c r="K534" s="263"/>
      <c r="L534" s="263"/>
      <c r="M534" s="263"/>
      <c r="N534" s="263"/>
      <c r="O534" s="263"/>
      <c r="P534" s="263"/>
      <c r="R534" s="298" t="s">
        <v>124</v>
      </c>
      <c r="S534" s="270">
        <v>-0.51949999999999996</v>
      </c>
      <c r="T534" s="270">
        <v>-0.05</v>
      </c>
    </row>
    <row r="535" spans="11:25" x14ac:dyDescent="0.35">
      <c r="K535" s="263"/>
      <c r="L535" s="263"/>
      <c r="M535" s="263"/>
      <c r="N535" s="263"/>
      <c r="O535" s="263"/>
      <c r="P535" s="263"/>
      <c r="R535" s="298" t="s">
        <v>125</v>
      </c>
      <c r="S535" s="270">
        <v>3.9089999999999998</v>
      </c>
      <c r="T535" s="270">
        <v>0.25</v>
      </c>
    </row>
    <row r="536" spans="11:25" x14ac:dyDescent="0.35">
      <c r="K536" s="263"/>
      <c r="L536" s="263"/>
      <c r="M536" s="263"/>
      <c r="N536" s="263"/>
      <c r="O536" s="263"/>
      <c r="P536" s="263"/>
      <c r="R536" s="301" t="s">
        <v>127</v>
      </c>
      <c r="S536" s="261">
        <v>-6.3520000000000003</v>
      </c>
      <c r="T536" s="261">
        <v>1</v>
      </c>
    </row>
    <row r="537" spans="11:25" x14ac:dyDescent="0.35">
      <c r="K537" s="263"/>
      <c r="L537" s="263"/>
      <c r="M537" s="263"/>
      <c r="N537" s="263"/>
      <c r="O537" s="263"/>
      <c r="P537" s="263"/>
    </row>
    <row r="538" spans="11:25" x14ac:dyDescent="0.35">
      <c r="K538" s="263"/>
      <c r="L538" s="263"/>
      <c r="M538" s="263"/>
      <c r="N538" s="263"/>
      <c r="O538" s="263"/>
      <c r="P538" s="263"/>
    </row>
    <row r="539" spans="11:25" x14ac:dyDescent="0.35">
      <c r="K539" s="264"/>
      <c r="L539" s="264"/>
      <c r="M539" s="264"/>
      <c r="N539" s="264"/>
      <c r="O539" s="264"/>
      <c r="P539" s="264"/>
    </row>
    <row r="540" spans="11:25" x14ac:dyDescent="0.35">
      <c r="K540" s="264"/>
      <c r="L540" s="264"/>
      <c r="M540" s="264"/>
      <c r="N540" s="264"/>
      <c r="O540" s="264"/>
      <c r="P540" s="264"/>
    </row>
    <row r="541" spans="11:25" x14ac:dyDescent="0.35">
      <c r="K541" s="263"/>
      <c r="L541" s="263"/>
      <c r="M541" s="263"/>
      <c r="N541" s="263"/>
      <c r="O541" s="263"/>
      <c r="P541" s="263"/>
    </row>
    <row r="542" spans="11:25" x14ac:dyDescent="0.35">
      <c r="K542" s="263"/>
      <c r="L542" s="263"/>
      <c r="M542" s="263"/>
      <c r="N542" s="263"/>
      <c r="O542" s="263"/>
      <c r="P542" s="263"/>
    </row>
    <row r="543" spans="11:25" x14ac:dyDescent="0.35">
      <c r="K543" s="263"/>
      <c r="L543" s="263"/>
      <c r="M543" s="263"/>
      <c r="N543" s="263"/>
      <c r="O543" s="263"/>
      <c r="P543" s="263"/>
      <c r="Y543" s="263"/>
    </row>
    <row r="544" spans="11:25" x14ac:dyDescent="0.35">
      <c r="K544" s="263"/>
      <c r="L544" s="263"/>
      <c r="M544" s="263"/>
      <c r="N544" s="263"/>
      <c r="O544" s="263"/>
      <c r="P544" s="263"/>
      <c r="Y544" s="263"/>
    </row>
    <row r="545" spans="11:25" x14ac:dyDescent="0.35">
      <c r="K545" s="263"/>
      <c r="L545" s="263"/>
      <c r="M545" s="263"/>
      <c r="N545" s="263"/>
      <c r="O545" s="263"/>
      <c r="P545" s="263"/>
      <c r="Y545" s="263"/>
    </row>
    <row r="546" spans="11:25" x14ac:dyDescent="0.35">
      <c r="K546" s="263"/>
      <c r="L546" s="263"/>
      <c r="M546" s="263"/>
      <c r="N546" s="350"/>
      <c r="O546" s="263"/>
      <c r="P546" s="263"/>
      <c r="Y546" s="263"/>
    </row>
    <row r="547" spans="11:25" x14ac:dyDescent="0.35">
      <c r="K547" s="270"/>
      <c r="L547" s="270"/>
      <c r="M547" s="270"/>
      <c r="N547" s="270"/>
      <c r="O547" s="270"/>
      <c r="P547" s="270"/>
      <c r="Y547" s="263"/>
    </row>
    <row r="548" spans="11:25" x14ac:dyDescent="0.35">
      <c r="K548" s="270"/>
      <c r="L548" s="270"/>
      <c r="M548" s="270"/>
      <c r="N548" s="270"/>
      <c r="O548" s="270"/>
      <c r="P548" s="270"/>
      <c r="Y548" s="263"/>
    </row>
    <row r="549" spans="11:25" x14ac:dyDescent="0.35">
      <c r="K549" s="270"/>
      <c r="L549" s="270"/>
      <c r="M549" s="270"/>
      <c r="N549" s="270"/>
      <c r="O549" s="270"/>
      <c r="P549" s="270"/>
      <c r="Y549" s="263"/>
    </row>
    <row r="550" spans="11:25" x14ac:dyDescent="0.35">
      <c r="Y550" s="263"/>
    </row>
    <row r="551" spans="11:25" x14ac:dyDescent="0.35">
      <c r="Y551" s="263"/>
    </row>
    <row r="552" spans="11:25" x14ac:dyDescent="0.35">
      <c r="Y552" s="263"/>
    </row>
    <row r="553" spans="11:25" x14ac:dyDescent="0.35">
      <c r="Y553" s="263"/>
    </row>
    <row r="554" spans="11:25" x14ac:dyDescent="0.35">
      <c r="Y554" s="263"/>
    </row>
    <row r="555" spans="11:25" x14ac:dyDescent="0.35">
      <c r="Y555" s="263"/>
    </row>
    <row r="556" spans="11:25" x14ac:dyDescent="0.35">
      <c r="Y556" s="263"/>
    </row>
    <row r="561" spans="18:24" ht="15" thickBot="1" x14ac:dyDescent="0.4">
      <c r="R561" s="261" t="s">
        <v>226</v>
      </c>
    </row>
    <row r="562" spans="18:24" x14ac:dyDescent="0.35">
      <c r="R562" s="267" t="s">
        <v>14</v>
      </c>
      <c r="S562" s="395">
        <f>-S568/S567</f>
        <v>7.5</v>
      </c>
      <c r="T562" s="312"/>
      <c r="U562" s="312">
        <v>6</v>
      </c>
      <c r="V562" s="312"/>
      <c r="W562" s="312">
        <v>4</v>
      </c>
      <c r="X562" s="313">
        <v>3</v>
      </c>
    </row>
    <row r="563" spans="18:24" ht="15" thickBot="1" x14ac:dyDescent="0.4">
      <c r="R563" s="283" t="s">
        <v>15</v>
      </c>
      <c r="S563" s="284">
        <v>0</v>
      </c>
      <c r="T563" s="284">
        <v>0.28999999999999998</v>
      </c>
      <c r="U563" s="285">
        <v>0.3</v>
      </c>
      <c r="V563" s="285">
        <v>0.69</v>
      </c>
      <c r="W563" s="287">
        <v>0.7</v>
      </c>
      <c r="X563" s="402">
        <v>1</v>
      </c>
    </row>
    <row r="565" spans="18:24" x14ac:dyDescent="0.35">
      <c r="R565" s="270"/>
      <c r="S565" s="261" t="s">
        <v>363</v>
      </c>
      <c r="T565" s="330"/>
    </row>
    <row r="566" spans="18:24" x14ac:dyDescent="0.35">
      <c r="R566" s="298"/>
      <c r="S566" s="298" t="s">
        <v>129</v>
      </c>
      <c r="T566" s="298" t="s">
        <v>96</v>
      </c>
    </row>
    <row r="567" spans="18:24" x14ac:dyDescent="0.35">
      <c r="R567" s="298" t="s">
        <v>124</v>
      </c>
      <c r="S567" s="270">
        <v>-0.2</v>
      </c>
      <c r="T567" s="270">
        <v>-0.3</v>
      </c>
      <c r="U567" s="303"/>
    </row>
    <row r="568" spans="18:24" x14ac:dyDescent="0.35">
      <c r="R568" s="298" t="s">
        <v>125</v>
      </c>
      <c r="S568" s="270">
        <v>1.5</v>
      </c>
      <c r="T568" s="305">
        <v>1.9</v>
      </c>
    </row>
    <row r="593" spans="18:25" ht="15" thickBot="1" x14ac:dyDescent="0.4">
      <c r="R593" s="261" t="s">
        <v>225</v>
      </c>
      <c r="Y593" s="263"/>
    </row>
    <row r="594" spans="18:25" x14ac:dyDescent="0.35">
      <c r="R594" s="267" t="s">
        <v>14</v>
      </c>
      <c r="S594" s="395">
        <v>9.2488639081559434</v>
      </c>
      <c r="T594" s="275"/>
      <c r="U594" s="275">
        <v>8</v>
      </c>
      <c r="V594" s="275"/>
      <c r="W594" s="275">
        <v>6</v>
      </c>
      <c r="X594" s="276">
        <v>4</v>
      </c>
    </row>
    <row r="595" spans="18:25" ht="15" thickBot="1" x14ac:dyDescent="0.4">
      <c r="R595" s="283" t="s">
        <v>15</v>
      </c>
      <c r="S595" s="284">
        <v>0</v>
      </c>
      <c r="T595" s="284">
        <v>0.28999999999999998</v>
      </c>
      <c r="U595" s="285">
        <v>0.3</v>
      </c>
      <c r="V595" s="285">
        <v>0.69</v>
      </c>
      <c r="W595" s="287">
        <v>0.7</v>
      </c>
      <c r="X595" s="288">
        <v>1</v>
      </c>
      <c r="Y595" s="263"/>
    </row>
    <row r="596" spans="18:25" x14ac:dyDescent="0.35">
      <c r="Y596" s="263"/>
    </row>
    <row r="597" spans="18:25" x14ac:dyDescent="0.35">
      <c r="R597" s="270"/>
      <c r="S597" s="297" t="s">
        <v>371</v>
      </c>
      <c r="T597" s="270"/>
      <c r="Y597" s="264"/>
    </row>
    <row r="598" spans="18:25" x14ac:dyDescent="0.35">
      <c r="R598" s="298" t="s">
        <v>124</v>
      </c>
      <c r="S598" s="270">
        <v>-1.2500000000000001E-2</v>
      </c>
      <c r="T598" s="270"/>
    </row>
    <row r="599" spans="18:25" x14ac:dyDescent="0.35">
      <c r="R599" s="298" t="s">
        <v>125</v>
      </c>
      <c r="S599" s="270">
        <v>-2.5499999999999998E-2</v>
      </c>
      <c r="T599" s="270"/>
    </row>
    <row r="600" spans="18:25" x14ac:dyDescent="0.35">
      <c r="R600" s="298" t="s">
        <v>127</v>
      </c>
      <c r="S600" s="270">
        <v>1.3</v>
      </c>
      <c r="T600" s="305"/>
    </row>
    <row r="601" spans="18:25" x14ac:dyDescent="0.35">
      <c r="R601" s="270"/>
      <c r="S601" s="270"/>
      <c r="T601" s="270"/>
    </row>
    <row r="604" spans="18:25" x14ac:dyDescent="0.35">
      <c r="Y604" s="270"/>
    </row>
    <row r="605" spans="18:25" x14ac:dyDescent="0.35">
      <c r="Y605" s="298"/>
    </row>
    <row r="606" spans="18:25" x14ac:dyDescent="0.35">
      <c r="Y606" s="298"/>
    </row>
    <row r="607" spans="18:25" x14ac:dyDescent="0.35">
      <c r="Y607" s="270"/>
    </row>
    <row r="608" spans="18:25" x14ac:dyDescent="0.35">
      <c r="Y608" s="270"/>
    </row>
    <row r="609" spans="25:25" x14ac:dyDescent="0.35">
      <c r="Y609" s="270"/>
    </row>
    <row r="610" spans="25:25" x14ac:dyDescent="0.35">
      <c r="Y610" s="270"/>
    </row>
    <row r="625" spans="18:24" ht="15" thickBot="1" x14ac:dyDescent="0.4">
      <c r="R625" s="261" t="s">
        <v>51</v>
      </c>
    </row>
    <row r="626" spans="18:24" x14ac:dyDescent="0.35">
      <c r="R626" s="267" t="s">
        <v>14</v>
      </c>
      <c r="S626" s="280">
        <v>1.1000000000000001</v>
      </c>
      <c r="T626" s="275"/>
      <c r="U626" s="275">
        <v>1.2</v>
      </c>
      <c r="V626" s="275"/>
      <c r="W626" s="275">
        <v>2.1</v>
      </c>
      <c r="X626" s="281">
        <v>2.5</v>
      </c>
    </row>
    <row r="627" spans="18:24" ht="15" thickBot="1" x14ac:dyDescent="0.4">
      <c r="R627" s="283" t="s">
        <v>15</v>
      </c>
      <c r="S627" s="284">
        <v>0</v>
      </c>
      <c r="T627" s="284">
        <v>0.28999999999999998</v>
      </c>
      <c r="U627" s="285">
        <v>0.3</v>
      </c>
      <c r="V627" s="285">
        <v>0.69</v>
      </c>
      <c r="W627" s="287">
        <v>0.7</v>
      </c>
      <c r="X627" s="288">
        <v>1</v>
      </c>
    </row>
    <row r="629" spans="18:24" x14ac:dyDescent="0.35">
      <c r="S629" s="297" t="s">
        <v>371</v>
      </c>
      <c r="T629" s="403"/>
    </row>
    <row r="630" spans="18:24" x14ac:dyDescent="0.35">
      <c r="S630" s="301" t="s">
        <v>126</v>
      </c>
      <c r="T630" s="301" t="s">
        <v>130</v>
      </c>
    </row>
    <row r="631" spans="18:24" x14ac:dyDescent="0.35">
      <c r="R631" s="310" t="s">
        <v>124</v>
      </c>
      <c r="S631" s="270"/>
      <c r="T631" s="270">
        <v>0.23499999999999999</v>
      </c>
    </row>
    <row r="632" spans="18:24" x14ac:dyDescent="0.35">
      <c r="R632" s="310" t="s">
        <v>125</v>
      </c>
      <c r="S632" s="270">
        <v>3</v>
      </c>
      <c r="T632" s="270">
        <v>-0.33119999999999999</v>
      </c>
    </row>
    <row r="633" spans="18:24" x14ac:dyDescent="0.35">
      <c r="R633" s="298" t="s">
        <v>127</v>
      </c>
      <c r="S633" s="270">
        <v>-3.3</v>
      </c>
      <c r="T633" s="270">
        <v>0.35899999999999999</v>
      </c>
    </row>
    <row r="634" spans="18:24" x14ac:dyDescent="0.35">
      <c r="R634" s="270"/>
      <c r="S634" s="270"/>
      <c r="T634" s="305"/>
    </row>
    <row r="635" spans="18:24" x14ac:dyDescent="0.35">
      <c r="R635" s="270"/>
      <c r="S635" s="270"/>
      <c r="T635" s="270"/>
    </row>
    <row r="641" spans="18:24" x14ac:dyDescent="0.35">
      <c r="R641" s="263"/>
    </row>
    <row r="642" spans="18:24" x14ac:dyDescent="0.35">
      <c r="R642" s="264"/>
    </row>
    <row r="643" spans="18:24" x14ac:dyDescent="0.35">
      <c r="R643" s="264"/>
    </row>
    <row r="644" spans="18:24" x14ac:dyDescent="0.35">
      <c r="R644" s="263"/>
    </row>
    <row r="645" spans="18:24" x14ac:dyDescent="0.35">
      <c r="R645" s="264"/>
    </row>
    <row r="646" spans="18:24" x14ac:dyDescent="0.35">
      <c r="R646" s="264"/>
    </row>
    <row r="647" spans="18:24" x14ac:dyDescent="0.35">
      <c r="R647" s="263"/>
    </row>
    <row r="648" spans="18:24" x14ac:dyDescent="0.35">
      <c r="R648" s="263"/>
    </row>
    <row r="649" spans="18:24" x14ac:dyDescent="0.35">
      <c r="R649" s="263"/>
    </row>
    <row r="650" spans="18:24" x14ac:dyDescent="0.35">
      <c r="R650" s="263"/>
    </row>
    <row r="651" spans="18:24" x14ac:dyDescent="0.35">
      <c r="R651" s="263"/>
    </row>
    <row r="652" spans="18:24" x14ac:dyDescent="0.35">
      <c r="R652" s="263"/>
    </row>
    <row r="653" spans="18:24" x14ac:dyDescent="0.35">
      <c r="R653" s="264"/>
    </row>
    <row r="654" spans="18:24" x14ac:dyDescent="0.35">
      <c r="R654" s="264"/>
    </row>
    <row r="655" spans="18:24" x14ac:dyDescent="0.35">
      <c r="R655" s="263"/>
      <c r="S655" s="263"/>
      <c r="T655" s="263"/>
      <c r="U655" s="263"/>
      <c r="V655" s="263"/>
      <c r="W655" s="263"/>
      <c r="X655" s="263"/>
    </row>
    <row r="656" spans="18:24" x14ac:dyDescent="0.35">
      <c r="R656" s="264"/>
      <c r="S656" s="264"/>
      <c r="T656" s="264"/>
      <c r="U656" s="264"/>
      <c r="V656" s="264"/>
      <c r="W656" s="264"/>
      <c r="X656" s="264"/>
    </row>
    <row r="657" spans="17:26" x14ac:dyDescent="0.35">
      <c r="R657" s="264"/>
    </row>
    <row r="658" spans="17:26" ht="15" thickBot="1" x14ac:dyDescent="0.4">
      <c r="R658" s="261" t="s">
        <v>229</v>
      </c>
      <c r="Z658" s="263"/>
    </row>
    <row r="659" spans="17:26" x14ac:dyDescent="0.35">
      <c r="R659" s="609" t="s">
        <v>14</v>
      </c>
      <c r="S659" s="336">
        <v>57.15</v>
      </c>
      <c r="T659" s="275"/>
      <c r="U659" s="275">
        <v>60</v>
      </c>
      <c r="V659" s="275"/>
      <c r="W659" s="312">
        <v>65</v>
      </c>
      <c r="X659" s="404">
        <v>73</v>
      </c>
      <c r="Z659" s="263"/>
    </row>
    <row r="660" spans="17:26" x14ac:dyDescent="0.35">
      <c r="R660" s="610"/>
      <c r="S660" s="291"/>
      <c r="T660" s="293"/>
      <c r="U660" s="293">
        <v>95</v>
      </c>
      <c r="V660" s="293"/>
      <c r="W660" s="264">
        <v>85</v>
      </c>
      <c r="X660" s="405">
        <v>80</v>
      </c>
    </row>
    <row r="661" spans="17:26" ht="15" thickBot="1" x14ac:dyDescent="0.4">
      <c r="R661" s="283" t="s">
        <v>15</v>
      </c>
      <c r="S661" s="284">
        <v>0</v>
      </c>
      <c r="T661" s="284">
        <v>0.28999999999999998</v>
      </c>
      <c r="U661" s="285">
        <v>0.3</v>
      </c>
      <c r="V661" s="285">
        <v>0.69</v>
      </c>
      <c r="W661" s="287">
        <v>0.7</v>
      </c>
      <c r="X661" s="288">
        <v>1</v>
      </c>
    </row>
    <row r="663" spans="17:26" x14ac:dyDescent="0.35">
      <c r="S663" s="297" t="s">
        <v>371</v>
      </c>
      <c r="T663" s="403"/>
    </row>
    <row r="664" spans="17:26" x14ac:dyDescent="0.35">
      <c r="S664" s="301" t="s">
        <v>227</v>
      </c>
      <c r="T664" s="301" t="s">
        <v>230</v>
      </c>
    </row>
    <row r="665" spans="17:26" x14ac:dyDescent="0.35">
      <c r="R665" s="310" t="s">
        <v>124</v>
      </c>
      <c r="S665" s="270">
        <v>-3.258E-3</v>
      </c>
      <c r="T665" s="270">
        <v>1.333E-3</v>
      </c>
    </row>
    <row r="666" spans="17:26" x14ac:dyDescent="0.35">
      <c r="R666" s="310" t="s">
        <v>125</v>
      </c>
      <c r="S666" s="270">
        <v>0.48711399999999999</v>
      </c>
      <c r="T666" s="270">
        <v>-0.28000000000000003</v>
      </c>
    </row>
    <row r="667" spans="17:26" x14ac:dyDescent="0.35">
      <c r="Q667" s="263"/>
      <c r="R667" s="298" t="s">
        <v>127</v>
      </c>
      <c r="S667" s="270">
        <v>-17.198260000000001</v>
      </c>
      <c r="T667" s="270">
        <v>14.866669999999999</v>
      </c>
    </row>
    <row r="668" spans="17:26" x14ac:dyDescent="0.35">
      <c r="Q668" s="263"/>
      <c r="R668" s="270"/>
      <c r="S668" s="270"/>
      <c r="T668" s="305"/>
    </row>
    <row r="669" spans="17:26" x14ac:dyDescent="0.35">
      <c r="Q669" s="263"/>
      <c r="R669" s="270"/>
      <c r="S669" s="270"/>
      <c r="T669" s="270"/>
    </row>
    <row r="670" spans="17:26" x14ac:dyDescent="0.35">
      <c r="Q670" s="263"/>
      <c r="R670" s="270"/>
      <c r="S670" s="270"/>
      <c r="T670" s="270"/>
    </row>
    <row r="671" spans="17:26" x14ac:dyDescent="0.35">
      <c r="Q671" s="263"/>
    </row>
    <row r="672" spans="17:26" x14ac:dyDescent="0.35">
      <c r="Q672" s="263"/>
      <c r="Y672" s="263"/>
    </row>
    <row r="673" spans="17:25" x14ac:dyDescent="0.35">
      <c r="Q673" s="263"/>
      <c r="Y673" s="263"/>
    </row>
    <row r="674" spans="17:25" x14ac:dyDescent="0.35">
      <c r="Q674" s="263"/>
      <c r="Y674" s="263"/>
    </row>
    <row r="675" spans="17:25" x14ac:dyDescent="0.35">
      <c r="Q675" s="263"/>
      <c r="Y675" s="263"/>
    </row>
    <row r="676" spans="17:25" x14ac:dyDescent="0.35">
      <c r="Q676" s="263"/>
      <c r="Y676" s="263"/>
    </row>
    <row r="677" spans="17:25" x14ac:dyDescent="0.35">
      <c r="Q677" s="264"/>
      <c r="Y677" s="263"/>
    </row>
    <row r="678" spans="17:25" x14ac:dyDescent="0.35">
      <c r="Q678" s="264"/>
      <c r="Y678" s="263"/>
    </row>
    <row r="679" spans="17:25" x14ac:dyDescent="0.35">
      <c r="Q679" s="263"/>
      <c r="Y679" s="263"/>
    </row>
    <row r="680" spans="17:25" x14ac:dyDescent="0.35">
      <c r="Q680" s="263"/>
      <c r="S680" s="263"/>
      <c r="T680" s="263"/>
      <c r="U680" s="263"/>
      <c r="V680" s="263"/>
      <c r="W680" s="263"/>
      <c r="X680" s="263"/>
      <c r="Y680" s="263"/>
    </row>
    <row r="681" spans="17:25" x14ac:dyDescent="0.35">
      <c r="Q681" s="263"/>
      <c r="S681" s="263"/>
      <c r="T681" s="263"/>
      <c r="U681" s="263"/>
      <c r="V681" s="263"/>
      <c r="W681" s="263"/>
      <c r="X681" s="263"/>
      <c r="Y681" s="263"/>
    </row>
    <row r="682" spans="17:25" x14ac:dyDescent="0.35">
      <c r="S682" s="264"/>
      <c r="T682" s="264"/>
      <c r="U682" s="264"/>
      <c r="V682" s="264"/>
      <c r="W682" s="264"/>
      <c r="X682" s="264"/>
      <c r="Y682" s="263"/>
    </row>
    <row r="683" spans="17:25" x14ac:dyDescent="0.35">
      <c r="Q683" s="263"/>
      <c r="S683" s="264"/>
      <c r="T683" s="264"/>
      <c r="U683" s="264"/>
      <c r="V683" s="264"/>
      <c r="W683" s="264"/>
      <c r="X683" s="264"/>
      <c r="Y683" s="263"/>
    </row>
    <row r="684" spans="17:25" x14ac:dyDescent="0.35">
      <c r="Q684" s="263"/>
      <c r="S684" s="263"/>
      <c r="T684" s="263"/>
      <c r="U684" s="263"/>
      <c r="V684" s="263"/>
      <c r="W684" s="263"/>
      <c r="X684" s="263"/>
      <c r="Y684" s="263"/>
    </row>
    <row r="685" spans="17:25" x14ac:dyDescent="0.35">
      <c r="Q685" s="263"/>
      <c r="S685" s="263"/>
      <c r="T685" s="263"/>
      <c r="U685" s="263"/>
      <c r="V685" s="263"/>
      <c r="W685" s="263"/>
      <c r="X685" s="263"/>
      <c r="Y685" s="263"/>
    </row>
    <row r="686" spans="17:25" x14ac:dyDescent="0.35">
      <c r="Q686" s="270"/>
      <c r="S686" s="263"/>
      <c r="T686" s="263"/>
      <c r="U686" s="263"/>
      <c r="V686" s="263"/>
      <c r="W686" s="263"/>
      <c r="X686" s="263"/>
    </row>
    <row r="687" spans="17:25" x14ac:dyDescent="0.35">
      <c r="Q687" s="270"/>
      <c r="S687" s="263"/>
      <c r="T687" s="263"/>
      <c r="U687" s="263"/>
      <c r="V687" s="263"/>
      <c r="W687" s="263"/>
      <c r="X687" s="263"/>
    </row>
    <row r="688" spans="17:25" x14ac:dyDescent="0.35">
      <c r="Q688" s="270"/>
      <c r="S688" s="264"/>
      <c r="T688" s="264"/>
      <c r="U688" s="264"/>
      <c r="V688" s="264"/>
      <c r="W688" s="264"/>
      <c r="X688" s="264"/>
    </row>
    <row r="689" spans="18:25" x14ac:dyDescent="0.35">
      <c r="S689" s="264"/>
      <c r="T689" s="264"/>
      <c r="U689" s="264"/>
      <c r="V689" s="264"/>
      <c r="W689" s="264"/>
      <c r="X689" s="264"/>
    </row>
    <row r="690" spans="18:25" x14ac:dyDescent="0.35">
      <c r="S690" s="263"/>
      <c r="T690" s="263"/>
      <c r="U690" s="263"/>
      <c r="V690" s="263"/>
      <c r="W690" s="263"/>
      <c r="X690" s="263"/>
    </row>
    <row r="691" spans="18:25" x14ac:dyDescent="0.35">
      <c r="S691" s="263"/>
      <c r="T691" s="263"/>
      <c r="U691" s="263"/>
      <c r="V691" s="263"/>
      <c r="W691" s="263"/>
      <c r="X691" s="263"/>
    </row>
    <row r="692" spans="18:25" ht="15" thickBot="1" x14ac:dyDescent="0.4">
      <c r="R692" s="261" t="s">
        <v>260</v>
      </c>
    </row>
    <row r="693" spans="18:25" x14ac:dyDescent="0.35">
      <c r="R693" s="609" t="s">
        <v>4</v>
      </c>
      <c r="S693" s="336">
        <v>36.882489392466439</v>
      </c>
      <c r="T693" s="275"/>
      <c r="U693" s="275">
        <v>40</v>
      </c>
      <c r="V693" s="312"/>
      <c r="W693" s="275">
        <v>45</v>
      </c>
      <c r="X693" s="276">
        <v>50</v>
      </c>
    </row>
    <row r="694" spans="18:25" x14ac:dyDescent="0.35">
      <c r="R694" s="610"/>
      <c r="S694" s="406">
        <v>73.122375394391796</v>
      </c>
      <c r="T694" s="293"/>
      <c r="U694" s="293">
        <v>70</v>
      </c>
      <c r="V694" s="293"/>
      <c r="W694" s="293">
        <v>65</v>
      </c>
      <c r="X694" s="398">
        <v>60</v>
      </c>
    </row>
    <row r="695" spans="18:25" ht="15" thickBot="1" x14ac:dyDescent="0.4">
      <c r="R695" s="283" t="s">
        <v>5</v>
      </c>
      <c r="S695" s="284">
        <v>0</v>
      </c>
      <c r="T695" s="284">
        <v>0.28999999999999998</v>
      </c>
      <c r="U695" s="285">
        <v>0.3</v>
      </c>
      <c r="V695" s="285">
        <v>0.69</v>
      </c>
      <c r="W695" s="287">
        <v>0.7</v>
      </c>
      <c r="X695" s="288">
        <v>1</v>
      </c>
    </row>
    <row r="697" spans="18:25" x14ac:dyDescent="0.35">
      <c r="S697" s="297" t="s">
        <v>371</v>
      </c>
      <c r="T697" s="294"/>
      <c r="Y697" s="263"/>
    </row>
    <row r="698" spans="18:25" x14ac:dyDescent="0.35">
      <c r="S698" s="270" t="s">
        <v>261</v>
      </c>
      <c r="T698" s="270" t="s">
        <v>262</v>
      </c>
      <c r="Y698" s="263"/>
    </row>
    <row r="699" spans="18:25" x14ac:dyDescent="0.35">
      <c r="R699" s="298" t="s">
        <v>124</v>
      </c>
      <c r="S699" s="270">
        <v>-2E-3</v>
      </c>
      <c r="T699" s="270">
        <v>-2E-3</v>
      </c>
      <c r="Y699" s="263"/>
    </row>
    <row r="700" spans="18:25" x14ac:dyDescent="0.35">
      <c r="R700" s="298" t="s">
        <v>125</v>
      </c>
      <c r="S700" s="270">
        <v>0.25</v>
      </c>
      <c r="T700" s="270">
        <v>0.19</v>
      </c>
      <c r="Y700" s="263"/>
    </row>
    <row r="701" spans="18:25" x14ac:dyDescent="0.35">
      <c r="R701" s="298" t="s">
        <v>127</v>
      </c>
      <c r="S701" s="270">
        <v>-6.5</v>
      </c>
      <c r="T701" s="305">
        <v>-3.2</v>
      </c>
      <c r="Y701" s="263"/>
    </row>
    <row r="702" spans="18:25" x14ac:dyDescent="0.35">
      <c r="R702" s="270"/>
      <c r="S702" s="270"/>
      <c r="T702" s="270"/>
      <c r="V702" s="270"/>
      <c r="W702" s="270"/>
      <c r="X702" s="270"/>
      <c r="Y702" s="264"/>
    </row>
    <row r="703" spans="18:25" x14ac:dyDescent="0.35">
      <c r="V703" s="270"/>
      <c r="W703" s="270"/>
      <c r="X703" s="270"/>
    </row>
    <row r="704" spans="18:25" x14ac:dyDescent="0.35">
      <c r="V704" s="270"/>
      <c r="W704" s="270"/>
      <c r="X704" s="270"/>
    </row>
    <row r="705" spans="22:24" x14ac:dyDescent="0.35">
      <c r="V705" s="270"/>
      <c r="W705" s="270"/>
      <c r="X705" s="270"/>
    </row>
    <row r="706" spans="22:24" x14ac:dyDescent="0.35">
      <c r="V706" s="270"/>
      <c r="W706" s="270"/>
      <c r="X706" s="270"/>
    </row>
    <row r="707" spans="22:24" x14ac:dyDescent="0.35">
      <c r="V707" s="270"/>
      <c r="W707" s="270"/>
      <c r="X707" s="270"/>
    </row>
    <row r="708" spans="22:24" x14ac:dyDescent="0.35">
      <c r="V708" s="270"/>
      <c r="W708" s="270"/>
      <c r="X708" s="270"/>
    </row>
    <row r="726" spans="18:26" x14ac:dyDescent="0.35">
      <c r="Z726" s="263"/>
    </row>
    <row r="727" spans="18:26" ht="15" thickBot="1" x14ac:dyDescent="0.4">
      <c r="R727" s="261" t="s">
        <v>263</v>
      </c>
      <c r="Z727" s="263"/>
    </row>
    <row r="728" spans="18:26" x14ac:dyDescent="0.35">
      <c r="R728" s="609" t="s">
        <v>14</v>
      </c>
      <c r="S728" s="407">
        <v>56.878703926764629</v>
      </c>
      <c r="T728" s="275"/>
      <c r="U728" s="275">
        <v>60</v>
      </c>
      <c r="V728" s="312"/>
      <c r="W728" s="275">
        <v>65</v>
      </c>
      <c r="X728" s="276">
        <v>70</v>
      </c>
      <c r="Z728" s="264"/>
    </row>
    <row r="729" spans="18:26" x14ac:dyDescent="0.35">
      <c r="R729" s="610"/>
      <c r="S729" s="408">
        <v>88.118019958893584</v>
      </c>
      <c r="T729" s="293"/>
      <c r="U729" s="293">
        <v>85</v>
      </c>
      <c r="V729" s="264"/>
      <c r="W729" s="293">
        <v>80</v>
      </c>
      <c r="X729" s="398">
        <v>76</v>
      </c>
      <c r="Z729" s="264"/>
    </row>
    <row r="730" spans="18:26" ht="15" thickBot="1" x14ac:dyDescent="0.4">
      <c r="R730" s="283" t="s">
        <v>15</v>
      </c>
      <c r="S730" s="284">
        <v>0</v>
      </c>
      <c r="T730" s="284">
        <v>0.28999999999999998</v>
      </c>
      <c r="U730" s="285">
        <v>0.3</v>
      </c>
      <c r="V730" s="285">
        <v>0.69</v>
      </c>
      <c r="W730" s="287">
        <v>0.7</v>
      </c>
      <c r="X730" s="288">
        <v>1</v>
      </c>
      <c r="Z730" s="263"/>
    </row>
    <row r="731" spans="18:26" x14ac:dyDescent="0.35">
      <c r="Z731" s="263"/>
    </row>
    <row r="732" spans="18:26" x14ac:dyDescent="0.35">
      <c r="S732" s="297" t="s">
        <v>371</v>
      </c>
      <c r="Z732" s="263"/>
    </row>
    <row r="733" spans="18:26" x14ac:dyDescent="0.35">
      <c r="S733" s="294" t="s">
        <v>227</v>
      </c>
      <c r="T733" s="261" t="s">
        <v>230</v>
      </c>
      <c r="Z733" s="263"/>
    </row>
    <row r="734" spans="18:26" x14ac:dyDescent="0.35">
      <c r="R734" s="310" t="s">
        <v>124</v>
      </c>
      <c r="S734" s="270">
        <v>-2E-3</v>
      </c>
      <c r="T734" s="270">
        <v>-1.158E-3</v>
      </c>
      <c r="Z734" s="264"/>
    </row>
    <row r="735" spans="18:26" x14ac:dyDescent="0.35">
      <c r="R735" s="310" t="s">
        <v>125</v>
      </c>
      <c r="S735" s="270">
        <v>0.32929999999999998</v>
      </c>
      <c r="T735" s="270">
        <v>0.108109</v>
      </c>
      <c r="V735" s="333"/>
      <c r="W735" s="333"/>
      <c r="Z735" s="264"/>
    </row>
    <row r="736" spans="18:26" x14ac:dyDescent="0.35">
      <c r="R736" s="298" t="s">
        <v>127</v>
      </c>
      <c r="S736" s="270">
        <v>-12.276</v>
      </c>
      <c r="T736" s="270">
        <v>-0.52814300000000003</v>
      </c>
      <c r="Z736" s="263"/>
    </row>
    <row r="737" spans="18:26" x14ac:dyDescent="0.35">
      <c r="R737" s="270"/>
      <c r="S737" s="270"/>
      <c r="T737" s="305"/>
      <c r="U737" s="303"/>
      <c r="Z737" s="263"/>
    </row>
    <row r="738" spans="18:26" x14ac:dyDescent="0.35">
      <c r="R738" s="270"/>
      <c r="S738" s="270"/>
      <c r="T738" s="305"/>
      <c r="Z738" s="263"/>
    </row>
    <row r="739" spans="18:26" x14ac:dyDescent="0.35">
      <c r="Z739" s="263"/>
    </row>
    <row r="740" spans="18:26" x14ac:dyDescent="0.35">
      <c r="Z740" s="264"/>
    </row>
    <row r="741" spans="18:26" x14ac:dyDescent="0.35">
      <c r="Z741" s="264"/>
    </row>
    <row r="742" spans="18:26" x14ac:dyDescent="0.35">
      <c r="Z742" s="263"/>
    </row>
    <row r="743" spans="18:26" x14ac:dyDescent="0.35">
      <c r="Z743" s="263"/>
    </row>
    <row r="744" spans="18:26" x14ac:dyDescent="0.35">
      <c r="Z744" s="263"/>
    </row>
    <row r="745" spans="18:26" x14ac:dyDescent="0.35">
      <c r="Z745" s="263"/>
    </row>
    <row r="746" spans="18:26" x14ac:dyDescent="0.35">
      <c r="Z746" s="263"/>
    </row>
    <row r="747" spans="18:26" x14ac:dyDescent="0.35">
      <c r="Z747" s="263"/>
    </row>
    <row r="748" spans="18:26" x14ac:dyDescent="0.35">
      <c r="Z748" s="263"/>
    </row>
    <row r="749" spans="18:26" x14ac:dyDescent="0.35">
      <c r="Z749" s="263"/>
    </row>
    <row r="750" spans="18:26" x14ac:dyDescent="0.35">
      <c r="Z750" s="263"/>
    </row>
    <row r="751" spans="18:26" x14ac:dyDescent="0.35">
      <c r="Z751" s="263"/>
    </row>
    <row r="752" spans="18:26" x14ac:dyDescent="0.35">
      <c r="Z752" s="263"/>
    </row>
    <row r="753" spans="18:26" x14ac:dyDescent="0.35">
      <c r="Z753" s="263"/>
    </row>
    <row r="757" spans="18:26" x14ac:dyDescent="0.35">
      <c r="Z757" s="263"/>
    </row>
    <row r="758" spans="18:26" x14ac:dyDescent="0.35">
      <c r="Z758" s="263"/>
    </row>
    <row r="760" spans="18:26" x14ac:dyDescent="0.35">
      <c r="Z760" s="270"/>
    </row>
    <row r="761" spans="18:26" ht="15" thickBot="1" x14ac:dyDescent="0.4">
      <c r="R761" s="261" t="s">
        <v>248</v>
      </c>
      <c r="Z761" s="270"/>
    </row>
    <row r="762" spans="18:26" x14ac:dyDescent="0.35">
      <c r="R762" s="267" t="s">
        <v>14</v>
      </c>
      <c r="S762" s="275">
        <v>1.6</v>
      </c>
      <c r="T762" s="275"/>
      <c r="U762" s="275">
        <v>1.4</v>
      </c>
      <c r="V762" s="275">
        <v>1.2</v>
      </c>
      <c r="W762" s="275"/>
      <c r="X762" s="276">
        <v>1</v>
      </c>
    </row>
    <row r="763" spans="18:26" ht="15" thickBot="1" x14ac:dyDescent="0.4">
      <c r="R763" s="283" t="s">
        <v>15</v>
      </c>
      <c r="S763" s="284">
        <v>0</v>
      </c>
      <c r="T763" s="284">
        <v>0.28999999999999998</v>
      </c>
      <c r="U763" s="285">
        <v>0.3</v>
      </c>
      <c r="V763" s="285">
        <v>0.69</v>
      </c>
      <c r="W763" s="287">
        <v>0.7</v>
      </c>
      <c r="X763" s="288">
        <v>1</v>
      </c>
    </row>
    <row r="765" spans="18:26" x14ac:dyDescent="0.35">
      <c r="S765" s="261" t="s">
        <v>258</v>
      </c>
      <c r="Y765" s="409"/>
    </row>
    <row r="766" spans="18:26" x14ac:dyDescent="0.35">
      <c r="R766" s="310" t="s">
        <v>124</v>
      </c>
      <c r="S766" s="270">
        <v>3.5417000000000001</v>
      </c>
      <c r="T766" s="270"/>
      <c r="Y766" s="409"/>
    </row>
    <row r="767" spans="18:26" x14ac:dyDescent="0.35">
      <c r="R767" s="310" t="s">
        <v>125</v>
      </c>
      <c r="S767" s="270">
        <v>-13.75</v>
      </c>
      <c r="T767" s="270"/>
    </row>
    <row r="768" spans="18:26" x14ac:dyDescent="0.35">
      <c r="R768" s="298" t="s">
        <v>127</v>
      </c>
      <c r="S768" s="270">
        <v>15.808</v>
      </c>
      <c r="T768" s="270"/>
    </row>
    <row r="769" spans="18:20" x14ac:dyDescent="0.35">
      <c r="R769" s="298" t="s">
        <v>128</v>
      </c>
      <c r="S769" s="270">
        <v>-4.5999999999999996</v>
      </c>
      <c r="T769" s="305"/>
    </row>
    <row r="770" spans="18:20" x14ac:dyDescent="0.35">
      <c r="R770" s="270"/>
      <c r="S770" s="270"/>
      <c r="T770" s="270"/>
    </row>
    <row r="776" spans="18:20" x14ac:dyDescent="0.35">
      <c r="R776" s="263"/>
    </row>
    <row r="795" spans="18:24" ht="15" thickBot="1" x14ac:dyDescent="0.4">
      <c r="R795" s="261" t="s">
        <v>393</v>
      </c>
    </row>
    <row r="796" spans="18:24" x14ac:dyDescent="0.35">
      <c r="R796" s="609" t="s">
        <v>14</v>
      </c>
      <c r="S796" s="275"/>
      <c r="T796" s="275"/>
      <c r="U796" s="275">
        <v>1.2</v>
      </c>
      <c r="V796" s="275"/>
      <c r="W796" s="275">
        <v>1.3</v>
      </c>
      <c r="X796" s="276">
        <v>1.6</v>
      </c>
    </row>
    <row r="797" spans="18:24" x14ac:dyDescent="0.35">
      <c r="R797" s="610"/>
      <c r="S797" s="293"/>
      <c r="T797" s="293"/>
      <c r="U797" s="293">
        <v>2</v>
      </c>
      <c r="V797" s="293"/>
      <c r="W797" s="293">
        <v>1.8</v>
      </c>
      <c r="X797" s="398">
        <v>1.7</v>
      </c>
    </row>
    <row r="798" spans="18:24" ht="15" thickBot="1" x14ac:dyDescent="0.4">
      <c r="R798" s="283" t="s">
        <v>15</v>
      </c>
      <c r="S798" s="284">
        <v>0</v>
      </c>
      <c r="T798" s="284">
        <v>0.28999999999999998</v>
      </c>
      <c r="U798" s="285">
        <v>0.3</v>
      </c>
      <c r="V798" s="285">
        <v>0.69</v>
      </c>
      <c r="W798" s="287">
        <v>0.7</v>
      </c>
      <c r="X798" s="288">
        <v>1</v>
      </c>
    </row>
    <row r="800" spans="18:24" x14ac:dyDescent="0.35">
      <c r="R800" s="270"/>
      <c r="S800" s="297" t="s">
        <v>371</v>
      </c>
      <c r="T800" s="330"/>
      <c r="U800" s="330"/>
    </row>
    <row r="801" spans="18:24" x14ac:dyDescent="0.35">
      <c r="S801" s="298" t="s">
        <v>390</v>
      </c>
      <c r="T801" s="298" t="s">
        <v>391</v>
      </c>
      <c r="U801" s="301" t="s">
        <v>392</v>
      </c>
    </row>
    <row r="802" spans="18:24" x14ac:dyDescent="0.35">
      <c r="R802" s="298" t="s">
        <v>124</v>
      </c>
      <c r="S802" s="270"/>
      <c r="T802" s="270"/>
      <c r="U802" s="261">
        <v>3.3330000000000002</v>
      </c>
    </row>
    <row r="803" spans="18:24" x14ac:dyDescent="0.35">
      <c r="R803" s="298" t="s">
        <v>125</v>
      </c>
      <c r="S803" s="270">
        <v>4</v>
      </c>
      <c r="T803" s="270">
        <v>1</v>
      </c>
      <c r="U803" s="261">
        <v>-14.667</v>
      </c>
    </row>
    <row r="804" spans="18:24" x14ac:dyDescent="0.35">
      <c r="R804" s="298" t="s">
        <v>127</v>
      </c>
      <c r="S804" s="270">
        <v>-4.5</v>
      </c>
      <c r="T804" s="305">
        <v>-0.6</v>
      </c>
      <c r="U804" s="261">
        <v>16.3</v>
      </c>
    </row>
    <row r="805" spans="18:24" x14ac:dyDescent="0.35">
      <c r="S805" s="263"/>
      <c r="T805" s="263"/>
      <c r="U805" s="263"/>
      <c r="V805" s="263"/>
      <c r="W805" s="263"/>
      <c r="X805" s="263"/>
    </row>
    <row r="806" spans="18:24" x14ac:dyDescent="0.35">
      <c r="S806" s="263"/>
      <c r="T806" s="263"/>
      <c r="U806" s="263"/>
      <c r="V806" s="263"/>
      <c r="W806" s="263"/>
      <c r="X806" s="263"/>
    </row>
    <row r="807" spans="18:24" x14ac:dyDescent="0.35">
      <c r="S807" s="263"/>
      <c r="T807" s="263"/>
      <c r="U807" s="263"/>
      <c r="V807" s="263"/>
      <c r="W807" s="263"/>
      <c r="X807" s="263"/>
    </row>
    <row r="808" spans="18:24" x14ac:dyDescent="0.35">
      <c r="S808" s="263"/>
      <c r="T808" s="263"/>
      <c r="U808" s="263"/>
      <c r="V808" s="263"/>
      <c r="W808" s="263"/>
      <c r="X808" s="263"/>
    </row>
    <row r="809" spans="18:24" x14ac:dyDescent="0.35">
      <c r="S809" s="263"/>
      <c r="T809" s="263"/>
      <c r="U809" s="263"/>
      <c r="V809" s="263"/>
      <c r="W809" s="263"/>
      <c r="X809" s="263"/>
    </row>
    <row r="810" spans="18:24" x14ac:dyDescent="0.35">
      <c r="S810" s="263"/>
      <c r="T810" s="263"/>
      <c r="U810" s="263"/>
      <c r="V810" s="263"/>
      <c r="W810" s="263"/>
      <c r="X810" s="263"/>
    </row>
    <row r="811" spans="18:24" x14ac:dyDescent="0.35">
      <c r="S811" s="263"/>
      <c r="T811" s="263"/>
      <c r="U811" s="263"/>
      <c r="V811" s="263"/>
      <c r="W811" s="263"/>
      <c r="X811" s="263"/>
    </row>
    <row r="812" spans="18:24" x14ac:dyDescent="0.35">
      <c r="S812" s="263"/>
      <c r="T812" s="263"/>
      <c r="U812" s="263"/>
      <c r="V812" s="263"/>
      <c r="W812" s="263"/>
      <c r="X812" s="263"/>
    </row>
    <row r="813" spans="18:24" x14ac:dyDescent="0.35">
      <c r="S813" s="263"/>
      <c r="T813" s="263"/>
      <c r="U813" s="263"/>
      <c r="V813" s="263"/>
      <c r="W813" s="263"/>
      <c r="X813" s="263"/>
    </row>
    <row r="814" spans="18:24" x14ac:dyDescent="0.35">
      <c r="S814" s="263"/>
      <c r="T814" s="263"/>
      <c r="U814" s="263"/>
      <c r="V814" s="263"/>
      <c r="W814" s="263"/>
      <c r="X814" s="263"/>
    </row>
    <row r="815" spans="18:24" x14ac:dyDescent="0.35">
      <c r="S815" s="263"/>
      <c r="T815" s="263"/>
      <c r="U815" s="263"/>
      <c r="V815" s="263"/>
      <c r="W815" s="263"/>
      <c r="X815" s="263"/>
    </row>
    <row r="816" spans="18:24" x14ac:dyDescent="0.35">
      <c r="S816" s="263"/>
      <c r="T816" s="263"/>
      <c r="U816" s="263"/>
      <c r="V816" s="263"/>
      <c r="W816" s="263"/>
      <c r="X816" s="263"/>
    </row>
    <row r="817" spans="18:24" x14ac:dyDescent="0.35">
      <c r="S817" s="263"/>
      <c r="T817" s="263"/>
      <c r="U817" s="263"/>
      <c r="V817" s="263"/>
      <c r="W817" s="263"/>
      <c r="X817" s="263"/>
    </row>
    <row r="818" spans="18:24" x14ac:dyDescent="0.35">
      <c r="S818" s="263"/>
      <c r="T818" s="263"/>
      <c r="U818" s="263"/>
      <c r="V818" s="263"/>
      <c r="W818" s="263"/>
      <c r="X818" s="263"/>
    </row>
    <row r="829" spans="18:24" ht="15" thickBot="1" x14ac:dyDescent="0.4">
      <c r="R829" s="261" t="s">
        <v>396</v>
      </c>
    </row>
    <row r="830" spans="18:24" x14ac:dyDescent="0.35">
      <c r="R830" s="609" t="s">
        <v>14</v>
      </c>
      <c r="S830" s="275"/>
      <c r="T830" s="275"/>
      <c r="U830" s="275">
        <v>1.1499999999999999</v>
      </c>
      <c r="V830" s="275"/>
      <c r="W830" s="275">
        <v>1.2</v>
      </c>
      <c r="X830" s="276">
        <v>1.25</v>
      </c>
    </row>
    <row r="831" spans="18:24" x14ac:dyDescent="0.35">
      <c r="R831" s="610"/>
      <c r="S831" s="293"/>
      <c r="T831" s="293"/>
      <c r="U831" s="293">
        <v>1.5</v>
      </c>
      <c r="V831" s="264"/>
      <c r="W831" s="264">
        <v>1.4</v>
      </c>
      <c r="X831" s="398">
        <v>1.35</v>
      </c>
    </row>
    <row r="832" spans="18:24" ht="15" thickBot="1" x14ac:dyDescent="0.4">
      <c r="R832" s="283" t="s">
        <v>15</v>
      </c>
      <c r="S832" s="284">
        <v>0</v>
      </c>
      <c r="T832" s="284">
        <v>0.2</v>
      </c>
      <c r="U832" s="285">
        <v>0.3</v>
      </c>
      <c r="V832" s="285">
        <v>0.69</v>
      </c>
      <c r="W832" s="287">
        <v>0.7</v>
      </c>
      <c r="X832" s="288">
        <v>1</v>
      </c>
    </row>
    <row r="834" spans="18:20" x14ac:dyDescent="0.35">
      <c r="R834" s="270"/>
      <c r="S834" s="297" t="s">
        <v>371</v>
      </c>
      <c r="T834" s="338"/>
    </row>
    <row r="835" spans="18:20" x14ac:dyDescent="0.35">
      <c r="R835" s="270"/>
      <c r="S835" s="298" t="s">
        <v>394</v>
      </c>
      <c r="T835" s="298" t="s">
        <v>395</v>
      </c>
    </row>
    <row r="836" spans="18:20" x14ac:dyDescent="0.35">
      <c r="R836" s="298" t="s">
        <v>124</v>
      </c>
      <c r="S836" s="270">
        <v>-20</v>
      </c>
      <c r="T836" s="270">
        <v>13.333</v>
      </c>
    </row>
    <row r="837" spans="18:20" x14ac:dyDescent="0.35">
      <c r="R837" s="298" t="s">
        <v>125</v>
      </c>
      <c r="S837" s="270">
        <v>55</v>
      </c>
      <c r="T837" s="270">
        <v>-42.667000000000002</v>
      </c>
    </row>
    <row r="838" spans="18:20" x14ac:dyDescent="0.35">
      <c r="R838" s="310" t="s">
        <v>127</v>
      </c>
      <c r="S838" s="270">
        <v>-36.5</v>
      </c>
      <c r="T838" s="270">
        <v>34.299999999999997</v>
      </c>
    </row>
    <row r="839" spans="18:20" x14ac:dyDescent="0.35">
      <c r="R839" s="270"/>
      <c r="S839" s="270"/>
      <c r="T839" s="305"/>
    </row>
    <row r="840" spans="18:20" x14ac:dyDescent="0.35">
      <c r="R840" s="270"/>
      <c r="S840" s="270"/>
      <c r="T840" s="270"/>
    </row>
    <row r="841" spans="18:20" x14ac:dyDescent="0.35">
      <c r="S841" s="263"/>
    </row>
    <row r="854" spans="18:24" ht="18.649999999999999" customHeight="1" x14ac:dyDescent="0.35"/>
    <row r="855" spans="18:24" ht="23.4" customHeight="1" x14ac:dyDescent="0.35"/>
    <row r="856" spans="18:24" ht="20.399999999999999" customHeight="1" x14ac:dyDescent="0.35"/>
    <row r="860" spans="18:24" ht="15" thickBot="1" x14ac:dyDescent="0.4">
      <c r="R860" s="261" t="s">
        <v>397</v>
      </c>
    </row>
    <row r="861" spans="18:24" x14ac:dyDescent="0.35">
      <c r="R861" s="609" t="s">
        <v>14</v>
      </c>
      <c r="S861" s="275"/>
      <c r="T861" s="275"/>
      <c r="U861" s="275">
        <v>1</v>
      </c>
      <c r="V861" s="275"/>
      <c r="W861" s="275">
        <v>1.1000000000000001</v>
      </c>
      <c r="X861" s="276">
        <v>1.1499999999999999</v>
      </c>
    </row>
    <row r="862" spans="18:24" x14ac:dyDescent="0.35">
      <c r="R862" s="610"/>
      <c r="S862" s="293"/>
      <c r="T862" s="293"/>
      <c r="U862" s="293">
        <v>1.4</v>
      </c>
      <c r="V862" s="293"/>
      <c r="W862" s="293">
        <v>1.3</v>
      </c>
      <c r="X862" s="335">
        <v>1.25</v>
      </c>
    </row>
    <row r="863" spans="18:24" ht="15" thickBot="1" x14ac:dyDescent="0.4">
      <c r="R863" s="283" t="s">
        <v>15</v>
      </c>
      <c r="S863" s="284">
        <v>0</v>
      </c>
      <c r="T863" s="284">
        <v>0.2</v>
      </c>
      <c r="U863" s="285">
        <v>0.3</v>
      </c>
      <c r="V863" s="285">
        <v>0.69</v>
      </c>
      <c r="W863" s="287">
        <v>0.7</v>
      </c>
      <c r="X863" s="288">
        <v>1</v>
      </c>
    </row>
    <row r="865" spans="18:24" x14ac:dyDescent="0.35">
      <c r="R865" s="270"/>
      <c r="S865" s="338" t="s">
        <v>219</v>
      </c>
      <c r="T865" s="338"/>
    </row>
    <row r="866" spans="18:24" x14ac:dyDescent="0.35">
      <c r="R866" s="270"/>
      <c r="S866" s="270" t="s">
        <v>227</v>
      </c>
      <c r="T866" s="270" t="s">
        <v>228</v>
      </c>
    </row>
    <row r="867" spans="18:24" x14ac:dyDescent="0.35">
      <c r="R867" s="298" t="s">
        <v>124</v>
      </c>
      <c r="S867" s="270">
        <v>13.333</v>
      </c>
      <c r="T867" s="270">
        <v>13.333</v>
      </c>
    </row>
    <row r="868" spans="18:24" x14ac:dyDescent="0.35">
      <c r="R868" s="298" t="s">
        <v>125</v>
      </c>
      <c r="S868" s="270">
        <v>-24</v>
      </c>
      <c r="T868" s="270">
        <v>-40</v>
      </c>
    </row>
    <row r="869" spans="18:24" x14ac:dyDescent="0.35">
      <c r="R869" s="298" t="s">
        <v>127</v>
      </c>
      <c r="S869" s="270">
        <v>10.967000000000001</v>
      </c>
      <c r="T869" s="305">
        <v>30.167000000000002</v>
      </c>
    </row>
    <row r="870" spans="18:24" x14ac:dyDescent="0.35">
      <c r="S870" s="263"/>
      <c r="T870" s="263"/>
      <c r="U870" s="263"/>
      <c r="V870" s="263"/>
      <c r="W870" s="263"/>
      <c r="X870" s="263"/>
    </row>
    <row r="871" spans="18:24" x14ac:dyDescent="0.35">
      <c r="S871" s="263"/>
      <c r="T871" s="263"/>
      <c r="U871" s="263"/>
      <c r="V871" s="263"/>
      <c r="W871" s="263"/>
      <c r="X871" s="263"/>
    </row>
    <row r="872" spans="18:24" x14ac:dyDescent="0.35">
      <c r="S872" s="263"/>
      <c r="T872" s="263"/>
      <c r="U872" s="263"/>
      <c r="V872" s="263"/>
      <c r="W872" s="263"/>
      <c r="X872" s="263"/>
    </row>
    <row r="873" spans="18:24" x14ac:dyDescent="0.35">
      <c r="S873" s="263"/>
      <c r="T873" s="263"/>
      <c r="U873" s="263"/>
      <c r="V873" s="263"/>
      <c r="W873" s="263"/>
      <c r="X873" s="263"/>
    </row>
    <row r="874" spans="18:24" x14ac:dyDescent="0.35">
      <c r="S874" s="263"/>
      <c r="T874" s="263"/>
      <c r="U874" s="263"/>
      <c r="V874" s="263"/>
      <c r="W874" s="263"/>
      <c r="X874" s="263"/>
    </row>
    <row r="875" spans="18:24" x14ac:dyDescent="0.35">
      <c r="S875" s="263"/>
      <c r="T875" s="263"/>
      <c r="U875" s="263"/>
      <c r="V875" s="263"/>
      <c r="W875" s="263"/>
      <c r="X875" s="263"/>
    </row>
    <row r="876" spans="18:24" x14ac:dyDescent="0.35">
      <c r="S876" s="263"/>
      <c r="T876" s="263"/>
      <c r="U876" s="263"/>
      <c r="V876" s="263"/>
      <c r="W876" s="263"/>
      <c r="X876" s="263"/>
    </row>
    <row r="877" spans="18:24" x14ac:dyDescent="0.35">
      <c r="S877" s="263"/>
      <c r="T877" s="263"/>
      <c r="U877" s="263"/>
      <c r="V877" s="263"/>
      <c r="W877" s="263"/>
      <c r="X877" s="263"/>
    </row>
    <row r="878" spans="18:24" x14ac:dyDescent="0.35">
      <c r="S878" s="263"/>
      <c r="T878" s="263"/>
      <c r="U878" s="263"/>
      <c r="V878" s="263"/>
      <c r="W878" s="263"/>
      <c r="X878" s="263"/>
    </row>
    <row r="879" spans="18:24" x14ac:dyDescent="0.35">
      <c r="S879" s="263"/>
      <c r="T879" s="263"/>
      <c r="U879" s="263"/>
      <c r="V879" s="263"/>
      <c r="W879" s="263"/>
      <c r="X879" s="263"/>
    </row>
    <row r="880" spans="18:24" x14ac:dyDescent="0.35">
      <c r="S880" s="263"/>
      <c r="T880" s="263"/>
      <c r="U880" s="263"/>
      <c r="V880" s="263"/>
      <c r="W880" s="263"/>
      <c r="X880" s="263"/>
    </row>
    <row r="881" spans="19:24" x14ac:dyDescent="0.35">
      <c r="S881" s="263"/>
      <c r="T881" s="263"/>
      <c r="U881" s="263"/>
      <c r="V881" s="263"/>
      <c r="W881" s="263"/>
      <c r="X881" s="263"/>
    </row>
    <row r="882" spans="19:24" x14ac:dyDescent="0.35">
      <c r="S882" s="263"/>
      <c r="T882" s="263"/>
      <c r="U882" s="263"/>
      <c r="V882" s="263"/>
      <c r="W882" s="263"/>
      <c r="X882" s="263"/>
    </row>
    <row r="883" spans="19:24" x14ac:dyDescent="0.35">
      <c r="S883" s="263"/>
      <c r="T883" s="263"/>
      <c r="U883" s="263"/>
      <c r="V883" s="263"/>
      <c r="W883" s="263"/>
      <c r="X883" s="263"/>
    </row>
    <row r="1000" spans="26:26" x14ac:dyDescent="0.35">
      <c r="Z1000" s="263"/>
    </row>
    <row r="1001" spans="26:26" x14ac:dyDescent="0.35">
      <c r="Z1001" s="263"/>
    </row>
    <row r="1002" spans="26:26" x14ac:dyDescent="0.35">
      <c r="Z1002" s="263"/>
    </row>
    <row r="1003" spans="26:26" x14ac:dyDescent="0.35">
      <c r="Z1003" s="263"/>
    </row>
    <row r="1004" spans="26:26" x14ac:dyDescent="0.35">
      <c r="Z1004" s="263"/>
    </row>
    <row r="1005" spans="26:26" x14ac:dyDescent="0.35">
      <c r="Z1005" s="263"/>
    </row>
    <row r="1006" spans="26:26" x14ac:dyDescent="0.35">
      <c r="Z1006" s="263"/>
    </row>
    <row r="1007" spans="26:26" x14ac:dyDescent="0.35">
      <c r="Z1007" s="263"/>
    </row>
    <row r="1008" spans="26:26" x14ac:dyDescent="0.35">
      <c r="Z1008" s="263"/>
    </row>
    <row r="1009" spans="26:26" x14ac:dyDescent="0.35">
      <c r="Z1009" s="263"/>
    </row>
    <row r="1010" spans="26:26" x14ac:dyDescent="0.35">
      <c r="Z1010" s="263"/>
    </row>
    <row r="1011" spans="26:26" x14ac:dyDescent="0.35">
      <c r="Z1011" s="263"/>
    </row>
    <row r="1012" spans="26:26" x14ac:dyDescent="0.35">
      <c r="Z1012" s="263"/>
    </row>
  </sheetData>
  <sheetProtection algorithmName="SHA-512" hashValue="ov7eaHyhpkd54XJ6nvJ/fk4WtmhkgalhBpVWYiMNLtk/Zu4us/y6l+MeO+x6gwzTwF/o3bPqW7C64tTlfAf6Qw==" saltValue="5glvLt+UClNSE3Rc1SCXOQ==" spinCount="100000" sheet="1" objects="1" scenarios="1"/>
  <mergeCells count="16">
    <mergeCell ref="AJ5:AP6"/>
    <mergeCell ref="AA5:AH6"/>
    <mergeCell ref="B5:H6"/>
    <mergeCell ref="R5:Y6"/>
    <mergeCell ref="R254:R255"/>
    <mergeCell ref="R861:R862"/>
    <mergeCell ref="R287:R288"/>
    <mergeCell ref="J5:P6"/>
    <mergeCell ref="B114:B115"/>
    <mergeCell ref="R830:R831"/>
    <mergeCell ref="R659:R660"/>
    <mergeCell ref="R693:R694"/>
    <mergeCell ref="R796:R797"/>
    <mergeCell ref="R728:R729"/>
    <mergeCell ref="R494:R495"/>
    <mergeCell ref="R528:R529"/>
  </mergeCells>
  <printOptions gridLines="1"/>
  <pageMargins left="0.7" right="0.7" top="0.75" bottom="0.75" header="0.3" footer="0.3"/>
  <pageSetup scale="20" fitToWidth="3" fitToHeight="0" orientation="portrait" r:id="rId1"/>
  <rowBreaks count="5" manualBreakCount="5">
    <brk id="166" max="16383" man="1"/>
    <brk id="210" max="16383" man="1"/>
    <brk id="361" max="16383" man="1"/>
    <brk id="518" max="16383" man="1"/>
    <brk id="677" max="16383" man="1"/>
  </rowBreaks>
  <colBreaks count="2" manualBreakCount="2">
    <brk id="16" max="1048575" man="1"/>
    <brk id="3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4"/>
  <sheetViews>
    <sheetView topLeftCell="A112" workbookViewId="0">
      <selection activeCell="B61" sqref="B61:B71"/>
    </sheetView>
  </sheetViews>
  <sheetFormatPr defaultRowHeight="14.5" x14ac:dyDescent="0.35"/>
  <cols>
    <col min="1" max="1" width="8.90625" style="4"/>
    <col min="2" max="2" width="15.54296875" customWidth="1"/>
  </cols>
  <sheetData>
    <row r="1" spans="1:2" s="3" customFormat="1" x14ac:dyDescent="0.35">
      <c r="A1" s="4" t="s">
        <v>190</v>
      </c>
      <c r="B1" s="4"/>
    </row>
    <row r="2" spans="1:2" x14ac:dyDescent="0.35">
      <c r="B2" s="3" t="s">
        <v>20</v>
      </c>
    </row>
    <row r="3" spans="1:2" s="3" customFormat="1" x14ac:dyDescent="0.35">
      <c r="A3" s="4"/>
      <c r="B3" s="3" t="s">
        <v>222</v>
      </c>
    </row>
    <row r="4" spans="1:2" x14ac:dyDescent="0.35">
      <c r="B4" t="s">
        <v>12</v>
      </c>
    </row>
    <row r="5" spans="1:2" x14ac:dyDescent="0.35">
      <c r="B5" t="s">
        <v>13</v>
      </c>
    </row>
    <row r="6" spans="1:2" x14ac:dyDescent="0.35">
      <c r="B6" t="s">
        <v>10</v>
      </c>
    </row>
    <row r="7" spans="1:2" s="3" customFormat="1" x14ac:dyDescent="0.35">
      <c r="A7" s="4"/>
      <c r="B7" s="3" t="s">
        <v>223</v>
      </c>
    </row>
    <row r="8" spans="1:2" x14ac:dyDescent="0.35">
      <c r="B8" t="s">
        <v>11</v>
      </c>
    </row>
    <row r="9" spans="1:2" s="3" customFormat="1" x14ac:dyDescent="0.35">
      <c r="A9" s="4"/>
      <c r="B9" s="3" t="s">
        <v>96</v>
      </c>
    </row>
    <row r="10" spans="1:2" s="3" customFormat="1" x14ac:dyDescent="0.35">
      <c r="A10" s="4"/>
      <c r="B10" s="3" t="s">
        <v>97</v>
      </c>
    </row>
    <row r="11" spans="1:2" s="3" customFormat="1" x14ac:dyDescent="0.35">
      <c r="A11" s="4"/>
      <c r="B11" s="3" t="s">
        <v>103</v>
      </c>
    </row>
    <row r="13" spans="1:2" x14ac:dyDescent="0.35">
      <c r="A13" s="4" t="s">
        <v>191</v>
      </c>
      <c r="B13" s="4"/>
    </row>
    <row r="14" spans="1:2" x14ac:dyDescent="0.35">
      <c r="B14" t="s">
        <v>21</v>
      </c>
    </row>
    <row r="15" spans="1:2" x14ac:dyDescent="0.35">
      <c r="B15" t="s">
        <v>259</v>
      </c>
    </row>
    <row r="16" spans="1:2" s="3" customFormat="1" x14ac:dyDescent="0.35">
      <c r="A16" s="4"/>
    </row>
    <row r="17" spans="1:2" s="3" customFormat="1" x14ac:dyDescent="0.35">
      <c r="A17" s="4" t="s">
        <v>192</v>
      </c>
      <c r="B17" s="4"/>
    </row>
    <row r="18" spans="1:2" x14ac:dyDescent="0.35">
      <c r="B18" t="s">
        <v>25</v>
      </c>
    </row>
    <row r="19" spans="1:2" x14ac:dyDescent="0.35">
      <c r="B19" t="s">
        <v>26</v>
      </c>
    </row>
    <row r="20" spans="1:2" x14ac:dyDescent="0.35">
      <c r="B20" t="s">
        <v>27</v>
      </c>
    </row>
    <row r="21" spans="1:2" x14ac:dyDescent="0.35">
      <c r="B21" t="s">
        <v>28</v>
      </c>
    </row>
    <row r="22" spans="1:2" x14ac:dyDescent="0.35">
      <c r="B22" t="s">
        <v>29</v>
      </c>
    </row>
    <row r="23" spans="1:2" x14ac:dyDescent="0.35">
      <c r="B23" t="s">
        <v>34</v>
      </c>
    </row>
    <row r="24" spans="1:2" x14ac:dyDescent="0.35">
      <c r="B24" t="s">
        <v>30</v>
      </c>
    </row>
    <row r="25" spans="1:2" x14ac:dyDescent="0.35">
      <c r="B25" t="s">
        <v>31</v>
      </c>
    </row>
    <row r="26" spans="1:2" x14ac:dyDescent="0.35">
      <c r="B26" t="s">
        <v>32</v>
      </c>
    </row>
    <row r="27" spans="1:2" x14ac:dyDescent="0.35">
      <c r="B27" t="s">
        <v>33</v>
      </c>
    </row>
    <row r="28" spans="1:2" s="3" customFormat="1" x14ac:dyDescent="0.35">
      <c r="A28" s="4"/>
      <c r="B28" s="3" t="s">
        <v>105</v>
      </c>
    </row>
    <row r="29" spans="1:2" s="3" customFormat="1" x14ac:dyDescent="0.35">
      <c r="A29" s="4"/>
      <c r="B29" s="3" t="s">
        <v>104</v>
      </c>
    </row>
    <row r="30" spans="1:2" s="3" customFormat="1" x14ac:dyDescent="0.35">
      <c r="A30" s="4"/>
      <c r="B30" s="3" t="s">
        <v>106</v>
      </c>
    </row>
    <row r="31" spans="1:2" x14ac:dyDescent="0.35">
      <c r="B31" t="s">
        <v>35</v>
      </c>
    </row>
    <row r="32" spans="1:2" x14ac:dyDescent="0.35">
      <c r="B32" t="s">
        <v>36</v>
      </c>
    </row>
    <row r="33" spans="1:2" x14ac:dyDescent="0.35">
      <c r="B33" t="s">
        <v>37</v>
      </c>
    </row>
    <row r="34" spans="1:2" s="3" customFormat="1" x14ac:dyDescent="0.35">
      <c r="A34" s="4"/>
      <c r="B34" s="3" t="s">
        <v>107</v>
      </c>
    </row>
    <row r="35" spans="1:2" x14ac:dyDescent="0.35">
      <c r="B35" t="s">
        <v>40</v>
      </c>
    </row>
    <row r="36" spans="1:2" x14ac:dyDescent="0.35">
      <c r="B36" t="s">
        <v>38</v>
      </c>
    </row>
    <row r="37" spans="1:2" s="3" customFormat="1" x14ac:dyDescent="0.35">
      <c r="A37" s="4"/>
      <c r="B37" s="3" t="s">
        <v>108</v>
      </c>
    </row>
    <row r="38" spans="1:2" s="3" customFormat="1" x14ac:dyDescent="0.35">
      <c r="A38" s="4"/>
      <c r="B38" s="3" t="s">
        <v>109</v>
      </c>
    </row>
    <row r="39" spans="1:2" s="3" customFormat="1" x14ac:dyDescent="0.35">
      <c r="A39" s="4"/>
      <c r="B39" s="3" t="s">
        <v>110</v>
      </c>
    </row>
    <row r="40" spans="1:2" s="3" customFormat="1" x14ac:dyDescent="0.35">
      <c r="A40" s="4"/>
      <c r="B40" s="3" t="s">
        <v>44</v>
      </c>
    </row>
    <row r="41" spans="1:2" x14ac:dyDescent="0.35">
      <c r="B41" t="s">
        <v>111</v>
      </c>
    </row>
    <row r="42" spans="1:2" x14ac:dyDescent="0.35">
      <c r="B42" t="s">
        <v>39</v>
      </c>
    </row>
    <row r="43" spans="1:2" s="3" customFormat="1" x14ac:dyDescent="0.35">
      <c r="A43" s="4"/>
      <c r="B43" s="3" t="s">
        <v>112</v>
      </c>
    </row>
    <row r="44" spans="1:2" x14ac:dyDescent="0.35">
      <c r="B44" t="s">
        <v>41</v>
      </c>
    </row>
    <row r="45" spans="1:2" x14ac:dyDescent="0.35">
      <c r="B45" t="s">
        <v>42</v>
      </c>
    </row>
    <row r="46" spans="1:2" x14ac:dyDescent="0.35">
      <c r="B46" t="s">
        <v>43</v>
      </c>
    </row>
    <row r="47" spans="1:2" x14ac:dyDescent="0.35">
      <c r="B47" t="s">
        <v>45</v>
      </c>
    </row>
    <row r="48" spans="1:2" s="3" customFormat="1" x14ac:dyDescent="0.35">
      <c r="A48" s="4"/>
    </row>
    <row r="49" spans="1:2" s="3" customFormat="1" x14ac:dyDescent="0.35">
      <c r="A49" s="4"/>
    </row>
    <row r="50" spans="1:2" x14ac:dyDescent="0.35">
      <c r="A50" s="4" t="s">
        <v>193</v>
      </c>
    </row>
    <row r="51" spans="1:2" x14ac:dyDescent="0.35">
      <c r="B51" t="s">
        <v>60</v>
      </c>
    </row>
    <row r="52" spans="1:2" x14ac:dyDescent="0.35">
      <c r="B52" t="s">
        <v>61</v>
      </c>
    </row>
    <row r="53" spans="1:2" x14ac:dyDescent="0.35">
      <c r="B53" t="s">
        <v>62</v>
      </c>
    </row>
    <row r="54" spans="1:2" s="3" customFormat="1" x14ac:dyDescent="0.35">
      <c r="A54" s="4"/>
    </row>
    <row r="55" spans="1:2" s="3" customFormat="1" x14ac:dyDescent="0.35">
      <c r="A55" s="4" t="s">
        <v>254</v>
      </c>
    </row>
    <row r="56" spans="1:2" s="3" customFormat="1" x14ac:dyDescent="0.35">
      <c r="A56" s="4"/>
      <c r="B56" s="3" t="s">
        <v>255</v>
      </c>
    </row>
    <row r="57" spans="1:2" s="3" customFormat="1" x14ac:dyDescent="0.35">
      <c r="A57" s="4"/>
      <c r="B57" s="3" t="s">
        <v>256</v>
      </c>
    </row>
    <row r="58" spans="1:2" s="3" customFormat="1" x14ac:dyDescent="0.35">
      <c r="A58" s="4"/>
      <c r="B58" s="3" t="s">
        <v>257</v>
      </c>
    </row>
    <row r="59" spans="1:2" s="3" customFormat="1" x14ac:dyDescent="0.35">
      <c r="A59" s="4"/>
    </row>
    <row r="60" spans="1:2" x14ac:dyDescent="0.35">
      <c r="A60" s="96" t="s">
        <v>200</v>
      </c>
    </row>
    <row r="61" spans="1:2" x14ac:dyDescent="0.35">
      <c r="B61" s="3" t="s">
        <v>201</v>
      </c>
    </row>
    <row r="62" spans="1:2" s="3" customFormat="1" x14ac:dyDescent="0.35">
      <c r="A62" s="4"/>
      <c r="B62" s="3" t="s">
        <v>202</v>
      </c>
    </row>
    <row r="63" spans="1:2" s="3" customFormat="1" x14ac:dyDescent="0.35">
      <c r="A63" s="4"/>
      <c r="B63" s="3" t="s">
        <v>203</v>
      </c>
    </row>
    <row r="64" spans="1:2" s="3" customFormat="1" x14ac:dyDescent="0.35">
      <c r="A64" s="4"/>
      <c r="B64" s="3" t="s">
        <v>204</v>
      </c>
    </row>
    <row r="65" spans="1:2" s="3" customFormat="1" x14ac:dyDescent="0.35">
      <c r="A65" s="4"/>
      <c r="B65" s="3" t="s">
        <v>205</v>
      </c>
    </row>
    <row r="66" spans="1:2" s="3" customFormat="1" x14ac:dyDescent="0.35">
      <c r="A66" s="4"/>
      <c r="B66" s="3" t="s">
        <v>206</v>
      </c>
    </row>
    <row r="67" spans="1:2" s="3" customFormat="1" x14ac:dyDescent="0.35">
      <c r="A67" s="4"/>
      <c r="B67" s="3" t="s">
        <v>207</v>
      </c>
    </row>
    <row r="68" spans="1:2" s="3" customFormat="1" x14ac:dyDescent="0.35">
      <c r="A68" s="4"/>
      <c r="B68" s="3" t="s">
        <v>208</v>
      </c>
    </row>
    <row r="69" spans="1:2" s="3" customFormat="1" x14ac:dyDescent="0.35">
      <c r="A69" s="4"/>
      <c r="B69" s="3" t="s">
        <v>209</v>
      </c>
    </row>
    <row r="70" spans="1:2" x14ac:dyDescent="0.35">
      <c r="B70" s="3" t="s">
        <v>220</v>
      </c>
    </row>
    <row r="71" spans="1:2" x14ac:dyDescent="0.35">
      <c r="B71" s="3" t="s">
        <v>210</v>
      </c>
    </row>
    <row r="73" spans="1:2" x14ac:dyDescent="0.35">
      <c r="A73" s="4" t="s">
        <v>194</v>
      </c>
    </row>
    <row r="74" spans="1:2" x14ac:dyDescent="0.35">
      <c r="B74" t="s">
        <v>64</v>
      </c>
    </row>
    <row r="75" spans="1:2" x14ac:dyDescent="0.35">
      <c r="B75" t="s">
        <v>65</v>
      </c>
    </row>
    <row r="77" spans="1:2" x14ac:dyDescent="0.35">
      <c r="A77" s="4" t="s">
        <v>82</v>
      </c>
    </row>
    <row r="78" spans="1:2" x14ac:dyDescent="0.35">
      <c r="B78" t="s">
        <v>339</v>
      </c>
    </row>
    <row r="79" spans="1:2" s="3" customFormat="1" x14ac:dyDescent="0.35">
      <c r="A79" s="4"/>
      <c r="B79" s="3" t="s">
        <v>340</v>
      </c>
    </row>
    <row r="80" spans="1:2" x14ac:dyDescent="0.35">
      <c r="B80" t="s">
        <v>79</v>
      </c>
    </row>
    <row r="81" spans="1:2" x14ac:dyDescent="0.35">
      <c r="B81" t="s">
        <v>80</v>
      </c>
    </row>
    <row r="82" spans="1:2" x14ac:dyDescent="0.35">
      <c r="B82" t="s">
        <v>81</v>
      </c>
    </row>
    <row r="84" spans="1:2" x14ac:dyDescent="0.35">
      <c r="A84" s="4" t="s">
        <v>195</v>
      </c>
    </row>
    <row r="85" spans="1:2" x14ac:dyDescent="0.35">
      <c r="B85" s="152" t="s">
        <v>211</v>
      </c>
    </row>
    <row r="86" spans="1:2" x14ac:dyDescent="0.35">
      <c r="B86" s="152" t="s">
        <v>212</v>
      </c>
    </row>
    <row r="87" spans="1:2" ht="29" x14ac:dyDescent="0.35">
      <c r="B87" s="152" t="s">
        <v>213</v>
      </c>
    </row>
    <row r="88" spans="1:2" x14ac:dyDescent="0.35">
      <c r="B88" s="152" t="s">
        <v>214</v>
      </c>
    </row>
    <row r="89" spans="1:2" x14ac:dyDescent="0.35">
      <c r="B89" s="152" t="s">
        <v>215</v>
      </c>
    </row>
    <row r="90" spans="1:2" ht="29" x14ac:dyDescent="0.35">
      <c r="B90" s="152" t="s">
        <v>216</v>
      </c>
    </row>
    <row r="91" spans="1:2" s="3" customFormat="1" x14ac:dyDescent="0.35">
      <c r="A91" s="4"/>
    </row>
    <row r="92" spans="1:2" x14ac:dyDescent="0.35">
      <c r="A92" s="4" t="s">
        <v>196</v>
      </c>
    </row>
    <row r="93" spans="1:2" x14ac:dyDescent="0.35">
      <c r="B93" t="s">
        <v>249</v>
      </c>
    </row>
    <row r="94" spans="1:2" s="3" customFormat="1" x14ac:dyDescent="0.35">
      <c r="A94" s="4"/>
      <c r="B94" s="3" t="s">
        <v>250</v>
      </c>
    </row>
    <row r="95" spans="1:2" s="3" customFormat="1" x14ac:dyDescent="0.35">
      <c r="A95" s="4"/>
      <c r="B95" s="3" t="s">
        <v>251</v>
      </c>
    </row>
    <row r="96" spans="1:2" x14ac:dyDescent="0.35">
      <c r="B96" t="s">
        <v>252</v>
      </c>
    </row>
    <row r="97" spans="1:2" x14ac:dyDescent="0.35">
      <c r="B97" t="s">
        <v>253</v>
      </c>
    </row>
    <row r="98" spans="1:2" s="3" customFormat="1" x14ac:dyDescent="0.35">
      <c r="A98" s="4"/>
    </row>
    <row r="99" spans="1:2" x14ac:dyDescent="0.35">
      <c r="A99" s="4" t="s">
        <v>197</v>
      </c>
    </row>
    <row r="100" spans="1:2" x14ac:dyDescent="0.35">
      <c r="B100" t="s">
        <v>141</v>
      </c>
    </row>
    <row r="101" spans="1:2" x14ac:dyDescent="0.35">
      <c r="B101" t="s">
        <v>96</v>
      </c>
    </row>
    <row r="102" spans="1:2" x14ac:dyDescent="0.35">
      <c r="B102" t="s">
        <v>97</v>
      </c>
    </row>
    <row r="104" spans="1:2" x14ac:dyDescent="0.35">
      <c r="A104" s="4" t="s">
        <v>100</v>
      </c>
    </row>
    <row r="105" spans="1:2" ht="16.5" x14ac:dyDescent="0.45">
      <c r="B105" t="s">
        <v>241</v>
      </c>
    </row>
    <row r="106" spans="1:2" ht="16.5" x14ac:dyDescent="0.45">
      <c r="B106" s="3" t="s">
        <v>240</v>
      </c>
    </row>
    <row r="107" spans="1:2" ht="16.5" x14ac:dyDescent="0.45">
      <c r="B107" t="s">
        <v>239</v>
      </c>
    </row>
    <row r="108" spans="1:2" ht="16.5" x14ac:dyDescent="0.45">
      <c r="B108" t="s">
        <v>244</v>
      </c>
    </row>
    <row r="109" spans="1:2" ht="16.5" x14ac:dyDescent="0.45">
      <c r="B109" t="s">
        <v>243</v>
      </c>
    </row>
    <row r="110" spans="1:2" ht="16.5" x14ac:dyDescent="0.45">
      <c r="B110" t="s">
        <v>242</v>
      </c>
    </row>
    <row r="111" spans="1:2" ht="16.5" x14ac:dyDescent="0.45">
      <c r="B111" t="s">
        <v>247</v>
      </c>
    </row>
    <row r="112" spans="1:2" ht="16.5" x14ac:dyDescent="0.45">
      <c r="B112" t="s">
        <v>246</v>
      </c>
    </row>
    <row r="113" spans="1:2" ht="16.5" x14ac:dyDescent="0.45">
      <c r="B113" t="s">
        <v>245</v>
      </c>
    </row>
    <row r="115" spans="1:2" x14ac:dyDescent="0.35">
      <c r="A115" s="4" t="s">
        <v>198</v>
      </c>
    </row>
    <row r="116" spans="1:2" x14ac:dyDescent="0.35">
      <c r="B116" t="s">
        <v>134</v>
      </c>
    </row>
    <row r="117" spans="1:2" x14ac:dyDescent="0.35">
      <c r="B117" t="s">
        <v>135</v>
      </c>
    </row>
    <row r="118" spans="1:2" x14ac:dyDescent="0.35">
      <c r="B118" t="s">
        <v>136</v>
      </c>
    </row>
    <row r="119" spans="1:2" s="3" customFormat="1" x14ac:dyDescent="0.35">
      <c r="A119" s="4"/>
    </row>
    <row r="120" spans="1:2" x14ac:dyDescent="0.35">
      <c r="A120" s="4" t="s">
        <v>199</v>
      </c>
    </row>
    <row r="121" spans="1:2" x14ac:dyDescent="0.35">
      <c r="B121" t="s">
        <v>151</v>
      </c>
    </row>
    <row r="122" spans="1:2" x14ac:dyDescent="0.35">
      <c r="B122" t="s">
        <v>155</v>
      </c>
    </row>
    <row r="123" spans="1:2" x14ac:dyDescent="0.35">
      <c r="B123" t="s">
        <v>153</v>
      </c>
    </row>
    <row r="125" spans="1:2" x14ac:dyDescent="0.35">
      <c r="A125" s="4" t="s">
        <v>279</v>
      </c>
    </row>
    <row r="126" spans="1:2" x14ac:dyDescent="0.35">
      <c r="B126" t="s">
        <v>280</v>
      </c>
    </row>
    <row r="127" spans="1:2" x14ac:dyDescent="0.35">
      <c r="B127" t="s">
        <v>276</v>
      </c>
    </row>
    <row r="128" spans="1:2" x14ac:dyDescent="0.35">
      <c r="B128" t="s">
        <v>277</v>
      </c>
    </row>
    <row r="129" spans="1:2" x14ac:dyDescent="0.35">
      <c r="B129" t="s">
        <v>278</v>
      </c>
    </row>
    <row r="131" spans="1:2" x14ac:dyDescent="0.35">
      <c r="A131" s="4" t="s">
        <v>281</v>
      </c>
    </row>
    <row r="132" spans="1:2" x14ac:dyDescent="0.35">
      <c r="B132" t="s">
        <v>282</v>
      </c>
    </row>
    <row r="133" spans="1:2" x14ac:dyDescent="0.35">
      <c r="B133" t="s">
        <v>283</v>
      </c>
    </row>
    <row r="134" spans="1:2" x14ac:dyDescent="0.35">
      <c r="B134" t="s">
        <v>284</v>
      </c>
    </row>
    <row r="136" spans="1:2" x14ac:dyDescent="0.35">
      <c r="A136" s="4" t="s">
        <v>303</v>
      </c>
    </row>
    <row r="137" spans="1:2" s="3" customFormat="1" x14ac:dyDescent="0.35">
      <c r="A137" s="4"/>
      <c r="B137" s="3" t="s">
        <v>359</v>
      </c>
    </row>
    <row r="138" spans="1:2" x14ac:dyDescent="0.35">
      <c r="B138" s="3" t="s">
        <v>360</v>
      </c>
    </row>
    <row r="139" spans="1:2" x14ac:dyDescent="0.35">
      <c r="B139" s="3" t="s">
        <v>361</v>
      </c>
    </row>
    <row r="141" spans="1:2" x14ac:dyDescent="0.35">
      <c r="A141" s="4" t="s">
        <v>318</v>
      </c>
    </row>
    <row r="142" spans="1:2" x14ac:dyDescent="0.35">
      <c r="B142" s="3" t="s">
        <v>322</v>
      </c>
    </row>
    <row r="143" spans="1:2" x14ac:dyDescent="0.35">
      <c r="B143" s="3" t="s">
        <v>323</v>
      </c>
    </row>
    <row r="144" spans="1:2" x14ac:dyDescent="0.35">
      <c r="B144" s="3" t="s">
        <v>313</v>
      </c>
    </row>
    <row r="145" spans="1:2" x14ac:dyDescent="0.35">
      <c r="B145" s="3" t="s">
        <v>324</v>
      </c>
    </row>
    <row r="146" spans="1:2" x14ac:dyDescent="0.35">
      <c r="B146" s="3" t="s">
        <v>325</v>
      </c>
    </row>
    <row r="147" spans="1:2" x14ac:dyDescent="0.35">
      <c r="B147" s="3" t="s">
        <v>326</v>
      </c>
    </row>
    <row r="148" spans="1:2" x14ac:dyDescent="0.35">
      <c r="B148" s="3" t="s">
        <v>327</v>
      </c>
    </row>
    <row r="150" spans="1:2" x14ac:dyDescent="0.35">
      <c r="A150" s="4" t="s">
        <v>341</v>
      </c>
    </row>
    <row r="151" spans="1:2" s="3" customFormat="1" x14ac:dyDescent="0.35">
      <c r="A151" s="4"/>
      <c r="B151" s="3" t="s">
        <v>319</v>
      </c>
    </row>
    <row r="152" spans="1:2" x14ac:dyDescent="0.35">
      <c r="B152" s="155">
        <v>1</v>
      </c>
    </row>
    <row r="153" spans="1:2" x14ac:dyDescent="0.35">
      <c r="B153" s="155">
        <v>2</v>
      </c>
    </row>
    <row r="154" spans="1:2" x14ac:dyDescent="0.35">
      <c r="B154" s="155">
        <v>3</v>
      </c>
    </row>
  </sheetData>
  <sortState ref="B61:B83">
    <sortCondition ref="B8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Assessment</vt:lpstr>
      <vt:lpstr>Catchment Assessment</vt:lpstr>
      <vt:lpstr>Quantification Tool</vt:lpstr>
      <vt:lpstr>Debit Tool</vt:lpstr>
      <vt:lpstr>Monitoring Data</vt:lpstr>
      <vt:lpstr>Data Summary</vt:lpstr>
      <vt:lpstr>Performance Standards</vt:lpstr>
      <vt:lpstr>Pull Down Notes</vt:lpstr>
      <vt:lpstr>BedMaterial</vt:lpstr>
      <vt:lpstr>BEHI.NBS</vt:lpstr>
      <vt:lpstr>CatchmentAssessment</vt:lpstr>
      <vt:lpstr>CatchmentAssessmentQuat</vt:lpstr>
      <vt:lpstr>Level</vt:lpstr>
      <vt:lpstr>'Debit Tool'!Print_Area</vt:lpstr>
      <vt:lpstr>'Monitoring Data'!Print_Area</vt:lpstr>
      <vt:lpstr>'Quantification Tool'!Print_Area</vt:lpstr>
      <vt:lpstr>ProgramGoals</vt:lpstr>
      <vt:lpstr>Region</vt:lpstr>
      <vt:lpstr>RiverBasins</vt:lpstr>
      <vt:lpstr>StreamType</vt:lpstr>
      <vt:lpstr>WaterTypes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Will Harman</cp:lastModifiedBy>
  <cp:lastPrinted>2017-07-28T16:07:49Z</cp:lastPrinted>
  <dcterms:created xsi:type="dcterms:W3CDTF">2014-08-22T20:36:47Z</dcterms:created>
  <dcterms:modified xsi:type="dcterms:W3CDTF">2017-08-14T13:50:52Z</dcterms:modified>
</cp:coreProperties>
</file>