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jmccar02\OneDrive - Environmental Protection Agency (EPA)\Documents\CO  and WY SQT\"/>
    </mc:Choice>
  </mc:AlternateContent>
  <bookViews>
    <workbookView xWindow="0" yWindow="0" windowWidth="19200" windowHeight="10470" tabRatio="707"/>
  </bookViews>
  <sheets>
    <sheet name="Project Assessment" sheetId="10" r:id="rId1"/>
    <sheet name="Catchment Assessment" sheetId="11" r:id="rId2"/>
    <sheet name="Quantification Tool" sheetId="2" r:id="rId3"/>
    <sheet name="Monitoring Data" sheetId="13" r:id="rId4"/>
    <sheet name="Data Summary" sheetId="14" r:id="rId5"/>
    <sheet name="Debit Tool" sheetId="15" r:id="rId6"/>
    <sheet name="Reference Curves" sheetId="1" r:id="rId7"/>
    <sheet name="Pull Down Notes" sheetId="3" state="hidden" r:id="rId8"/>
  </sheets>
  <definedNames>
    <definedName name="BedMaterial">'Pull Down Notes'!$B$13:$B$19</definedName>
    <definedName name="BedType">'Pull Down Notes'!#REF!</definedName>
    <definedName name="BEHI.NBS">'Pull Down Notes'!$B$22:$B$52</definedName>
    <definedName name="CatchmentAssessment">'Pull Down Notes'!$B$103:$B$105</definedName>
    <definedName name="CatchmentAssessmentQuat">'Pull Down Notes'!$B$107:$B$116</definedName>
    <definedName name="DrainageArea">'Pull Down Notes'!#REF!</definedName>
    <definedName name="Flow.Type">'Pull Down Notes'!#REF!</definedName>
    <definedName name="Level">'Pull Down Notes'!$B$54:$B$56</definedName>
    <definedName name="_xlnm.Print_Area" localSheetId="5">'Debit Tool'!$A$3:$E$26</definedName>
    <definedName name="_xlnm.Print_Area" localSheetId="3">'Monitoring Data'!$A$1:$I$350</definedName>
    <definedName name="_xlnm.Print_Area" localSheetId="2">'Quantification Tool'!$A$3:$J$105</definedName>
    <definedName name="ProgramGoals">'Pull Down Notes'!$B$81:$B$85</definedName>
    <definedName name="Region">'Pull Down Notes'!$B$63:$B$74</definedName>
    <definedName name="RiverBasins">'Pull Down Notes'!$B$87:$B$93</definedName>
    <definedName name="StreamType">'Pull Down Notes'!$B$1:$B$11</definedName>
    <definedName name="WaterTypes">'Pull Down Notes'!$B$95:$B$100</definedName>
    <definedName name="Yes.No">'Pull Down Notes'!$B$77:$B$78</definedName>
  </definedNames>
  <calcPr calcId="17902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0" i="13" l="1"/>
  <c r="F298" i="13"/>
  <c r="F266" i="13"/>
  <c r="F234" i="13"/>
  <c r="F202" i="13"/>
  <c r="F170" i="13"/>
  <c r="F138" i="13"/>
  <c r="F106" i="13"/>
  <c r="F74" i="13"/>
  <c r="F43" i="13"/>
  <c r="F11" i="13"/>
  <c r="F84" i="2"/>
  <c r="F52" i="2"/>
  <c r="F95" i="2"/>
  <c r="F63" i="2"/>
  <c r="F88" i="2"/>
  <c r="F309" i="13" l="1"/>
  <c r="F277" i="13"/>
  <c r="F245" i="13"/>
  <c r="F213" i="13"/>
  <c r="F181" i="13"/>
  <c r="F149" i="13"/>
  <c r="F117" i="13"/>
  <c r="F85" i="13"/>
  <c r="F54" i="13"/>
  <c r="F22" i="13"/>
  <c r="F341" i="13"/>
  <c r="F302" i="13" l="1"/>
  <c r="F270" i="13"/>
  <c r="F174" i="13"/>
  <c r="F142" i="13"/>
  <c r="F110" i="13"/>
  <c r="F78" i="13"/>
  <c r="F329" i="13" l="1"/>
  <c r="F338" i="13" l="1"/>
  <c r="F306" i="13"/>
  <c r="F274" i="13"/>
  <c r="F242" i="13"/>
  <c r="F210" i="13"/>
  <c r="F178" i="13"/>
  <c r="F146" i="13"/>
  <c r="F114" i="13"/>
  <c r="F82" i="13"/>
  <c r="F51" i="13"/>
  <c r="F19" i="13"/>
  <c r="F78" i="2" l="1"/>
  <c r="F326" i="13" l="1"/>
  <c r="F294" i="13"/>
  <c r="F262" i="13"/>
  <c r="F230" i="13"/>
  <c r="F198" i="13"/>
  <c r="F166" i="13"/>
  <c r="F134" i="13"/>
  <c r="F102" i="13"/>
  <c r="F70" i="13"/>
  <c r="F39" i="13"/>
  <c r="F7" i="13"/>
  <c r="F80" i="2"/>
  <c r="F48" i="2"/>
  <c r="F67" i="2" l="1"/>
  <c r="F99" i="2"/>
  <c r="F26" i="13"/>
  <c r="F58" i="13"/>
  <c r="F89" i="13"/>
  <c r="F121" i="13"/>
  <c r="F153" i="13"/>
  <c r="F185" i="13"/>
  <c r="F217" i="13"/>
  <c r="F249" i="13"/>
  <c r="F281" i="13"/>
  <c r="F313" i="13"/>
  <c r="F345" i="13"/>
  <c r="F56" i="2" l="1"/>
  <c r="F79" i="2"/>
  <c r="W16" i="1" l="1"/>
  <c r="V16" i="1"/>
  <c r="U16" i="1"/>
  <c r="T16" i="1"/>
  <c r="S16" i="1"/>
  <c r="F76" i="2" l="1"/>
  <c r="F340" i="13" l="1"/>
  <c r="F308" i="13"/>
  <c r="F276" i="13"/>
  <c r="F244" i="13"/>
  <c r="F212" i="13"/>
  <c r="F180" i="13"/>
  <c r="F148" i="13"/>
  <c r="F116" i="13"/>
  <c r="F84" i="13"/>
  <c r="F53" i="13"/>
  <c r="F21" i="13"/>
  <c r="F94" i="2"/>
  <c r="F62" i="2"/>
  <c r="B9" i="2"/>
  <c r="B7" i="2"/>
  <c r="F349" i="13"/>
  <c r="F348" i="13"/>
  <c r="F347" i="13"/>
  <c r="F346" i="13"/>
  <c r="F344" i="13"/>
  <c r="G344" i="13" s="1"/>
  <c r="F343" i="13"/>
  <c r="G343" i="13" s="1"/>
  <c r="F342" i="13"/>
  <c r="F339" i="13"/>
  <c r="G338" i="13"/>
  <c r="F337" i="13"/>
  <c r="F336" i="13"/>
  <c r="F335" i="13"/>
  <c r="F333" i="13"/>
  <c r="G333" i="13" s="1"/>
  <c r="F332" i="13"/>
  <c r="F331" i="13"/>
  <c r="F328" i="13"/>
  <c r="F327" i="13"/>
  <c r="F325" i="13"/>
  <c r="F324" i="13"/>
  <c r="G324" i="13" s="1"/>
  <c r="F323" i="13"/>
  <c r="F322" i="13"/>
  <c r="F317" i="13"/>
  <c r="F316" i="13"/>
  <c r="F315" i="13"/>
  <c r="F314" i="13"/>
  <c r="F312" i="13"/>
  <c r="G312" i="13" s="1"/>
  <c r="F311" i="13"/>
  <c r="G311" i="13" s="1"/>
  <c r="F310" i="13"/>
  <c r="F307" i="13"/>
  <c r="G306" i="13"/>
  <c r="F305" i="13"/>
  <c r="F304" i="13"/>
  <c r="F303" i="13"/>
  <c r="F301" i="13"/>
  <c r="G301" i="13" s="1"/>
  <c r="F300" i="13"/>
  <c r="F299" i="13"/>
  <c r="F297" i="13"/>
  <c r="F296" i="13"/>
  <c r="F295" i="13"/>
  <c r="F293" i="13"/>
  <c r="F292" i="13"/>
  <c r="G292" i="13" s="1"/>
  <c r="F291" i="13"/>
  <c r="F290" i="13"/>
  <c r="F285" i="13"/>
  <c r="F284" i="13"/>
  <c r="F283" i="13"/>
  <c r="F282" i="13"/>
  <c r="F280" i="13"/>
  <c r="G280" i="13" s="1"/>
  <c r="F279" i="13"/>
  <c r="G279" i="13" s="1"/>
  <c r="F278" i="13"/>
  <c r="F275" i="13"/>
  <c r="G274" i="13"/>
  <c r="F273" i="13"/>
  <c r="F272" i="13"/>
  <c r="F271" i="13"/>
  <c r="F269" i="13"/>
  <c r="G269" i="13" s="1"/>
  <c r="F268" i="13"/>
  <c r="F267" i="13"/>
  <c r="F265" i="13"/>
  <c r="F264" i="13"/>
  <c r="F263" i="13"/>
  <c r="F261" i="13"/>
  <c r="F260" i="13"/>
  <c r="G260" i="13" s="1"/>
  <c r="F259" i="13"/>
  <c r="F258" i="13"/>
  <c r="F253" i="13"/>
  <c r="F252" i="13"/>
  <c r="F251" i="13"/>
  <c r="F250" i="13"/>
  <c r="F248" i="13"/>
  <c r="G248" i="13" s="1"/>
  <c r="F247" i="13"/>
  <c r="G247" i="13" s="1"/>
  <c r="F246" i="13"/>
  <c r="F243" i="13"/>
  <c r="G242" i="13"/>
  <c r="F241" i="13"/>
  <c r="F240" i="13"/>
  <c r="F239" i="13"/>
  <c r="F237" i="13"/>
  <c r="G237" i="13" s="1"/>
  <c r="F236" i="13"/>
  <c r="F235" i="13"/>
  <c r="F233" i="13"/>
  <c r="F232" i="13"/>
  <c r="F231" i="13"/>
  <c r="F229" i="13"/>
  <c r="F228" i="13"/>
  <c r="G228" i="13" s="1"/>
  <c r="F227" i="13"/>
  <c r="F226" i="13"/>
  <c r="F221" i="13"/>
  <c r="F220" i="13"/>
  <c r="F219" i="13"/>
  <c r="F218" i="13"/>
  <c r="F216" i="13"/>
  <c r="G216" i="13" s="1"/>
  <c r="F215" i="13"/>
  <c r="G215" i="13" s="1"/>
  <c r="F214" i="13"/>
  <c r="F211" i="13"/>
  <c r="G210" i="13"/>
  <c r="F209" i="13"/>
  <c r="F208" i="13"/>
  <c r="F207" i="13"/>
  <c r="F205" i="13"/>
  <c r="G205" i="13" s="1"/>
  <c r="F204" i="13"/>
  <c r="F203" i="13"/>
  <c r="F201" i="13"/>
  <c r="F200" i="13"/>
  <c r="F199" i="13"/>
  <c r="F197" i="13"/>
  <c r="F196" i="13"/>
  <c r="G196" i="13" s="1"/>
  <c r="F195" i="13"/>
  <c r="F194" i="13"/>
  <c r="F189" i="13"/>
  <c r="F188" i="13"/>
  <c r="F187" i="13"/>
  <c r="F186" i="13"/>
  <c r="F184" i="13"/>
  <c r="G184" i="13" s="1"/>
  <c r="F183" i="13"/>
  <c r="G183" i="13" s="1"/>
  <c r="F182" i="13"/>
  <c r="F179" i="13"/>
  <c r="G178" i="13"/>
  <c r="F177" i="13"/>
  <c r="F176" i="13"/>
  <c r="F175" i="13"/>
  <c r="F173" i="13"/>
  <c r="G173" i="13" s="1"/>
  <c r="F172" i="13"/>
  <c r="F171" i="13"/>
  <c r="F169" i="13"/>
  <c r="F168" i="13"/>
  <c r="F167" i="13"/>
  <c r="F165" i="13"/>
  <c r="F164" i="13"/>
  <c r="G164" i="13" s="1"/>
  <c r="F163" i="13"/>
  <c r="F162" i="13"/>
  <c r="F157" i="13"/>
  <c r="F156" i="13"/>
  <c r="F155" i="13"/>
  <c r="F154" i="13"/>
  <c r="F152" i="13"/>
  <c r="G152" i="13" s="1"/>
  <c r="F151" i="13"/>
  <c r="G151" i="13" s="1"/>
  <c r="F150" i="13"/>
  <c r="F147" i="13"/>
  <c r="G146" i="13"/>
  <c r="F145" i="13"/>
  <c r="F144" i="13"/>
  <c r="F143" i="13"/>
  <c r="F141" i="13"/>
  <c r="G141" i="13" s="1"/>
  <c r="F140" i="13"/>
  <c r="F139" i="13"/>
  <c r="F137" i="13"/>
  <c r="F136" i="13"/>
  <c r="F135" i="13"/>
  <c r="F133" i="13"/>
  <c r="F132" i="13"/>
  <c r="G132" i="13" s="1"/>
  <c r="F131" i="13"/>
  <c r="F130" i="13"/>
  <c r="F125" i="13"/>
  <c r="F124" i="13"/>
  <c r="F123" i="13"/>
  <c r="F122" i="13"/>
  <c r="F120" i="13"/>
  <c r="G120" i="13" s="1"/>
  <c r="F119" i="13"/>
  <c r="G119" i="13" s="1"/>
  <c r="F118" i="13"/>
  <c r="F115" i="13"/>
  <c r="G114" i="13"/>
  <c r="F113" i="13"/>
  <c r="F112" i="13"/>
  <c r="F111" i="13"/>
  <c r="F109" i="13"/>
  <c r="G109" i="13" s="1"/>
  <c r="F108" i="13"/>
  <c r="F107" i="13"/>
  <c r="F105" i="13"/>
  <c r="F104" i="13"/>
  <c r="F103" i="13"/>
  <c r="F101" i="13"/>
  <c r="F100" i="13"/>
  <c r="G100" i="13" s="1"/>
  <c r="F99" i="13"/>
  <c r="F98" i="13"/>
  <c r="F93" i="13"/>
  <c r="F92" i="13"/>
  <c r="F91" i="13"/>
  <c r="F90" i="13"/>
  <c r="F88" i="13"/>
  <c r="G88" i="13" s="1"/>
  <c r="F87" i="13"/>
  <c r="G87" i="13" s="1"/>
  <c r="F86" i="13"/>
  <c r="F83" i="13"/>
  <c r="G82" i="13"/>
  <c r="F81" i="13"/>
  <c r="F80" i="13"/>
  <c r="F79" i="13"/>
  <c r="F77" i="13"/>
  <c r="G77" i="13" s="1"/>
  <c r="F76" i="13"/>
  <c r="F75" i="13"/>
  <c r="F73" i="13"/>
  <c r="F72" i="13"/>
  <c r="F71" i="13"/>
  <c r="F69" i="13"/>
  <c r="F68" i="13"/>
  <c r="G68" i="13" s="1"/>
  <c r="F67" i="13"/>
  <c r="F66" i="13"/>
  <c r="F62" i="13"/>
  <c r="F61" i="13"/>
  <c r="F60" i="13"/>
  <c r="F59" i="13"/>
  <c r="F57" i="13"/>
  <c r="G57" i="13" s="1"/>
  <c r="F56" i="13"/>
  <c r="G56" i="13" s="1"/>
  <c r="F55" i="13"/>
  <c r="F52" i="13"/>
  <c r="G51" i="13"/>
  <c r="F50" i="13"/>
  <c r="F49" i="13"/>
  <c r="F48" i="13"/>
  <c r="F46" i="13"/>
  <c r="G46" i="13" s="1"/>
  <c r="F45" i="13"/>
  <c r="F44" i="13"/>
  <c r="F42" i="13"/>
  <c r="F41" i="13"/>
  <c r="F40" i="13"/>
  <c r="F38" i="13"/>
  <c r="F37" i="13"/>
  <c r="G37" i="13" s="1"/>
  <c r="F36" i="13"/>
  <c r="F35" i="13"/>
  <c r="F24" i="13"/>
  <c r="F23" i="13"/>
  <c r="F20" i="13"/>
  <c r="G19" i="13"/>
  <c r="F17" i="13"/>
  <c r="F18" i="13"/>
  <c r="F16" i="13"/>
  <c r="F12" i="13"/>
  <c r="F9" i="13"/>
  <c r="F8" i="13"/>
  <c r="F6" i="13"/>
  <c r="F5" i="13"/>
  <c r="F4" i="13"/>
  <c r="F3" i="13"/>
  <c r="F13" i="13"/>
  <c r="F97" i="2"/>
  <c r="F65" i="2"/>
  <c r="F47" i="13" l="1"/>
  <c r="G47" i="13" s="1"/>
  <c r="F15" i="13"/>
  <c r="F238" i="13"/>
  <c r="G238" i="13" s="1"/>
  <c r="F206" i="13"/>
  <c r="G206" i="13" s="1"/>
  <c r="F334" i="13"/>
  <c r="G334" i="13" s="1"/>
  <c r="F92" i="2"/>
  <c r="G92" i="2" s="1"/>
  <c r="F60" i="2"/>
  <c r="G66" i="13"/>
  <c r="G103" i="13"/>
  <c r="G229" i="13"/>
  <c r="G35" i="13"/>
  <c r="G71" i="13"/>
  <c r="G226" i="13"/>
  <c r="G249" i="13"/>
  <c r="G322" i="13"/>
  <c r="G281" i="13"/>
  <c r="G42" i="13"/>
  <c r="G130" i="13"/>
  <c r="G167" i="13"/>
  <c r="G325" i="13"/>
  <c r="G137" i="13"/>
  <c r="G290" i="13"/>
  <c r="G327" i="13"/>
  <c r="G233" i="13"/>
  <c r="G121" i="13"/>
  <c r="G162" i="13"/>
  <c r="G199" i="13"/>
  <c r="G105" i="13"/>
  <c r="G98" i="13"/>
  <c r="G135" i="13"/>
  <c r="G339" i="13"/>
  <c r="G293" i="13"/>
  <c r="G83" i="13"/>
  <c r="G91" i="13"/>
  <c r="G58" i="13"/>
  <c r="G20" i="13"/>
  <c r="G60" i="13"/>
  <c r="G133" i="13"/>
  <c r="G315" i="13"/>
  <c r="G187" i="13"/>
  <c r="G345" i="13"/>
  <c r="G153" i="13"/>
  <c r="G283" i="13"/>
  <c r="G69" i="13"/>
  <c r="G110" i="13"/>
  <c r="G147" i="13"/>
  <c r="G155" i="13"/>
  <c r="G217" i="13"/>
  <c r="H311" i="13"/>
  <c r="I311" i="13" s="1"/>
  <c r="G115" i="13"/>
  <c r="G185" i="13"/>
  <c r="G197" i="13"/>
  <c r="G219" i="13"/>
  <c r="G251" i="13"/>
  <c r="G270" i="13"/>
  <c r="G347" i="13"/>
  <c r="H56" i="13"/>
  <c r="I56" i="13" s="1"/>
  <c r="G123" i="13"/>
  <c r="H279" i="13"/>
  <c r="I279" i="13" s="1"/>
  <c r="G313" i="13"/>
  <c r="G89" i="13"/>
  <c r="G101" i="13"/>
  <c r="G307" i="13"/>
  <c r="H343" i="13"/>
  <c r="I343" i="13" s="1"/>
  <c r="G295" i="13"/>
  <c r="G302" i="13"/>
  <c r="G297" i="13"/>
  <c r="G261" i="13"/>
  <c r="G275" i="13"/>
  <c r="G263" i="13"/>
  <c r="G258" i="13"/>
  <c r="G265" i="13"/>
  <c r="G231" i="13"/>
  <c r="H247" i="13"/>
  <c r="I247" i="13" s="1"/>
  <c r="G243" i="13"/>
  <c r="G211" i="13"/>
  <c r="G194" i="13"/>
  <c r="H215" i="13"/>
  <c r="I215" i="13" s="1"/>
  <c r="G201" i="13"/>
  <c r="G169" i="13"/>
  <c r="G179" i="13"/>
  <c r="G165" i="13"/>
  <c r="G174" i="13"/>
  <c r="H183" i="13"/>
  <c r="I183" i="13" s="1"/>
  <c r="G142" i="13"/>
  <c r="H151" i="13"/>
  <c r="I151" i="13" s="1"/>
  <c r="H119" i="13"/>
  <c r="I119" i="13" s="1"/>
  <c r="G73" i="13"/>
  <c r="H87" i="13"/>
  <c r="I87" i="13" s="1"/>
  <c r="G78" i="13"/>
  <c r="G52" i="13"/>
  <c r="G38" i="13"/>
  <c r="G40" i="13"/>
  <c r="G329" i="13"/>
  <c r="G8" i="13"/>
  <c r="G15" i="13"/>
  <c r="F96" i="2"/>
  <c r="F93" i="2"/>
  <c r="F91" i="2"/>
  <c r="F90" i="2"/>
  <c r="F89" i="2"/>
  <c r="F87" i="2"/>
  <c r="G87" i="2" s="1"/>
  <c r="F86" i="2"/>
  <c r="F85" i="2"/>
  <c r="F83" i="2"/>
  <c r="F82" i="2"/>
  <c r="L765" i="1"/>
  <c r="K765" i="1"/>
  <c r="F61" i="2"/>
  <c r="F58" i="2"/>
  <c r="K338" i="1"/>
  <c r="K337" i="1"/>
  <c r="K14" i="1"/>
  <c r="F81" i="2" s="1"/>
  <c r="F44" i="2"/>
  <c r="H66" i="13" l="1"/>
  <c r="I66" i="13" s="1"/>
  <c r="H130" i="13"/>
  <c r="I130" i="13" s="1"/>
  <c r="H162" i="13"/>
  <c r="I162" i="13" s="1"/>
  <c r="H226" i="13"/>
  <c r="I226" i="13" s="1"/>
  <c r="H35" i="13"/>
  <c r="I35" i="13" s="1"/>
  <c r="H89" i="13"/>
  <c r="I89" i="13" s="1"/>
  <c r="H98" i="13"/>
  <c r="I98" i="13" s="1"/>
  <c r="H281" i="13"/>
  <c r="I281" i="13" s="1"/>
  <c r="H121" i="13"/>
  <c r="I121" i="13" s="1"/>
  <c r="H249" i="13"/>
  <c r="I249" i="13" s="1"/>
  <c r="H322" i="13"/>
  <c r="I322" i="13" s="1"/>
  <c r="H290" i="13"/>
  <c r="I290" i="13" s="1"/>
  <c r="H58" i="13"/>
  <c r="I58" i="13" s="1"/>
  <c r="H199" i="13"/>
  <c r="I199" i="13" s="1"/>
  <c r="H71" i="13"/>
  <c r="I71" i="13" s="1"/>
  <c r="H313" i="13"/>
  <c r="I313" i="13" s="1"/>
  <c r="H103" i="13"/>
  <c r="I103" i="13" s="1"/>
  <c r="H345" i="13"/>
  <c r="I345" i="13" s="1"/>
  <c r="H327" i="13"/>
  <c r="I327" i="13" s="1"/>
  <c r="H185" i="13"/>
  <c r="I185" i="13" s="1"/>
  <c r="H153" i="13"/>
  <c r="I153" i="13" s="1"/>
  <c r="H295" i="13"/>
  <c r="I295" i="13" s="1"/>
  <c r="H40" i="13"/>
  <c r="I40" i="13" s="1"/>
  <c r="H217" i="13"/>
  <c r="I217" i="13" s="1"/>
  <c r="H231" i="13"/>
  <c r="I231" i="13" s="1"/>
  <c r="H135" i="13"/>
  <c r="I135" i="13" s="1"/>
  <c r="H258" i="13"/>
  <c r="I258" i="13" s="1"/>
  <c r="H167" i="13"/>
  <c r="I167" i="13" s="1"/>
  <c r="H194" i="13"/>
  <c r="I194" i="13" s="1"/>
  <c r="H263" i="13"/>
  <c r="I263" i="13" s="1"/>
  <c r="G93" i="2"/>
  <c r="G88" i="2"/>
  <c r="G83" i="2"/>
  <c r="G81" i="2"/>
  <c r="F57" i="2"/>
  <c r="F51" i="2"/>
  <c r="F54" i="2"/>
  <c r="H81" i="2" l="1"/>
  <c r="I81" i="2" s="1"/>
  <c r="F64" i="2"/>
  <c r="G61" i="2" s="1"/>
  <c r="F53" i="2" l="1"/>
  <c r="F47" i="2"/>
  <c r="F46" i="2"/>
  <c r="F45" i="2"/>
  <c r="F49" i="2" l="1"/>
  <c r="F50" i="2"/>
  <c r="F25" i="13" l="1"/>
  <c r="F98" i="2"/>
  <c r="F66" i="2"/>
  <c r="F14" i="13" l="1"/>
  <c r="G14" i="13" s="1"/>
  <c r="F55" i="2"/>
  <c r="O15" i="14" l="1"/>
  <c r="O14" i="14"/>
  <c r="O12" i="14"/>
  <c r="O10" i="14"/>
  <c r="O6" i="14"/>
  <c r="N15" i="14"/>
  <c r="N12" i="14"/>
  <c r="N10" i="14"/>
  <c r="N6" i="14"/>
  <c r="M15" i="14"/>
  <c r="M14" i="14"/>
  <c r="M12" i="14"/>
  <c r="M10" i="14"/>
  <c r="M6" i="14"/>
  <c r="L15" i="14"/>
  <c r="L12" i="14"/>
  <c r="L10" i="14"/>
  <c r="L6" i="14"/>
  <c r="K15" i="14"/>
  <c r="K14" i="14"/>
  <c r="K12" i="14"/>
  <c r="K10" i="14"/>
  <c r="K6" i="14"/>
  <c r="J15" i="14"/>
  <c r="J14" i="14"/>
  <c r="J12" i="14"/>
  <c r="J10" i="14"/>
  <c r="J6" i="14"/>
  <c r="I15" i="14"/>
  <c r="I14" i="14"/>
  <c r="I12" i="14"/>
  <c r="I10" i="14"/>
  <c r="I6" i="14"/>
  <c r="H15" i="14"/>
  <c r="H14" i="14"/>
  <c r="H12" i="14"/>
  <c r="H10" i="14"/>
  <c r="H6" i="14"/>
  <c r="G15" i="14"/>
  <c r="G14" i="14"/>
  <c r="G12" i="14"/>
  <c r="G10" i="14"/>
  <c r="G6" i="14"/>
  <c r="F15" i="14"/>
  <c r="F14" i="14"/>
  <c r="F12" i="14"/>
  <c r="F10" i="14"/>
  <c r="F6" i="14"/>
  <c r="F29" i="13"/>
  <c r="E12" i="14"/>
  <c r="E10" i="14"/>
  <c r="G6" i="13"/>
  <c r="F30" i="13"/>
  <c r="F27" i="13"/>
  <c r="G25" i="13"/>
  <c r="E15" i="14" s="1"/>
  <c r="G24" i="13"/>
  <c r="F28" i="13"/>
  <c r="F10" i="13"/>
  <c r="G5" i="13"/>
  <c r="A16" i="15"/>
  <c r="E14" i="14" l="1"/>
  <c r="H24" i="13"/>
  <c r="G10" i="13"/>
  <c r="O5" i="14"/>
  <c r="O13" i="14"/>
  <c r="O17" i="14"/>
  <c r="O11" i="14"/>
  <c r="M5" i="14"/>
  <c r="O7" i="14"/>
  <c r="N14" i="14"/>
  <c r="O8" i="14"/>
  <c r="O16" i="14"/>
  <c r="L14" i="14"/>
  <c r="L17" i="14"/>
  <c r="M8" i="14"/>
  <c r="N8" i="14"/>
  <c r="N16" i="14"/>
  <c r="N5" i="14"/>
  <c r="N9" i="14"/>
  <c r="N13" i="14"/>
  <c r="M11" i="14"/>
  <c r="L13" i="14"/>
  <c r="M16" i="14"/>
  <c r="K11" i="14"/>
  <c r="M9" i="14"/>
  <c r="M13" i="14"/>
  <c r="M17" i="14"/>
  <c r="K17" i="14"/>
  <c r="L8" i="14"/>
  <c r="L11" i="14"/>
  <c r="J11" i="14"/>
  <c r="J16" i="14"/>
  <c r="L5" i="14"/>
  <c r="L9" i="14"/>
  <c r="F5" i="14"/>
  <c r="J13" i="14"/>
  <c r="K16" i="14"/>
  <c r="L7" i="14"/>
  <c r="J17" i="14"/>
  <c r="K8" i="14"/>
  <c r="I16" i="14"/>
  <c r="J7" i="14"/>
  <c r="K9" i="14"/>
  <c r="K5" i="14"/>
  <c r="J8" i="14"/>
  <c r="K13" i="14"/>
  <c r="K7" i="14"/>
  <c r="G8" i="14"/>
  <c r="J9" i="14"/>
  <c r="J5" i="14"/>
  <c r="F8" i="14"/>
  <c r="G11" i="14"/>
  <c r="H5" i="14"/>
  <c r="H17" i="14"/>
  <c r="I8" i="14"/>
  <c r="I11" i="14"/>
  <c r="I5" i="14"/>
  <c r="I9" i="14"/>
  <c r="H11" i="14"/>
  <c r="I13" i="14"/>
  <c r="I17" i="14"/>
  <c r="I7" i="14"/>
  <c r="G5" i="14"/>
  <c r="H8" i="14"/>
  <c r="G17" i="14"/>
  <c r="H9" i="14"/>
  <c r="F13" i="14"/>
  <c r="H13" i="14"/>
  <c r="G3" i="13"/>
  <c r="H7" i="14"/>
  <c r="G9" i="14"/>
  <c r="F16" i="14"/>
  <c r="G13" i="14"/>
  <c r="G7" i="14"/>
  <c r="F17" i="14"/>
  <c r="F9" i="14"/>
  <c r="F7" i="14"/>
  <c r="F11" i="14"/>
  <c r="G26" i="13"/>
  <c r="E16" i="14" s="1"/>
  <c r="E13" i="14"/>
  <c r="E11" i="14"/>
  <c r="G28" i="13"/>
  <c r="E17" i="14" s="1"/>
  <c r="F103" i="2"/>
  <c r="F102" i="2"/>
  <c r="F101" i="2"/>
  <c r="F100" i="2"/>
  <c r="G97" i="2"/>
  <c r="D14" i="14" s="1"/>
  <c r="F77" i="2"/>
  <c r="H8" i="13" l="1"/>
  <c r="I8" i="13" s="1"/>
  <c r="F25" i="14"/>
  <c r="N17" i="14"/>
  <c r="I25" i="14"/>
  <c r="M25" i="14"/>
  <c r="N7" i="14"/>
  <c r="H16" i="14"/>
  <c r="O25" i="14"/>
  <c r="K25" i="14"/>
  <c r="G16" i="14"/>
  <c r="J25" i="14"/>
  <c r="H25" i="14"/>
  <c r="M7" i="14"/>
  <c r="O9" i="14"/>
  <c r="L25" i="14"/>
  <c r="I24" i="13"/>
  <c r="E25" i="14"/>
  <c r="L16" i="14"/>
  <c r="G25" i="14"/>
  <c r="N11" i="14"/>
  <c r="N25" i="14"/>
  <c r="H26" i="13"/>
  <c r="H3" i="13"/>
  <c r="I3" i="13" s="1"/>
  <c r="D36" i="2"/>
  <c r="O23" i="14" l="1"/>
  <c r="I24" i="14"/>
  <c r="H23" i="14"/>
  <c r="J26" i="14"/>
  <c r="J24" i="14"/>
  <c r="K24" i="14"/>
  <c r="M26" i="14"/>
  <c r="H24" i="14"/>
  <c r="N24" i="14"/>
  <c r="K26" i="14"/>
  <c r="H26" i="14"/>
  <c r="G24" i="14"/>
  <c r="I23" i="14"/>
  <c r="F26" i="14"/>
  <c r="O24" i="14"/>
  <c r="G26" i="14"/>
  <c r="F24" i="14"/>
  <c r="L24" i="14"/>
  <c r="M24" i="14"/>
  <c r="O26" i="14"/>
  <c r="I26" i="14"/>
  <c r="L26" i="14"/>
  <c r="N26" i="14"/>
  <c r="I26" i="13"/>
  <c r="E26" i="14"/>
  <c r="F71" i="2"/>
  <c r="F70" i="2"/>
  <c r="G51" i="2" l="1"/>
  <c r="L666" i="1" l="1"/>
  <c r="K208" i="1" l="1"/>
  <c r="F68" i="2" l="1"/>
  <c r="AI167" i="1" l="1"/>
  <c r="AI166" i="1"/>
  <c r="G65" i="2" l="1"/>
  <c r="O4" i="14" l="1"/>
  <c r="O22" i="14" s="1"/>
  <c r="A32" i="14" s="1"/>
  <c r="N4" i="14"/>
  <c r="N22" i="14" s="1"/>
  <c r="M4" i="14"/>
  <c r="M22" i="14" s="1"/>
  <c r="L4" i="14"/>
  <c r="L22" i="14" s="1"/>
  <c r="K4" i="14"/>
  <c r="K22" i="14" s="1"/>
  <c r="J4" i="14"/>
  <c r="J22" i="14" s="1"/>
  <c r="I4" i="14"/>
  <c r="I22" i="14" s="1"/>
  <c r="H4" i="14"/>
  <c r="H22" i="14" s="1"/>
  <c r="G4" i="14"/>
  <c r="G22" i="14" s="1"/>
  <c r="F4" i="14"/>
  <c r="F22" i="14" s="1"/>
  <c r="E19" i="15"/>
  <c r="E18" i="15"/>
  <c r="G8" i="15"/>
  <c r="G7" i="15"/>
  <c r="G6" i="15"/>
  <c r="G5" i="15"/>
  <c r="K274" i="1"/>
  <c r="AD318" i="1"/>
  <c r="AC318" i="1"/>
  <c r="AB318" i="1"/>
  <c r="AB275" i="1"/>
  <c r="G98" i="2"/>
  <c r="H97" i="2" s="1"/>
  <c r="D34" i="2"/>
  <c r="D6" i="14"/>
  <c r="G76" i="2"/>
  <c r="F69" i="2"/>
  <c r="G66" i="2"/>
  <c r="C15" i="14" s="1"/>
  <c r="G60" i="2"/>
  <c r="F59" i="2"/>
  <c r="G55" i="2"/>
  <c r="C10" i="14" s="1"/>
  <c r="G46" i="2"/>
  <c r="C28" i="2" s="1"/>
  <c r="F13" i="2"/>
  <c r="F12" i="2"/>
  <c r="H65" i="2" l="1"/>
  <c r="I31" i="2"/>
  <c r="D25" i="14" s="1"/>
  <c r="I97" i="2"/>
  <c r="D31" i="2"/>
  <c r="C9" i="14"/>
  <c r="E9" i="14"/>
  <c r="G67" i="2"/>
  <c r="F14" i="2"/>
  <c r="E6" i="14"/>
  <c r="E20" i="15"/>
  <c r="C32" i="2"/>
  <c r="G49" i="2"/>
  <c r="G101" i="2"/>
  <c r="D39" i="2" s="1"/>
  <c r="G69" i="2"/>
  <c r="C17" i="14" s="1"/>
  <c r="D15" i="14"/>
  <c r="D37" i="2"/>
  <c r="G44" i="2"/>
  <c r="D5" i="14"/>
  <c r="G56" i="2"/>
  <c r="C11" i="14" s="1"/>
  <c r="G99" i="2"/>
  <c r="D38" i="2" s="1"/>
  <c r="D33" i="2"/>
  <c r="E7" i="14"/>
  <c r="D10" i="14"/>
  <c r="D32" i="2"/>
  <c r="G47" i="2"/>
  <c r="G79" i="2"/>
  <c r="D7" i="14" s="1"/>
  <c r="D35" i="2"/>
  <c r="E8" i="14"/>
  <c r="C12" i="14"/>
  <c r="C34" i="2"/>
  <c r="G78" i="2"/>
  <c r="D12" i="14"/>
  <c r="C37" i="2"/>
  <c r="C6" i="14"/>
  <c r="H49" i="2" l="1"/>
  <c r="I49" i="2" s="1"/>
  <c r="C38" i="2"/>
  <c r="H67" i="2"/>
  <c r="H33" i="2" s="1"/>
  <c r="E5" i="14"/>
  <c r="H44" i="2"/>
  <c r="I44" i="2" s="1"/>
  <c r="H76" i="2"/>
  <c r="I76" i="2" s="1"/>
  <c r="D8" i="14"/>
  <c r="I29" i="2"/>
  <c r="D24" i="14" s="1"/>
  <c r="C30" i="2"/>
  <c r="C5" i="14"/>
  <c r="C29" i="2"/>
  <c r="G23" i="14"/>
  <c r="D9" i="14"/>
  <c r="C31" i="2"/>
  <c r="D30" i="2"/>
  <c r="C8" i="14"/>
  <c r="D27" i="2"/>
  <c r="C14" i="14"/>
  <c r="C36" i="2"/>
  <c r="D13" i="14"/>
  <c r="J23" i="14"/>
  <c r="D29" i="2"/>
  <c r="D11" i="14"/>
  <c r="E23" i="14"/>
  <c r="C7" i="14"/>
  <c r="D17" i="14"/>
  <c r="C39" i="2"/>
  <c r="H99" i="2"/>
  <c r="D16" i="14"/>
  <c r="C33" i="2"/>
  <c r="C27" i="2"/>
  <c r="C16" i="14"/>
  <c r="H31" i="2"/>
  <c r="I65" i="2"/>
  <c r="D28" i="2"/>
  <c r="M23" i="14"/>
  <c r="C35" i="2"/>
  <c r="C13" i="14"/>
  <c r="D20" i="2" l="1"/>
  <c r="H27" i="2"/>
  <c r="C23" i="14" s="1"/>
  <c r="H7" i="15"/>
  <c r="C25" i="14"/>
  <c r="H8" i="15"/>
  <c r="C26" i="14"/>
  <c r="N23" i="14"/>
  <c r="L23" i="14"/>
  <c r="K23" i="14"/>
  <c r="F23" i="14"/>
  <c r="I99" i="2"/>
  <c r="I33" i="2"/>
  <c r="I67" i="2"/>
  <c r="I27" i="14"/>
  <c r="E24" i="14"/>
  <c r="E27" i="14" s="1"/>
  <c r="J31" i="2"/>
  <c r="H27" i="14"/>
  <c r="J27" i="14"/>
  <c r="I27" i="2"/>
  <c r="D23" i="14" s="1"/>
  <c r="H29" i="2"/>
  <c r="C24" i="14" s="1"/>
  <c r="G27" i="14" l="1"/>
  <c r="G28" i="14" s="1"/>
  <c r="O27" i="14"/>
  <c r="O28" i="14" s="1"/>
  <c r="M27" i="14"/>
  <c r="M28" i="14" s="1"/>
  <c r="K27" i="14"/>
  <c r="K28" i="14" s="1"/>
  <c r="N27" i="14"/>
  <c r="N28" i="14" s="1"/>
  <c r="L27" i="14"/>
  <c r="L28" i="14" s="1"/>
  <c r="F27" i="14"/>
  <c r="F28" i="14" s="1"/>
  <c r="J33" i="2"/>
  <c r="D26" i="14"/>
  <c r="D27" i="14" s="1"/>
  <c r="D28" i="14" s="1"/>
  <c r="C27" i="14"/>
  <c r="C28" i="14" s="1"/>
  <c r="F10" i="2"/>
  <c r="H6" i="15"/>
  <c r="F9" i="2"/>
  <c r="F15" i="2" s="1"/>
  <c r="J28" i="14"/>
  <c r="I28" i="14"/>
  <c r="H5" i="15"/>
  <c r="H28" i="14"/>
  <c r="E28" i="14"/>
  <c r="J27" i="2"/>
  <c r="J29" i="2"/>
  <c r="H10" i="15" l="1"/>
  <c r="H11" i="15"/>
  <c r="F16" i="2"/>
  <c r="F17" i="2" s="1"/>
  <c r="F11" i="2"/>
  <c r="E15" i="15" l="1"/>
  <c r="B16" i="15" s="1"/>
  <c r="H9" i="2"/>
  <c r="F18" i="2"/>
  <c r="J9" i="2"/>
  <c r="E16" i="15" l="1"/>
  <c r="E21" i="15"/>
  <c r="E17" i="15" l="1"/>
  <c r="E22" i="15"/>
  <c r="E23" i="15" s="1"/>
  <c r="E24" i="15" s="1"/>
</calcChain>
</file>

<file path=xl/comments1.xml><?xml version="1.0" encoding="utf-8"?>
<comments xmlns="http://schemas.openxmlformats.org/spreadsheetml/2006/main">
  <authors>
    <author>Will Harman</author>
    <author>CJones</author>
  </authors>
  <commentList>
    <comment ref="B5" authorId="0" shapeId="0">
      <text>
        <r>
          <rPr>
            <sz val="9"/>
            <color indexed="81"/>
            <rFont val="Tahoma"/>
            <family val="2"/>
          </rPr>
          <t xml:space="preserve">Type entry into gray cells.
</t>
        </r>
      </text>
    </comment>
    <comment ref="B8" authorId="1" shapeId="0">
      <text>
        <r>
          <rPr>
            <sz val="9"/>
            <color indexed="81"/>
            <rFont val="Tahoma"/>
            <family val="2"/>
          </rPr>
          <t>Select from pull-down menu for highlighted cells. Do not type.</t>
        </r>
      </text>
    </comment>
  </commentList>
</comments>
</file>

<file path=xl/sharedStrings.xml><?xml version="1.0" encoding="utf-8"?>
<sst xmlns="http://schemas.openxmlformats.org/spreadsheetml/2006/main" count="1494" uniqueCount="419">
  <si>
    <t>Bank Height Ratio (BHR)</t>
  </si>
  <si>
    <t>Functional Category</t>
  </si>
  <si>
    <t>Function-Based Parameters</t>
  </si>
  <si>
    <t>Measurement Method</t>
  </si>
  <si>
    <t>Index</t>
  </si>
  <si>
    <t>Floodplain Connectivity</t>
  </si>
  <si>
    <t>Bank Height Ratio</t>
  </si>
  <si>
    <t>Entrenchment Ratio</t>
  </si>
  <si>
    <t>C</t>
  </si>
  <si>
    <t>E</t>
  </si>
  <si>
    <t>B</t>
  </si>
  <si>
    <t>Bc</t>
  </si>
  <si>
    <t>Field Value</t>
  </si>
  <si>
    <t>Index Value</t>
  </si>
  <si>
    <t>Roll Up Scoring</t>
  </si>
  <si>
    <t>Parameter</t>
  </si>
  <si>
    <t>Category</t>
  </si>
  <si>
    <t>A</t>
  </si>
  <si>
    <t>Sand</t>
  </si>
  <si>
    <t>LWD Index</t>
  </si>
  <si>
    <t>Geomorphology</t>
  </si>
  <si>
    <t>Large Woody Debris</t>
  </si>
  <si>
    <t>L/VL</t>
  </si>
  <si>
    <t>L/L</t>
  </si>
  <si>
    <t>L/M</t>
  </si>
  <si>
    <t>L/H</t>
  </si>
  <si>
    <t>L/VH</t>
  </si>
  <si>
    <t>M/VL</t>
  </si>
  <si>
    <t>M/L</t>
  </si>
  <si>
    <t>M/M</t>
  </si>
  <si>
    <t>M/H</t>
  </si>
  <si>
    <t>L/Ex</t>
  </si>
  <si>
    <t>H/L</t>
  </si>
  <si>
    <t>H/M</t>
  </si>
  <si>
    <t>H/H</t>
  </si>
  <si>
    <t>VH/VL</t>
  </si>
  <si>
    <t>Ex/VL</t>
  </si>
  <si>
    <t>H/Ex</t>
  </si>
  <si>
    <t>Ex/M</t>
  </si>
  <si>
    <t>Ex/H</t>
  </si>
  <si>
    <t>Ex/VH</t>
  </si>
  <si>
    <t>VH/VH</t>
  </si>
  <si>
    <t>Ex/Ex</t>
  </si>
  <si>
    <t>Dominant BEHI/NBS</t>
  </si>
  <si>
    <t>Riparian Vegetation</t>
  </si>
  <si>
    <t>Bed Form Diversity</t>
  </si>
  <si>
    <t>Pool Spacing Ratio</t>
  </si>
  <si>
    <t>Pool Depth Ratio</t>
  </si>
  <si>
    <t>Sinuosity</t>
  </si>
  <si>
    <t>Plan Form</t>
  </si>
  <si>
    <t>EXISTING CONDITION ASSESSMENT</t>
  </si>
  <si>
    <t>PROPOSED CONDITION ASSESSMENT</t>
  </si>
  <si>
    <t>Restoration Potential:</t>
  </si>
  <si>
    <t>Physicochemical</t>
  </si>
  <si>
    <t>Biology</t>
  </si>
  <si>
    <t>Yes</t>
  </si>
  <si>
    <t>No</t>
  </si>
  <si>
    <t>Proposed Stream Length (ft):</t>
  </si>
  <si>
    <t>Existing Stream Length (ft):</t>
  </si>
  <si>
    <t>Notes</t>
  </si>
  <si>
    <t>1. Users input values that are highlighted based on restoration potential</t>
  </si>
  <si>
    <t>Existing Stream Length (ft)</t>
  </si>
  <si>
    <t>Existing Parameter</t>
  </si>
  <si>
    <t>Proposed Parameter</t>
  </si>
  <si>
    <t>CATCHMENT ASSESSMENT</t>
  </si>
  <si>
    <t xml:space="preserve">Rater(s): </t>
  </si>
  <si>
    <t xml:space="preserve">Date: </t>
  </si>
  <si>
    <t>Categories</t>
  </si>
  <si>
    <t>Description of Catchment Condition</t>
  </si>
  <si>
    <t>TMDL</t>
  </si>
  <si>
    <t>Grant</t>
  </si>
  <si>
    <t>Other</t>
  </si>
  <si>
    <t>Programmatic Goals</t>
  </si>
  <si>
    <t>Select:</t>
  </si>
  <si>
    <t>River Basin:</t>
  </si>
  <si>
    <t>Fish</t>
  </si>
  <si>
    <t>GEOMORPHOLOGY</t>
  </si>
  <si>
    <t>PHYSICOCHEMICAL</t>
  </si>
  <si>
    <t>BIOLOGY</t>
  </si>
  <si>
    <t>Stream Temperature:</t>
  </si>
  <si>
    <t>Temperature</t>
  </si>
  <si>
    <t>Proposed Stream Length (ft)</t>
  </si>
  <si>
    <t>F</t>
  </si>
  <si>
    <t>G</t>
  </si>
  <si>
    <t>Stream Slope (%):</t>
  </si>
  <si>
    <t>Proposed Bed Material:</t>
  </si>
  <si>
    <t>Catchment Hydrology</t>
  </si>
  <si>
    <t>Percent Streambank Erosion (%)</t>
  </si>
  <si>
    <t>Gc</t>
  </si>
  <si>
    <t>M/Ex</t>
  </si>
  <si>
    <t>M/VH</t>
  </si>
  <si>
    <t>H/VL</t>
  </si>
  <si>
    <t>H/VH</t>
  </si>
  <si>
    <t>VH/L</t>
  </si>
  <si>
    <t>VH/M</t>
  </si>
  <si>
    <t>VH/H</t>
  </si>
  <si>
    <t>VH/Ex</t>
  </si>
  <si>
    <t>Ex/L</t>
  </si>
  <si>
    <t>Insert Aerial Photo of Project Reach</t>
  </si>
  <si>
    <t>Reach ID:</t>
  </si>
  <si>
    <t>Existing Stream Type:</t>
  </si>
  <si>
    <t>FUNCTIONAL CATEGORY REPORT CARD</t>
  </si>
  <si>
    <t xml:space="preserve">Functional Category  </t>
  </si>
  <si>
    <t>ECS</t>
  </si>
  <si>
    <t>PCS</t>
  </si>
  <si>
    <t>Bed Material Characterization</t>
  </si>
  <si>
    <t>Project Name:</t>
  </si>
  <si>
    <t>a</t>
  </si>
  <si>
    <t>b</t>
  </si>
  <si>
    <t>NF</t>
  </si>
  <si>
    <t>c</t>
  </si>
  <si>
    <t>d</t>
  </si>
  <si>
    <t>NF &amp; FAR</t>
  </si>
  <si>
    <t>FAR &amp; F</t>
  </si>
  <si>
    <t>Proposed Condition Score (PCS)</t>
  </si>
  <si>
    <t>FUNCTION BASED PARAMETERS SUMMARY</t>
  </si>
  <si>
    <t>Winter/Spring</t>
  </si>
  <si>
    <t>Summer</t>
  </si>
  <si>
    <t>Fall</t>
  </si>
  <si>
    <t>Poor</t>
  </si>
  <si>
    <t>Fair</t>
  </si>
  <si>
    <t>Good</t>
  </si>
  <si>
    <t>Rating (P/F/G)</t>
  </si>
  <si>
    <t>P</t>
  </si>
  <si>
    <t xml:space="preserve">Channel immediately upstream or downstream of project reach is concrete, piped, or hardened. </t>
  </si>
  <si>
    <t>Channel immediately upstream or downstream of project reach has native bed and bank material.</t>
  </si>
  <si>
    <t xml:space="preserve">This sheet provides the formulas used to calculate index values from the field values entered on the Quantification Tool worksheet.  Formulas are fit to known delineations between Functioning, Functioning-At-Risk and Not Functioning. </t>
  </si>
  <si>
    <t xml:space="preserve">This sheet is locked to prevent editing. If you have suggested changes based on watershed-specific data, please contact your local permitting agency or client. </t>
  </si>
  <si>
    <t>Reach Runoff</t>
  </si>
  <si>
    <t>Concentrated Flow Points</t>
  </si>
  <si>
    <t>Size Class Pebble Count Analyzer (p-value)</t>
  </si>
  <si>
    <t xml:space="preserve">As-Built </t>
  </si>
  <si>
    <t>As-Built</t>
  </si>
  <si>
    <t>Overall Score</t>
  </si>
  <si>
    <t>Functional Feet</t>
  </si>
  <si>
    <t>Monitoring Year</t>
  </si>
  <si>
    <t>Last Monitoring Year</t>
  </si>
  <si>
    <t>Purpose: This form is used to determine the project's restoration potential. The hydrology categories are used to determine the catchment hydrology score on the Quantification Tool sheet.</t>
  </si>
  <si>
    <t>3. Leave values blank for field values that were not measured</t>
  </si>
  <si>
    <t>2. Users select values from a pull-down menu</t>
  </si>
  <si>
    <t>Flow Alteration</t>
  </si>
  <si>
    <t>Fish Passage</t>
  </si>
  <si>
    <t>Reach isolated by upstream and downstream anthropogenic barriers within 10 miles.</t>
  </si>
  <si>
    <t>Reach isolated by upstream OR downstream anthropogenic barrier within 10 miles.</t>
  </si>
  <si>
    <t>Organism Recruitment</t>
  </si>
  <si>
    <t>Channel immediately upstream or downstream of project reach has native bed and bank material that is highly embedded by fine sediment</t>
  </si>
  <si>
    <t>Wyoming Integrated Report (305(b) and 303(d)) status</t>
  </si>
  <si>
    <t>Percent of Catchment Stream Length Being Enhanced or Restored</t>
  </si>
  <si>
    <t>Less than 5% of the total catchment stream length is within the project reach.</t>
  </si>
  <si>
    <t>5 to 15% of the total catchment stream length is within the project reach.</t>
  </si>
  <si>
    <t>Greater than 15% of the total catchment stream length is within the project reach.</t>
  </si>
  <si>
    <t>Urbanization</t>
  </si>
  <si>
    <t>Development: Oil, Gas, Wind, Pipeline, Mining, Timber Harvest, Roads</t>
  </si>
  <si>
    <t xml:space="preserve">High development in contributing watershed or some within 1 mile of project reach, or &gt;1 mile but available information indicates high potential for impacts to project reach. </t>
  </si>
  <si>
    <t>Moderate development or moderate potential for impacts and none within 1 mile of project reach.</t>
  </si>
  <si>
    <t>WYPDES Permits</t>
  </si>
  <si>
    <t>WYPDES permitted facilities comprise a high percentage of the baseflow in the project reach OR one or more facilities present within two miles upstream of project reach have a high potential to threaten aquatic life.</t>
  </si>
  <si>
    <t>Historic Tie Drives</t>
  </si>
  <si>
    <t>Sediment Supply</t>
  </si>
  <si>
    <t>Bioregion:</t>
  </si>
  <si>
    <t>Existing and Proposed Stream Types</t>
  </si>
  <si>
    <t>Proposed Bed Material</t>
  </si>
  <si>
    <t>BEHI/NBS Scores</t>
  </si>
  <si>
    <t>Restoration Potential</t>
  </si>
  <si>
    <t>Yes/No</t>
  </si>
  <si>
    <t>River Basin</t>
  </si>
  <si>
    <t>Stream Temperature</t>
  </si>
  <si>
    <t>Overall Watershed Condition</t>
  </si>
  <si>
    <t>Data Collection Season</t>
  </si>
  <si>
    <t>Bioregion</t>
  </si>
  <si>
    <t>SE Plains</t>
  </si>
  <si>
    <t>NE Plains</t>
  </si>
  <si>
    <t>Southern Foothills &amp; Laramie Range</t>
  </si>
  <si>
    <t>Southern Rockies</t>
  </si>
  <si>
    <t>Black Hills</t>
  </si>
  <si>
    <t>High Valleys</t>
  </si>
  <si>
    <t>Sedimentary Mountains</t>
  </si>
  <si>
    <t>Granitic Mountains</t>
  </si>
  <si>
    <t>Volcanic Mountains &amp; Valleys</t>
  </si>
  <si>
    <t>Wyoming Basin</t>
  </si>
  <si>
    <t>Bear River</t>
  </si>
  <si>
    <t>Green River</t>
  </si>
  <si>
    <t>NE Missouri Basin</t>
  </si>
  <si>
    <t>Platte River</t>
  </si>
  <si>
    <t>Snake/ Salt River</t>
  </si>
  <si>
    <t>Yellowstone River</t>
  </si>
  <si>
    <t>WSII</t>
  </si>
  <si>
    <t>RIVPACS</t>
  </si>
  <si>
    <t>Bighorn Basin Foothills</t>
  </si>
  <si>
    <t>Macroinvertebrates</t>
  </si>
  <si>
    <t>Ba</t>
  </si>
  <si>
    <t>Cb</t>
  </si>
  <si>
    <t>Pool Spacing Ratio for C Stream Types</t>
  </si>
  <si>
    <t>Pool Spacing Ratio for Bc Stream Types</t>
  </si>
  <si>
    <t>Pool Spacing Ratio for B &amp; Ba Stream Types</t>
  </si>
  <si>
    <t>Rising Limb</t>
  </si>
  <si>
    <t>Falling limb</t>
  </si>
  <si>
    <t>Percent Riffle - Volcanic Mountains and Valleys Region</t>
  </si>
  <si>
    <t>Falling Limb</t>
  </si>
  <si>
    <t xml:space="preserve">Granitic Mountains </t>
  </si>
  <si>
    <t xml:space="preserve">Bighorn Basin Foothills </t>
  </si>
  <si>
    <t xml:space="preserve">Southern Foothills &amp; Laramie Range </t>
  </si>
  <si>
    <t xml:space="preserve">Volcanic Mountains &amp; Valleys </t>
  </si>
  <si>
    <t>Coefficients - Y = a * ln(X) + b</t>
  </si>
  <si>
    <r>
      <t>G</t>
    </r>
    <r>
      <rPr>
        <vertAlign val="subscript"/>
        <sz val="11"/>
        <color theme="1"/>
        <rFont val="Calibri"/>
        <family val="2"/>
        <scheme val="minor"/>
      </rPr>
      <t>1</t>
    </r>
  </si>
  <si>
    <r>
      <t>G</t>
    </r>
    <r>
      <rPr>
        <vertAlign val="subscript"/>
        <sz val="11"/>
        <color theme="1"/>
        <rFont val="Calibri"/>
        <family val="2"/>
        <scheme val="minor"/>
      </rPr>
      <t>2</t>
    </r>
  </si>
  <si>
    <r>
      <t>G</t>
    </r>
    <r>
      <rPr>
        <vertAlign val="subscript"/>
        <sz val="11"/>
        <color theme="1"/>
        <rFont val="Calibri"/>
        <family val="2"/>
        <scheme val="minor"/>
      </rPr>
      <t>3</t>
    </r>
  </si>
  <si>
    <r>
      <t>F</t>
    </r>
    <r>
      <rPr>
        <vertAlign val="subscript"/>
        <sz val="11"/>
        <color theme="1"/>
        <rFont val="Calibri"/>
        <family val="2"/>
        <scheme val="minor"/>
      </rPr>
      <t>1</t>
    </r>
  </si>
  <si>
    <r>
      <t>F</t>
    </r>
    <r>
      <rPr>
        <vertAlign val="subscript"/>
        <sz val="11"/>
        <color theme="1"/>
        <rFont val="Calibri"/>
        <family val="2"/>
        <scheme val="minor"/>
      </rPr>
      <t>2</t>
    </r>
  </si>
  <si>
    <r>
      <t>F</t>
    </r>
    <r>
      <rPr>
        <vertAlign val="subscript"/>
        <sz val="11"/>
        <color theme="1"/>
        <rFont val="Calibri"/>
        <family val="2"/>
        <scheme val="minor"/>
      </rPr>
      <t>3</t>
    </r>
  </si>
  <si>
    <r>
      <t>P</t>
    </r>
    <r>
      <rPr>
        <vertAlign val="subscript"/>
        <sz val="11"/>
        <color theme="1"/>
        <rFont val="Calibri"/>
        <family val="2"/>
        <scheme val="minor"/>
      </rPr>
      <t>1</t>
    </r>
  </si>
  <si>
    <r>
      <t>P</t>
    </r>
    <r>
      <rPr>
        <vertAlign val="subscript"/>
        <sz val="11"/>
        <color theme="1"/>
        <rFont val="Calibri"/>
        <family val="2"/>
        <scheme val="minor"/>
      </rPr>
      <t>2</t>
    </r>
  </si>
  <si>
    <r>
      <t>P</t>
    </r>
    <r>
      <rPr>
        <vertAlign val="subscript"/>
        <sz val="11"/>
        <color theme="1"/>
        <rFont val="Calibri"/>
        <family val="2"/>
        <scheme val="minor"/>
      </rPr>
      <t>3</t>
    </r>
  </si>
  <si>
    <t>Aggradation Ratio</t>
  </si>
  <si>
    <t xml:space="preserve">Tier I (Cold) </t>
  </si>
  <si>
    <t>Tier II (Cold-Cool)</t>
  </si>
  <si>
    <t xml:space="preserve">Tier III (Cool) </t>
  </si>
  <si>
    <t>Tier IV (Cool-Warm)</t>
  </si>
  <si>
    <t>Tier V (Warm)</t>
  </si>
  <si>
    <t>Region</t>
  </si>
  <si>
    <t>Mountains</t>
  </si>
  <si>
    <t>Plains</t>
  </si>
  <si>
    <t>Coefficients - Y = a * X^3 + b * X^2 + c * X + d</t>
  </si>
  <si>
    <t>Percent Riffle for Streams &lt; 3% slope</t>
  </si>
  <si>
    <t>Percent Riffle for Streams  &gt;=3% slope</t>
  </si>
  <si>
    <t>Tier I (Cold)</t>
  </si>
  <si>
    <t>Tier III (Cool)</t>
  </si>
  <si>
    <t>Blue Ribbon and non-trout game fish</t>
  </si>
  <si>
    <t>Red Ribbon</t>
  </si>
  <si>
    <t>Yellow Ribbon</t>
  </si>
  <si>
    <t>Green Ribbon</t>
  </si>
  <si>
    <t>Stream Productivity Rating</t>
  </si>
  <si>
    <t>Blue Ribbon and non-trout</t>
  </si>
  <si>
    <t>Vegetation Cover</t>
  </si>
  <si>
    <t>Forested</t>
  </si>
  <si>
    <t>Scrub-Shrub</t>
  </si>
  <si>
    <t>Herbaceous</t>
  </si>
  <si>
    <t>Q_Low, Measured / Q_Low, Expected</t>
  </si>
  <si>
    <t>Wyoming Game and Fish Department</t>
  </si>
  <si>
    <t>Wyoming Department of Environmental Quality</t>
  </si>
  <si>
    <r>
      <rPr>
        <b/>
        <sz val="11"/>
        <color theme="1"/>
        <rFont val="Calibri"/>
        <family val="2"/>
        <scheme val="minor"/>
      </rPr>
      <t>Lead Agency:</t>
    </r>
    <r>
      <rPr>
        <sz val="11"/>
        <color theme="1"/>
        <rFont val="Calibri"/>
        <family val="2"/>
        <scheme val="minor"/>
      </rPr>
      <t xml:space="preserve"> U.S. Army Corps of Engineers, Omaha District, Wyoming Regulatory Office</t>
    </r>
  </si>
  <si>
    <t>Contractors:</t>
  </si>
  <si>
    <t>Ecosystem Planning and Restoration (EPR) through a contract with the U.S. Environmental</t>
  </si>
  <si>
    <t>Projection Agency (Contract No. EP-C-17-001).</t>
  </si>
  <si>
    <t>Stream Mechanics as a sub-contractor to EPR</t>
  </si>
  <si>
    <t>Contributing Agencies:</t>
  </si>
  <si>
    <t>U.S. Environmental Protection Agency</t>
  </si>
  <si>
    <t>Reference Stream Type:</t>
  </si>
  <si>
    <t>FAR</t>
  </si>
  <si>
    <t>Nutrients</t>
  </si>
  <si>
    <t>Greenline Stability Rating</t>
  </si>
  <si>
    <t>Valley Type</t>
  </si>
  <si>
    <t>Site Information</t>
  </si>
  <si>
    <t>Impact Severity Tier:</t>
  </si>
  <si>
    <t>Tier 4</t>
  </si>
  <si>
    <t>PCS Calculator   -   PCS = a * ECS</t>
  </si>
  <si>
    <t>FUNCTIONAL LOSS SUMMARY</t>
  </si>
  <si>
    <t>Condition Loss</t>
  </si>
  <si>
    <t>Impact Severity Tier</t>
  </si>
  <si>
    <t>N/A</t>
  </si>
  <si>
    <t>Proposed - Existing Stream Length (ft)</t>
  </si>
  <si>
    <t>Functional Loss (%)</t>
  </si>
  <si>
    <t>Tier 5</t>
  </si>
  <si>
    <t>Tier 3</t>
  </si>
  <si>
    <t>Tier 2</t>
  </si>
  <si>
    <t>Tier 1</t>
  </si>
  <si>
    <t>Tier 0</t>
  </si>
  <si>
    <t>Basins</t>
  </si>
  <si>
    <t>FUNCTIONAL CHANGE SUMMARY</t>
  </si>
  <si>
    <t xml:space="preserve">3. Users input values that are highlighted </t>
  </si>
  <si>
    <t>1. Values are referenced from the Quantification Tool Tab</t>
  </si>
  <si>
    <t>Impacts to function-based parameters</t>
  </si>
  <si>
    <t>No impact</t>
  </si>
  <si>
    <t xml:space="preserve">Impacts to riparian vegetation and/or lateral stability. </t>
  </si>
  <si>
    <t xml:space="preserve">Impacts to riparian vegetation, lateral stability, and bed form diversity. </t>
  </si>
  <si>
    <t>Impacts to riparian vegetation, lateral stability, bed form diversity, and floodplain connectivity</t>
  </si>
  <si>
    <t>Impacts to riparian vegetation, lateral stability, bed form diversity, and floodplain connectivity. Potential impacts to temperature, processing of organic matter, macroinvertebrate and fish communities.</t>
  </si>
  <si>
    <t>Mitigation - Credits</t>
  </si>
  <si>
    <t>Mitigation - Debits</t>
  </si>
  <si>
    <t>Debit Options</t>
  </si>
  <si>
    <t>Debit Option:</t>
  </si>
  <si>
    <t>Impacts</t>
  </si>
  <si>
    <t>Reach Description</t>
  </si>
  <si>
    <t>The Stream Quantification Tool Credits:</t>
  </si>
  <si>
    <t>Change in Stream Length (ft)</t>
  </si>
  <si>
    <t>Change in Functional Condition (PCS - ECS)</t>
  </si>
  <si>
    <t>MITIGATION SUMMARY</t>
  </si>
  <si>
    <t>(FF)</t>
  </si>
  <si>
    <t>Multiplier (a)</t>
  </si>
  <si>
    <t>Functional Change</t>
  </si>
  <si>
    <t>Use this worksheet to calculate functional lift or to calculate functional loss using debit option 1. Portions of this worksheet will be used to assist in functional loss calculations for debit options 2 and 3.</t>
  </si>
  <si>
    <t>Use this worksheet to calculate functional loss using debit options 2 and 3.</t>
  </si>
  <si>
    <t>Existing Condition Scores (ECS)</t>
  </si>
  <si>
    <t>Unconfined Alluvial</t>
  </si>
  <si>
    <t>Confined Alluvial</t>
  </si>
  <si>
    <t>Colluvial/V-Shaped</t>
  </si>
  <si>
    <t>Coefficients - Y = a * X + b</t>
  </si>
  <si>
    <t xml:space="preserve">Coefficients - Y = a * X + b </t>
  </si>
  <si>
    <t>Entrenchment Ratio (ER) C, Cb and E Streams</t>
  </si>
  <si>
    <t>Entrenchment Ratio (ER) A, B, Ba and Bc Streams</t>
  </si>
  <si>
    <t>Formulas are of the form: Y = a * X + b, OR Y = a * X^2 + b * X + c, OR Y = a * X^3 + b * X^2 + c * X + d where Y is the index value and X is the field value.</t>
  </si>
  <si>
    <t>Coefficients - Y = a * X^2 + b * X + c</t>
  </si>
  <si>
    <t>Pool Spacing Ratio for Cb Stream Types</t>
  </si>
  <si>
    <t>Sinuosity for E Stream Types</t>
  </si>
  <si>
    <t>WSII Plot 2: Southern Rockies, SE Plains, NE Plains</t>
  </si>
  <si>
    <t>RIVPACS Plot 1: Wyoming Basin, Black Hills, High Valleys, Sedimentary Mountains</t>
  </si>
  <si>
    <t>RIVPACS Plot 2: Southern Rockies, SE Plains, NE Plains</t>
  </si>
  <si>
    <t>RIVPACS Plot 3: Granitic Mountains, Bighorn Basin Foothills, Southern Foothills &amp; Laramie Range, Volcanic Mountains&amp; Valleys</t>
  </si>
  <si>
    <t>Ecoregion:</t>
  </si>
  <si>
    <t>Proposed FF - Existing FF</t>
  </si>
  <si>
    <t>Existing Functional Feet (FF)</t>
  </si>
  <si>
    <t>Proposed Functional Feet (FF)</t>
  </si>
  <si>
    <t>ECS
Impact Severity Tiers 1 - 3</t>
  </si>
  <si>
    <t>Reach Scores</t>
  </si>
  <si>
    <t>Removal of all aquatic functions. This tier is exclusive to projects that completely fill the stream channel, so that the channel is eliminated.</t>
  </si>
  <si>
    <t>Occurred and effects persist.</t>
  </si>
  <si>
    <t>May have occurred but effects ameliorated.</t>
  </si>
  <si>
    <t>Never had them, or no remaining evidence.</t>
  </si>
  <si>
    <t>No WYPDES permitted facilities upstream of the project reach.</t>
  </si>
  <si>
    <t>No development or no potential for impacts.</t>
  </si>
  <si>
    <t>Not urbanized.</t>
  </si>
  <si>
    <t>Rural communities or slow urban or suburban growth.</t>
  </si>
  <si>
    <t>Rapidly urbanizing.</t>
  </si>
  <si>
    <t>In category 1, 2, or 3 or aquatic life uses not evaluated.</t>
  </si>
  <si>
    <t>In Category 4 due to nonsupport of aquatic life uses and aquatic life impairment actively being mitigated.</t>
  </si>
  <si>
    <t>In Category 5 due to nonsupport of aquatic life uses OR in Category 4 and aquatic life impairment not actively being mitigated.</t>
  </si>
  <si>
    <t>Substantial reduction or augmentation of natural flow regime.</t>
  </si>
  <si>
    <t>Project area located less than 1 mile upstream or downstream of an impoundment.</t>
  </si>
  <si>
    <t>No impoundment upstream or downstream of project reach.</t>
  </si>
  <si>
    <t>Minimal reduction or augmentation of natural flow regime.</t>
  </si>
  <si>
    <t>Moderate reduction or augmentation of natural flow regime.</t>
  </si>
  <si>
    <t>No anthropogenic barriers with 10 miles upstream or downstream of the reach.</t>
  </si>
  <si>
    <t>Drainage Area (sq.mi.):</t>
  </si>
  <si>
    <t>Reference Vegetation Cover:</t>
  </si>
  <si>
    <t>Stream Productivity Rating:</t>
  </si>
  <si>
    <t xml:space="preserve">Impoundments </t>
  </si>
  <si>
    <t>Valley Type:</t>
  </si>
  <si>
    <t>Basins and Plains</t>
  </si>
  <si>
    <t xml:space="preserve">Chlorophyll </t>
  </si>
  <si>
    <t>WSII Plot 3: Granitic Mountains, Southern Foothills &amp; Laramie Range, Volcanic Mountains&amp; Valleys</t>
  </si>
  <si>
    <t>WSII Plot 4: Sedimentary Mountains, and Bighorn Basin Foothills</t>
  </si>
  <si>
    <t>Land Use Coefficient</t>
  </si>
  <si>
    <t>Sinuosity for Unconfined Alluvial Valleys</t>
  </si>
  <si>
    <t>Sinuosity for Confined Alluvial Valleys</t>
  </si>
  <si>
    <t>Riparian Width (%)</t>
  </si>
  <si>
    <t>Reach Hydrology &amp; Hydraulics</t>
  </si>
  <si>
    <t>No. of LWD Pieces/ 100 meters</t>
  </si>
  <si>
    <t>MWAT  (⁰C)</t>
  </si>
  <si>
    <t>Metric</t>
  </si>
  <si>
    <t>Native Fish Species Richness (% of Expected)</t>
  </si>
  <si>
    <t>SGCN Absent Score</t>
  </si>
  <si>
    <t>Game Species Biomass (% Change)</t>
  </si>
  <si>
    <t>Function-Based Parameter</t>
  </si>
  <si>
    <t>Native Fish Species Richness (% of expected)</t>
  </si>
  <si>
    <t>Yellow/Green Ribbon</t>
  </si>
  <si>
    <t>Coefficients - Y = a  * X + b</t>
  </si>
  <si>
    <t>Percent Riffle (%)</t>
  </si>
  <si>
    <t>Chlorophyll (mg/m2)</t>
  </si>
  <si>
    <t>Plains - Rising Limb</t>
  </si>
  <si>
    <t>Plains - Falling Limb</t>
  </si>
  <si>
    <t>Restoration Approach</t>
  </si>
  <si>
    <t>Functional Category Scores</t>
  </si>
  <si>
    <t>Project area is located 1 mile or more upstream or downstream of an impoundment</t>
  </si>
  <si>
    <t>Natural plant community extends less than 1/3 of floodplain (~50 year) and vegetation gaps exceed 30% of the contributing stream length.</t>
  </si>
  <si>
    <t>Natural plant community extends more than 1/3 of floodplain (~50 yr) and vegetation gaps do not exceed 30% of the contributing stream length</t>
  </si>
  <si>
    <t>Natural plant community extends more than 2/3 of floodplain (~50 yr) and is over 80% contiguous along contributing stream length</t>
  </si>
  <si>
    <t>High anthropogenic-caused sediment supply from upstream bank erosion and surface runoff.</t>
  </si>
  <si>
    <t>Moderate anthropogenic-caused sediment supply from upstream bank erosion and surface runoff.</t>
  </si>
  <si>
    <t>Lat:</t>
  </si>
  <si>
    <t>Long:</t>
  </si>
  <si>
    <t>Site Information and 
Reference Selection</t>
  </si>
  <si>
    <t>Silt/Clay</t>
  </si>
  <si>
    <t>Gravel</t>
  </si>
  <si>
    <t>Cobble</t>
  </si>
  <si>
    <t>Boulders</t>
  </si>
  <si>
    <t>Bedrock</t>
  </si>
  <si>
    <t xml:space="preserve">Overall Watershed Condition       </t>
  </si>
  <si>
    <t>WYPDES permitted facilities comprise a low to moderate percentage of the baseflow in the project reach AND no facilities are located within two miles upstream of project reach.</t>
  </si>
  <si>
    <t>Low anthropogenic-caused sediment supply. Upstream bank erosion and surface runoff is minimal.</t>
  </si>
  <si>
    <t>Existing Condition Score (ECS)</t>
  </si>
  <si>
    <t>ECS
Impact Severity Tiers 4 - 5</t>
  </si>
  <si>
    <t>For both impact and restoration stream reaches, Reference stream type is the stream type that should occur in a given landscape setting given the hydrogeomorphic processes occurring at the watershed and reach scales. Channel evolution scenarios should be used to inform the reference stream type in the WSQT.</t>
  </si>
  <si>
    <t>Percent Change in FF (%)</t>
  </si>
  <si>
    <t>Date</t>
  </si>
  <si>
    <t>Project Reach Stream Length - Existing (ft):</t>
  </si>
  <si>
    <t>Project Reach Stream Length - Proposed (ft):</t>
  </si>
  <si>
    <t xml:space="preserve">Partial </t>
  </si>
  <si>
    <t xml:space="preserve">Full </t>
  </si>
  <si>
    <t>FAR/NF</t>
  </si>
  <si>
    <t>Mountains &amp; Basins</t>
  </si>
  <si>
    <t>Woody Vegetation Cover (%)</t>
  </si>
  <si>
    <t>Herbaceous Vegetation Cover (%)</t>
  </si>
  <si>
    <t xml:space="preserve">Coefficients - Y = a * X+ b </t>
  </si>
  <si>
    <t>NF/FAR</t>
  </si>
  <si>
    <t>Herbaceous Vegetation Cover</t>
  </si>
  <si>
    <t>Percent Native Cover</t>
  </si>
  <si>
    <t>Percent Armoring</t>
  </si>
  <si>
    <t>Woody Vegetation Cover</t>
  </si>
  <si>
    <t>Pool Spacing Ratio for E Stream Types</t>
  </si>
  <si>
    <t xml:space="preserve">Coefficients - Y = a  * X + b </t>
  </si>
  <si>
    <t>Percent Native Cover (%)</t>
  </si>
  <si>
    <t>Percent Armoring (%)</t>
  </si>
  <si>
    <t>Lateral Migration</t>
  </si>
  <si>
    <t>WSII Plot 1: Wyoming Basin, Black Hills, High Valleys</t>
  </si>
  <si>
    <t>REACH HYDROLOGY &amp; HYDRAULICS</t>
  </si>
  <si>
    <t>LWD - # Pieces / 100 meters</t>
  </si>
  <si>
    <t>Sinuosity for Colluvial/V-Shaped Valleys</t>
  </si>
  <si>
    <t>Herbaceous Reference Vegetation Cover</t>
  </si>
  <si>
    <t>Forested or Scrub-Shrub Reference Vegetation Cover</t>
  </si>
  <si>
    <t>Unconfined Alluvial Valleys</t>
  </si>
  <si>
    <t>Confined Alluvial or Colluvial/V-Shaped Valleys</t>
  </si>
  <si>
    <t>Maximum Weekly Average Temperature (MWAT)</t>
  </si>
  <si>
    <t>July 19 2018</t>
  </si>
  <si>
    <t>Notes:</t>
  </si>
  <si>
    <t>Revised from WSQT Beta Version</t>
  </si>
  <si>
    <t>Last Updated:</t>
  </si>
  <si>
    <t>Version:</t>
  </si>
  <si>
    <t xml:space="preserve">Corrected errors in dominant BEHI/NBS equations, herbaceous vegetation reference curve, sinuosity reference curve and equations, and pool spacing index value equations. </t>
  </si>
  <si>
    <t>October 23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</si>
</sst>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00"/>
    <numFmt numFmtId="167" formatCode="0.00000"/>
  </numFmts>
  <fonts count="40" x14ac:knownFonts="1">
    <font>
      <sz val="11"/>
      <color theme="1"/>
      <name val="Calibri"/>
      <family val="2"/>
      <scheme val="minor"/>
    </font>
    <font>
      <b/>
      <sz val="11"/>
      <color theme="1"/>
      <name val="Calibri"/>
      <family val="2"/>
      <scheme val="minor"/>
    </font>
    <font>
      <sz val="9"/>
      <color indexed="81"/>
      <name val="Tahoma"/>
      <family val="2"/>
    </font>
    <font>
      <sz val="10"/>
      <name val="Arial"/>
      <family val="2"/>
    </font>
    <font>
      <b/>
      <sz val="14"/>
      <name val="Arial"/>
      <family val="2"/>
    </font>
    <font>
      <sz val="11"/>
      <name val="Arial"/>
      <family val="2"/>
    </font>
    <font>
      <b/>
      <sz val="12"/>
      <name val="Arial"/>
      <family val="2"/>
    </font>
    <font>
      <b/>
      <sz val="13"/>
      <color theme="1"/>
      <name val="Calibri"/>
      <family val="2"/>
      <scheme val="minor"/>
    </font>
    <font>
      <sz val="11"/>
      <name val="Calibri"/>
      <family val="2"/>
      <scheme val="minor"/>
    </font>
    <font>
      <vertAlign val="subscript"/>
      <sz val="11"/>
      <color theme="1"/>
      <name val="Calibri"/>
      <family val="2"/>
      <scheme val="minor"/>
    </font>
    <font>
      <b/>
      <sz val="14"/>
      <color theme="1"/>
      <name val="Calibri"/>
      <family val="2"/>
      <scheme val="minor"/>
    </font>
    <font>
      <i/>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4"/>
      <color theme="1"/>
      <name val="Calibri"/>
      <family val="2"/>
      <scheme val="minor"/>
    </font>
    <font>
      <sz val="11"/>
      <color theme="1"/>
      <name val="Calibri"/>
      <family val="2"/>
      <scheme val="minor"/>
    </font>
    <font>
      <i/>
      <sz val="12"/>
      <color theme="1"/>
      <name val="Calibri"/>
      <family val="2"/>
      <scheme val="minor"/>
    </font>
    <font>
      <b/>
      <i/>
      <sz val="12"/>
      <color theme="1"/>
      <name val="Calibri"/>
      <family val="2"/>
      <scheme val="minor"/>
    </font>
    <font>
      <sz val="10"/>
      <color theme="1"/>
      <name val="Calibri"/>
      <family val="2"/>
      <scheme val="minor"/>
    </font>
    <font>
      <sz val="11"/>
      <color rgb="FFFF0000"/>
      <name val="Calibri"/>
      <family val="2"/>
      <scheme val="minor"/>
    </font>
    <font>
      <sz val="11"/>
      <color rgb="FFFF0000"/>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8"/>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2"/>
      <name val="Calibri"/>
      <family val="2"/>
      <scheme val="minor"/>
    </font>
    <font>
      <sz val="12"/>
      <color rgb="FF000000"/>
      <name val="Calibri"/>
      <family val="2"/>
      <scheme val="minor"/>
    </font>
    <font>
      <sz val="11"/>
      <color theme="1"/>
      <name val="Calibri"/>
      <family val="2"/>
      <scheme val="minor"/>
    </font>
    <font>
      <b/>
      <sz val="15"/>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6"/>
      <color theme="1"/>
      <name val="Calibri"/>
      <family val="2"/>
      <scheme val="minor"/>
    </font>
    <font>
      <sz val="14"/>
      <color rgb="FFFF0000"/>
      <name val="Calibri"/>
      <family val="2"/>
      <scheme val="minor"/>
    </font>
  </fonts>
  <fills count="1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ck">
        <color indexed="64"/>
      </right>
      <top/>
      <bottom/>
      <diagonal/>
    </border>
    <border>
      <left style="thick">
        <color indexed="64"/>
      </left>
      <right/>
      <top/>
      <bottom/>
      <diagonal/>
    </border>
    <border>
      <left/>
      <right style="thick">
        <color indexed="64"/>
      </right>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3" fillId="0" borderId="0"/>
    <xf numFmtId="9" fontId="17" fillId="0" borderId="0" applyFont="0" applyFill="0" applyBorder="0" applyAlignment="0" applyProtection="0"/>
  </cellStyleXfs>
  <cellXfs count="618">
    <xf numFmtId="0" fontId="0" fillId="0" borderId="0" xfId="0"/>
    <xf numFmtId="0" fontId="0" fillId="0" borderId="0" xfId="0" applyFill="1"/>
    <xf numFmtId="0" fontId="0" fillId="0" borderId="0" xfId="0"/>
    <xf numFmtId="0" fontId="1" fillId="0" borderId="0" xfId="0" applyFont="1"/>
    <xf numFmtId="2" fontId="0" fillId="0" borderId="0" xfId="0" applyNumberFormat="1"/>
    <xf numFmtId="0" fontId="0" fillId="0" borderId="0" xfId="0" applyBorder="1"/>
    <xf numFmtId="0" fontId="5" fillId="0" borderId="0" xfId="1" applyFont="1"/>
    <xf numFmtId="0" fontId="5" fillId="0" borderId="0" xfId="1" applyFont="1" applyAlignment="1">
      <alignment horizontal="left"/>
    </xf>
    <xf numFmtId="0" fontId="5" fillId="0" borderId="0" xfId="1" applyFont="1" applyAlignment="1">
      <alignment vertical="center" wrapText="1"/>
    </xf>
    <xf numFmtId="0" fontId="6" fillId="7" borderId="20" xfId="1" applyFont="1" applyFill="1" applyBorder="1" applyAlignment="1">
      <alignment vertical="center" wrapText="1"/>
    </xf>
    <xf numFmtId="0" fontId="6" fillId="7" borderId="23" xfId="1" applyFont="1" applyFill="1" applyBorder="1" applyAlignment="1">
      <alignment vertical="center" wrapText="1"/>
    </xf>
    <xf numFmtId="0" fontId="5" fillId="7" borderId="30" xfId="1" applyFont="1" applyFill="1" applyBorder="1" applyAlignment="1">
      <alignment vertical="center"/>
    </xf>
    <xf numFmtId="0" fontId="7" fillId="0" borderId="0" xfId="0" applyFont="1"/>
    <xf numFmtId="0" fontId="3" fillId="0" borderId="0" xfId="1" applyFont="1"/>
    <xf numFmtId="0" fontId="3" fillId="7" borderId="24" xfId="1" applyFont="1" applyFill="1" applyBorder="1"/>
    <xf numFmtId="0" fontId="3" fillId="7" borderId="25" xfId="1" applyFont="1" applyFill="1" applyBorder="1"/>
    <xf numFmtId="0" fontId="3" fillId="0" borderId="28" xfId="1" applyFont="1" applyBorder="1" applyAlignment="1">
      <alignment horizontal="center" vertical="center" wrapText="1"/>
    </xf>
    <xf numFmtId="0" fontId="3" fillId="0" borderId="0" xfId="1" applyFont="1" applyFill="1"/>
    <xf numFmtId="0" fontId="3" fillId="7" borderId="29" xfId="1" applyFont="1" applyFill="1" applyBorder="1"/>
    <xf numFmtId="0" fontId="3" fillId="7" borderId="30" xfId="1" applyFont="1" applyFill="1" applyBorder="1"/>
    <xf numFmtId="0" fontId="3" fillId="7" borderId="31" xfId="1" applyFont="1" applyFill="1" applyBorder="1"/>
    <xf numFmtId="0" fontId="6" fillId="7" borderId="22" xfId="1" applyFont="1" applyFill="1" applyBorder="1" applyAlignment="1">
      <alignment horizontal="center" vertical="center" wrapText="1"/>
    </xf>
    <xf numFmtId="0" fontId="5" fillId="0" borderId="0" xfId="1" applyFont="1" applyAlignment="1">
      <alignment horizontal="left" vertical="center" wrapText="1"/>
    </xf>
    <xf numFmtId="0" fontId="6" fillId="7" borderId="8" xfId="1" applyFont="1" applyFill="1" applyBorder="1" applyAlignment="1">
      <alignment horizontal="center" vertical="center" wrapText="1"/>
    </xf>
    <xf numFmtId="0" fontId="3" fillId="0" borderId="34" xfId="1" applyFont="1" applyBorder="1" applyAlignment="1">
      <alignment horizontal="center" vertical="center" wrapText="1"/>
    </xf>
    <xf numFmtId="0" fontId="3" fillId="0" borderId="35" xfId="1" applyFont="1" applyBorder="1" applyAlignment="1">
      <alignment horizontal="center" vertical="center" wrapText="1"/>
    </xf>
    <xf numFmtId="0" fontId="0" fillId="0" borderId="0" xfId="0" applyFill="1" applyProtection="1"/>
    <xf numFmtId="0" fontId="0" fillId="0" borderId="0" xfId="0" applyProtection="1"/>
    <xf numFmtId="0" fontId="13" fillId="0" borderId="7" xfId="0" applyFont="1" applyBorder="1"/>
    <xf numFmtId="0" fontId="13" fillId="7" borderId="7" xfId="0" applyFont="1" applyFill="1" applyBorder="1" applyAlignment="1" applyProtection="1">
      <alignment horizontal="center"/>
      <protection locked="0"/>
    </xf>
    <xf numFmtId="2" fontId="13" fillId="0" borderId="7" xfId="0" applyNumberFormat="1" applyFont="1" applyBorder="1" applyAlignment="1">
      <alignment horizontal="center"/>
    </xf>
    <xf numFmtId="0" fontId="13" fillId="10" borderId="0" xfId="0" applyFont="1" applyFill="1" applyBorder="1"/>
    <xf numFmtId="0" fontId="13" fillId="10" borderId="22" xfId="0" applyFont="1" applyFill="1" applyBorder="1"/>
    <xf numFmtId="0" fontId="13" fillId="10" borderId="37" xfId="0" applyFont="1" applyFill="1" applyBorder="1"/>
    <xf numFmtId="0" fontId="13" fillId="10" borderId="40" xfId="0" applyFont="1" applyFill="1" applyBorder="1"/>
    <xf numFmtId="0" fontId="13" fillId="11" borderId="10" xfId="0" applyFont="1" applyFill="1" applyBorder="1"/>
    <xf numFmtId="0" fontId="13" fillId="10" borderId="7" xfId="0" applyFont="1" applyFill="1" applyBorder="1" applyAlignment="1">
      <alignment horizontal="left"/>
    </xf>
    <xf numFmtId="0" fontId="13" fillId="12" borderId="7" xfId="0" applyFont="1" applyFill="1" applyBorder="1" applyAlignment="1">
      <alignment horizontal="left"/>
    </xf>
    <xf numFmtId="0" fontId="1" fillId="0" borderId="0" xfId="0" applyFont="1" applyFill="1"/>
    <xf numFmtId="0" fontId="13" fillId="12" borderId="37" xfId="0" applyFont="1" applyFill="1" applyBorder="1"/>
    <xf numFmtId="0" fontId="0" fillId="0" borderId="41" xfId="0" applyBorder="1"/>
    <xf numFmtId="0" fontId="13" fillId="0" borderId="0" xfId="0" applyFont="1" applyFill="1" applyBorder="1"/>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0" fillId="0" borderId="0" xfId="0" applyFont="1" applyBorder="1" applyAlignment="1">
      <alignment vertical="center"/>
    </xf>
    <xf numFmtId="0" fontId="16" fillId="0" borderId="0" xfId="0" applyFont="1"/>
    <xf numFmtId="2" fontId="16" fillId="0" borderId="7" xfId="0" applyNumberFormat="1" applyFont="1" applyBorder="1" applyAlignment="1">
      <alignment horizontal="center" vertical="center"/>
    </xf>
    <xf numFmtId="0" fontId="12" fillId="0" borderId="10" xfId="0" applyFont="1" applyBorder="1" applyAlignment="1"/>
    <xf numFmtId="2" fontId="13" fillId="14" borderId="7" xfId="0" applyNumberFormat="1" applyFont="1" applyFill="1" applyBorder="1" applyAlignment="1">
      <alignment horizontal="center"/>
    </xf>
    <xf numFmtId="2" fontId="16" fillId="14" borderId="7" xfId="0" applyNumberFormat="1" applyFont="1" applyFill="1" applyBorder="1" applyAlignment="1">
      <alignment horizontal="center" vertical="center"/>
    </xf>
    <xf numFmtId="0" fontId="0" fillId="0" borderId="0" xfId="0" applyAlignment="1">
      <alignment horizont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4" fillId="0" borderId="7" xfId="0" applyFont="1" applyBorder="1" applyAlignment="1">
      <alignment horizontal="center"/>
    </xf>
    <xf numFmtId="0" fontId="4" fillId="15" borderId="15" xfId="1" applyFont="1" applyFill="1" applyBorder="1" applyAlignment="1">
      <alignment horizontal="center" vertical="center" wrapText="1"/>
    </xf>
    <xf numFmtId="0" fontId="0" fillId="3" borderId="0" xfId="0" applyFill="1"/>
    <xf numFmtId="0" fontId="0" fillId="0" borderId="0" xfId="0" applyAlignment="1">
      <alignment vertical="center" wrapText="1"/>
    </xf>
    <xf numFmtId="0" fontId="0" fillId="0" borderId="0" xfId="0" applyAlignment="1">
      <alignment horizontal="left"/>
    </xf>
    <xf numFmtId="0" fontId="15" fillId="12" borderId="22" xfId="0" applyFont="1" applyFill="1" applyBorder="1"/>
    <xf numFmtId="0" fontId="15" fillId="12" borderId="32" xfId="0" applyFont="1" applyFill="1" applyBorder="1"/>
    <xf numFmtId="0" fontId="15" fillId="11" borderId="32" xfId="0" applyFont="1" applyFill="1" applyBorder="1"/>
    <xf numFmtId="0" fontId="0" fillId="0" borderId="42" xfId="0" applyBorder="1"/>
    <xf numFmtId="0" fontId="13" fillId="0" borderId="7" xfId="0" applyFont="1" applyBorder="1" applyProtection="1"/>
    <xf numFmtId="0" fontId="11" fillId="0" borderId="0" xfId="0" applyFont="1" applyProtection="1"/>
    <xf numFmtId="0" fontId="13" fillId="0" borderId="0" xfId="0" applyFont="1" applyFill="1" applyBorder="1" applyProtection="1"/>
    <xf numFmtId="0" fontId="14" fillId="0" borderId="0" xfId="0" applyFont="1" applyFill="1" applyBorder="1" applyAlignment="1">
      <alignment vertical="center"/>
    </xf>
    <xf numFmtId="0" fontId="12" fillId="0" borderId="0" xfId="0" applyFont="1" applyFill="1" applyBorder="1" applyAlignment="1" applyProtection="1">
      <alignment horizontal="center" vertical="center"/>
      <protection locked="0"/>
    </xf>
    <xf numFmtId="0" fontId="0" fillId="0" borderId="0" xfId="0" applyFill="1" applyBorder="1" applyAlignment="1">
      <alignment horizontal="left" vertical="center" wrapText="1"/>
    </xf>
    <xf numFmtId="0" fontId="12" fillId="0" borderId="0" xfId="0" applyFont="1" applyBorder="1" applyAlignment="1" applyProtection="1">
      <alignment horizontal="center" vertical="center" wrapText="1"/>
    </xf>
    <xf numFmtId="0" fontId="14" fillId="0" borderId="45" xfId="0" applyFont="1" applyBorder="1" applyAlignment="1" applyProtection="1">
      <alignment horizontal="center" vertical="center" wrapText="1"/>
    </xf>
    <xf numFmtId="0" fontId="14" fillId="0" borderId="45"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0" xfId="0" applyFont="1" applyFill="1" applyBorder="1" applyAlignment="1" applyProtection="1">
      <alignment horizontal="center"/>
    </xf>
    <xf numFmtId="0" fontId="1" fillId="0" borderId="45" xfId="0" applyFont="1" applyBorder="1" applyAlignment="1" applyProtection="1">
      <alignment horizontal="center" vertical="center" wrapText="1"/>
    </xf>
    <xf numFmtId="0" fontId="0" fillId="0" borderId="7" xfId="0" applyBorder="1" applyAlignment="1" applyProtection="1">
      <alignment horizontal="center" vertical="center"/>
    </xf>
    <xf numFmtId="0" fontId="0" fillId="0" borderId="7" xfId="0" applyBorder="1" applyAlignment="1" applyProtection="1">
      <alignment horizontal="center"/>
    </xf>
    <xf numFmtId="0" fontId="0" fillId="0" borderId="0" xfId="0" applyAlignment="1" applyProtection="1">
      <alignment vertical="center"/>
    </xf>
    <xf numFmtId="0" fontId="21" fillId="3" borderId="0" xfId="0" applyFont="1" applyFill="1"/>
    <xf numFmtId="0" fontId="21" fillId="0" borderId="0" xfId="0" applyFont="1" applyFill="1"/>
    <xf numFmtId="0" fontId="0" fillId="0" borderId="4" xfId="0" applyBorder="1"/>
    <xf numFmtId="0" fontId="0" fillId="0" borderId="5" xfId="0" applyBorder="1"/>
    <xf numFmtId="0" fontId="0" fillId="0" borderId="6" xfId="0" applyBorder="1"/>
    <xf numFmtId="2" fontId="18" fillId="0" borderId="7" xfId="0" applyNumberFormat="1" applyFont="1" applyBorder="1" applyAlignment="1" applyProtection="1">
      <alignment horizontal="center" vertical="center"/>
    </xf>
    <xf numFmtId="0" fontId="18" fillId="0" borderId="7" xfId="0" applyFont="1" applyBorder="1" applyAlignment="1" applyProtection="1">
      <alignment horizontal="center" vertical="center"/>
    </xf>
    <xf numFmtId="0" fontId="19" fillId="0" borderId="7" xfId="0" applyFont="1" applyBorder="1" applyAlignment="1" applyProtection="1">
      <alignment horizontal="center" vertical="center"/>
    </xf>
    <xf numFmtId="9" fontId="18" fillId="0" borderId="7" xfId="2" applyFont="1" applyBorder="1" applyAlignment="1" applyProtection="1">
      <alignment horizontal="center" vertical="center"/>
    </xf>
    <xf numFmtId="0" fontId="13" fillId="8" borderId="7" xfId="0" applyFont="1" applyFill="1" applyBorder="1" applyAlignment="1" applyProtection="1">
      <alignment vertical="center"/>
    </xf>
    <xf numFmtId="0" fontId="13" fillId="10" borderId="7" xfId="0" applyFont="1" applyFill="1" applyBorder="1" applyAlignment="1" applyProtection="1">
      <alignment horizontal="left"/>
    </xf>
    <xf numFmtId="0" fontId="13" fillId="5" borderId="7" xfId="0" applyFont="1" applyFill="1" applyBorder="1" applyAlignment="1" applyProtection="1">
      <alignment horizontal="left"/>
    </xf>
    <xf numFmtId="0" fontId="13" fillId="12" borderId="7" xfId="0" applyFont="1" applyFill="1" applyBorder="1" applyAlignment="1" applyProtection="1">
      <alignment horizontal="left"/>
    </xf>
    <xf numFmtId="0" fontId="14" fillId="0" borderId="7" xfId="0" applyFont="1" applyBorder="1" applyAlignment="1" applyProtection="1">
      <alignment vertical="center" wrapText="1"/>
    </xf>
    <xf numFmtId="0" fontId="14" fillId="0" borderId="7"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7" xfId="0" applyFont="1" applyBorder="1" applyAlignment="1" applyProtection="1">
      <alignment vertical="center" wrapText="1"/>
    </xf>
    <xf numFmtId="0" fontId="20" fillId="0" borderId="7" xfId="0" applyFont="1" applyFill="1" applyBorder="1" applyAlignment="1" applyProtection="1">
      <alignment horizontal="center" vertical="center" wrapText="1"/>
    </xf>
    <xf numFmtId="0" fontId="20" fillId="0" borderId="7" xfId="0" applyFont="1" applyFill="1" applyBorder="1" applyAlignment="1" applyProtection="1">
      <alignment vertical="center" wrapText="1"/>
    </xf>
    <xf numFmtId="0" fontId="0" fillId="0" borderId="7" xfId="0" applyFill="1" applyBorder="1" applyAlignment="1" applyProtection="1">
      <alignment horizontal="center" vertical="center"/>
    </xf>
    <xf numFmtId="2" fontId="13" fillId="14" borderId="7" xfId="0" applyNumberFormat="1" applyFont="1" applyFill="1" applyBorder="1" applyAlignment="1" applyProtection="1">
      <alignment horizontal="center"/>
    </xf>
    <xf numFmtId="0" fontId="0" fillId="0" borderId="7" xfId="0" applyFont="1" applyFill="1" applyBorder="1" applyAlignment="1" applyProtection="1">
      <alignment horizontal="left" vertical="center" wrapText="1"/>
    </xf>
    <xf numFmtId="0" fontId="13" fillId="0" borderId="7" xfId="0" applyFont="1" applyBorder="1" applyAlignment="1" applyProtection="1">
      <alignment horizontal="left" vertical="center"/>
    </xf>
    <xf numFmtId="0" fontId="13" fillId="0" borderId="7" xfId="0" applyFont="1" applyBorder="1" applyAlignment="1" applyProtection="1">
      <alignment vertical="center"/>
    </xf>
    <xf numFmtId="0" fontId="22" fillId="3" borderId="0" xfId="0" applyFont="1" applyFill="1"/>
    <xf numFmtId="0" fontId="23" fillId="3" borderId="0" xfId="0" applyFont="1" applyFill="1"/>
    <xf numFmtId="0" fontId="23" fillId="0" borderId="0" xfId="0" applyFont="1"/>
    <xf numFmtId="0" fontId="22" fillId="0" borderId="0" xfId="0" applyFont="1" applyFill="1"/>
    <xf numFmtId="0" fontId="23" fillId="0" borderId="0" xfId="0" applyFont="1" applyFill="1"/>
    <xf numFmtId="0" fontId="25" fillId="7" borderId="7" xfId="0" applyFont="1" applyFill="1" applyBorder="1" applyAlignment="1" applyProtection="1">
      <alignment horizontal="center"/>
      <protection locked="0"/>
    </xf>
    <xf numFmtId="0" fontId="25" fillId="15" borderId="7" xfId="0" applyFont="1" applyFill="1" applyBorder="1" applyAlignment="1" applyProtection="1">
      <alignment horizontal="center"/>
      <protection locked="0"/>
    </xf>
    <xf numFmtId="0" fontId="24" fillId="0" borderId="0" xfId="0" applyFont="1" applyBorder="1" applyAlignment="1">
      <alignment horizontal="center"/>
    </xf>
    <xf numFmtId="0" fontId="23" fillId="0" borderId="0" xfId="0" applyFont="1" applyFill="1" applyProtection="1"/>
    <xf numFmtId="0" fontId="24" fillId="0" borderId="0" xfId="0" applyFont="1" applyBorder="1" applyAlignment="1"/>
    <xf numFmtId="1" fontId="24" fillId="0" borderId="37" xfId="0" applyNumberFormat="1" applyFont="1" applyBorder="1" applyAlignment="1">
      <alignment horizontal="center"/>
    </xf>
    <xf numFmtId="1" fontId="24" fillId="0" borderId="36" xfId="0" applyNumberFormat="1" applyFont="1" applyBorder="1" applyAlignment="1">
      <alignment horizontal="center"/>
    </xf>
    <xf numFmtId="0" fontId="24" fillId="0" borderId="38" xfId="0" applyFont="1" applyBorder="1" applyAlignment="1">
      <alignment horizontal="center"/>
    </xf>
    <xf numFmtId="0" fontId="25" fillId="0" borderId="0" xfId="0" applyFont="1" applyBorder="1" applyAlignment="1" applyProtection="1"/>
    <xf numFmtId="2" fontId="25" fillId="0" borderId="7" xfId="2" applyNumberFormat="1" applyFont="1" applyBorder="1" applyAlignment="1">
      <alignment horizontal="center"/>
    </xf>
    <xf numFmtId="0" fontId="23" fillId="0" borderId="0" xfId="0" applyFont="1" applyProtection="1"/>
    <xf numFmtId="0" fontId="25" fillId="0" borderId="7" xfId="0" applyFont="1" applyBorder="1" applyAlignment="1" applyProtection="1">
      <alignment horizontal="center"/>
    </xf>
    <xf numFmtId="0" fontId="25" fillId="0" borderId="0" xfId="0" applyFont="1" applyBorder="1" applyAlignment="1"/>
    <xf numFmtId="0" fontId="23" fillId="0" borderId="0" xfId="0" applyFont="1" applyBorder="1"/>
    <xf numFmtId="1" fontId="25" fillId="0" borderId="7" xfId="0" applyNumberFormat="1" applyFont="1" applyBorder="1" applyAlignment="1" applyProtection="1">
      <alignment horizontal="center"/>
    </xf>
    <xf numFmtId="0" fontId="25" fillId="0" borderId="0" xfId="0" applyFont="1" applyBorder="1" applyAlignment="1" applyProtection="1">
      <alignment horizontal="left"/>
    </xf>
    <xf numFmtId="1" fontId="25" fillId="0" borderId="7" xfId="0" applyNumberFormat="1" applyFont="1" applyBorder="1" applyAlignment="1">
      <alignment horizontal="center"/>
    </xf>
    <xf numFmtId="9" fontId="25" fillId="0" borderId="7" xfId="2" applyFont="1" applyBorder="1" applyAlignment="1">
      <alignment horizontal="center"/>
    </xf>
    <xf numFmtId="0" fontId="27" fillId="0" borderId="0" xfId="0" applyFont="1" applyBorder="1" applyAlignment="1"/>
    <xf numFmtId="0" fontId="23" fillId="0" borderId="0" xfId="0" applyFont="1" applyFill="1" applyBorder="1"/>
    <xf numFmtId="0" fontId="24" fillId="0" borderId="0" xfId="0" applyFont="1" applyBorder="1" applyAlignment="1">
      <alignment horizontal="center" vertical="center"/>
    </xf>
    <xf numFmtId="0" fontId="28" fillId="0" borderId="0" xfId="0" applyFont="1" applyBorder="1" applyAlignment="1">
      <alignment horizontal="center" vertical="center" wrapText="1"/>
    </xf>
    <xf numFmtId="2" fontId="25" fillId="0" borderId="7" xfId="0" applyNumberFormat="1" applyFont="1" applyBorder="1" applyAlignment="1">
      <alignment horizontal="center"/>
    </xf>
    <xf numFmtId="2" fontId="25" fillId="0" borderId="0" xfId="0" applyNumberFormat="1" applyFont="1" applyBorder="1" applyAlignment="1">
      <alignment horizontal="center"/>
    </xf>
    <xf numFmtId="0" fontId="25" fillId="9" borderId="7" xfId="0" applyFont="1" applyFill="1" applyBorder="1" applyAlignment="1">
      <alignment horizontal="left"/>
    </xf>
    <xf numFmtId="0" fontId="25" fillId="10" borderId="7" xfId="0" applyFont="1" applyFill="1" applyBorder="1" applyAlignment="1">
      <alignment horizontal="left"/>
    </xf>
    <xf numFmtId="0" fontId="25" fillId="5" borderId="7" xfId="0" applyFont="1" applyFill="1" applyBorder="1" applyAlignment="1">
      <alignment horizontal="left"/>
    </xf>
    <xf numFmtId="0" fontId="23" fillId="0" borderId="0" xfId="0" applyFont="1" applyBorder="1" applyAlignment="1">
      <alignment horizontal="center"/>
    </xf>
    <xf numFmtId="0" fontId="25" fillId="12" borderId="7" xfId="0" applyFont="1" applyFill="1" applyBorder="1" applyAlignment="1">
      <alignment horizontal="left"/>
    </xf>
    <xf numFmtId="0" fontId="25" fillId="0" borderId="0" xfId="0" applyFont="1" applyFill="1" applyBorder="1" applyAlignment="1">
      <alignment horizontal="left" vertical="center"/>
    </xf>
    <xf numFmtId="0" fontId="25" fillId="0" borderId="0" xfId="0" applyFont="1" applyFill="1" applyBorder="1" applyAlignment="1">
      <alignment horizontal="left"/>
    </xf>
    <xf numFmtId="2" fontId="25" fillId="0" borderId="0" xfId="0" applyNumberFormat="1" applyFont="1" applyFill="1" applyBorder="1" applyAlignment="1">
      <alignment horizontal="center"/>
    </xf>
    <xf numFmtId="0" fontId="28" fillId="0" borderId="7" xfId="0" applyFont="1" applyBorder="1" applyAlignment="1">
      <alignment horizontal="center"/>
    </xf>
    <xf numFmtId="0" fontId="28" fillId="0" borderId="12" xfId="0" applyFont="1" applyBorder="1" applyAlignment="1">
      <alignment horizontal="center"/>
    </xf>
    <xf numFmtId="0" fontId="25" fillId="7" borderId="39" xfId="0" applyFont="1" applyFill="1" applyBorder="1" applyAlignment="1" applyProtection="1">
      <alignment horizontal="center"/>
      <protection locked="0"/>
    </xf>
    <xf numFmtId="2" fontId="23" fillId="0" borderId="0" xfId="0" applyNumberFormat="1" applyFont="1"/>
    <xf numFmtId="0" fontId="25" fillId="7" borderId="8" xfId="0" applyFont="1" applyFill="1" applyBorder="1" applyAlignment="1" applyProtection="1">
      <alignment horizontal="center"/>
      <protection locked="0"/>
    </xf>
    <xf numFmtId="0" fontId="25" fillId="7" borderId="9" xfId="0" applyFont="1" applyFill="1" applyBorder="1" applyAlignment="1" applyProtection="1">
      <alignment horizontal="center"/>
      <protection locked="0"/>
    </xf>
    <xf numFmtId="0" fontId="25" fillId="7" borderId="9" xfId="0" applyFont="1" applyFill="1" applyBorder="1" applyAlignment="1" applyProtection="1">
      <alignment horizontal="center" vertical="center"/>
      <protection locked="0"/>
    </xf>
    <xf numFmtId="0" fontId="25" fillId="9" borderId="0" xfId="0" applyFont="1" applyFill="1" applyBorder="1"/>
    <xf numFmtId="0" fontId="25" fillId="9" borderId="36" xfId="0" applyFont="1" applyFill="1" applyBorder="1"/>
    <xf numFmtId="0" fontId="25" fillId="9" borderId="36" xfId="0" applyFont="1" applyFill="1" applyBorder="1" applyAlignment="1">
      <alignment horizontal="center"/>
    </xf>
    <xf numFmtId="0" fontId="25" fillId="10" borderId="40" xfId="0" applyFont="1" applyFill="1" applyBorder="1"/>
    <xf numFmtId="2" fontId="25" fillId="10" borderId="40" xfId="0" applyNumberFormat="1" applyFont="1" applyFill="1" applyBorder="1" applyAlignment="1">
      <alignment horizontal="center"/>
    </xf>
    <xf numFmtId="0" fontId="25" fillId="10" borderId="36" xfId="0" applyFont="1" applyFill="1" applyBorder="1"/>
    <xf numFmtId="0" fontId="25" fillId="10" borderId="0" xfId="0" applyFont="1" applyFill="1" applyBorder="1"/>
    <xf numFmtId="0" fontId="25" fillId="7" borderId="32" xfId="0" applyFont="1" applyFill="1" applyBorder="1" applyAlignment="1" applyProtection="1">
      <alignment horizontal="center"/>
      <protection locked="0"/>
    </xf>
    <xf numFmtId="2" fontId="25" fillId="10" borderId="7" xfId="0" applyNumberFormat="1" applyFont="1" applyFill="1" applyBorder="1" applyAlignment="1">
      <alignment horizontal="center"/>
    </xf>
    <xf numFmtId="0" fontId="25" fillId="7" borderId="22" xfId="0" applyFont="1" applyFill="1" applyBorder="1" applyAlignment="1" applyProtection="1">
      <alignment horizontal="center"/>
      <protection locked="0"/>
    </xf>
    <xf numFmtId="2" fontId="32" fillId="10" borderId="8" xfId="0" applyNumberFormat="1" applyFont="1" applyFill="1" applyBorder="1" applyAlignment="1">
      <alignment horizontal="center" vertical="center"/>
    </xf>
    <xf numFmtId="2" fontId="25" fillId="10" borderId="39" xfId="0" applyNumberFormat="1" applyFont="1" applyFill="1" applyBorder="1" applyAlignment="1">
      <alignment horizontal="center"/>
    </xf>
    <xf numFmtId="0" fontId="25" fillId="7" borderId="37" xfId="0" applyFont="1" applyFill="1" applyBorder="1" applyAlignment="1" applyProtection="1">
      <alignment horizontal="center"/>
      <protection locked="0"/>
    </xf>
    <xf numFmtId="0" fontId="25" fillId="10" borderId="9" xfId="0" applyFont="1" applyFill="1" applyBorder="1" applyAlignment="1">
      <alignment horizontal="left" vertical="center"/>
    </xf>
    <xf numFmtId="0" fontId="25" fillId="11" borderId="9" xfId="0" applyFont="1" applyFill="1" applyBorder="1" applyAlignment="1">
      <alignment horizontal="left" vertical="center"/>
    </xf>
    <xf numFmtId="0" fontId="25" fillId="11" borderId="12" xfId="0" applyFont="1" applyFill="1" applyBorder="1"/>
    <xf numFmtId="0" fontId="25" fillId="11" borderId="9" xfId="0" applyFont="1" applyFill="1" applyBorder="1" applyAlignment="1">
      <alignment horizontal="center"/>
    </xf>
    <xf numFmtId="2" fontId="25" fillId="11" borderId="7" xfId="0" applyNumberFormat="1" applyFont="1" applyFill="1" applyBorder="1" applyAlignment="1">
      <alignment horizontal="center"/>
    </xf>
    <xf numFmtId="0" fontId="25" fillId="12" borderId="22" xfId="0" applyFont="1" applyFill="1" applyBorder="1"/>
    <xf numFmtId="0" fontId="25" fillId="12" borderId="40" xfId="0" applyFont="1" applyFill="1" applyBorder="1"/>
    <xf numFmtId="2" fontId="25" fillId="12" borderId="21" xfId="0" applyNumberFormat="1" applyFont="1" applyFill="1" applyBorder="1" applyAlignment="1">
      <alignment horizontal="center"/>
    </xf>
    <xf numFmtId="0" fontId="25" fillId="12" borderId="37" xfId="0" applyFont="1" applyFill="1" applyBorder="1"/>
    <xf numFmtId="0" fontId="25" fillId="12" borderId="36" xfId="0" applyFont="1" applyFill="1" applyBorder="1"/>
    <xf numFmtId="2" fontId="25" fillId="12" borderId="9" xfId="0" applyNumberFormat="1" applyFont="1" applyFill="1" applyBorder="1" applyAlignment="1">
      <alignment horizontal="center"/>
    </xf>
    <xf numFmtId="0" fontId="25" fillId="12" borderId="21" xfId="0" applyFont="1" applyFill="1" applyBorder="1"/>
    <xf numFmtId="2" fontId="25" fillId="12" borderId="39" xfId="0" applyNumberFormat="1" applyFont="1" applyFill="1" applyBorder="1" applyAlignment="1">
      <alignment horizontal="center"/>
    </xf>
    <xf numFmtId="0" fontId="25" fillId="12" borderId="33" xfId="0" applyFont="1" applyFill="1" applyBorder="1"/>
    <xf numFmtId="0" fontId="25" fillId="12" borderId="38" xfId="0" applyFont="1" applyFill="1" applyBorder="1"/>
    <xf numFmtId="2" fontId="25" fillId="11" borderId="39" xfId="0" applyNumberFormat="1" applyFont="1" applyFill="1" applyBorder="1" applyAlignment="1">
      <alignment horizontal="center"/>
    </xf>
    <xf numFmtId="0" fontId="33" fillId="0" borderId="0" xfId="0" applyFont="1"/>
    <xf numFmtId="0" fontId="33" fillId="0" borderId="0" xfId="0" applyFont="1" applyFill="1" applyBorder="1"/>
    <xf numFmtId="0" fontId="33" fillId="0" borderId="0" xfId="0" applyFont="1" applyFill="1" applyBorder="1" applyAlignment="1">
      <alignment vertical="center" wrapText="1"/>
    </xf>
    <xf numFmtId="0" fontId="35" fillId="0" borderId="0" xfId="0" applyFont="1" applyAlignment="1"/>
    <xf numFmtId="0" fontId="35" fillId="0" borderId="0" xfId="0" applyFont="1"/>
    <xf numFmtId="0" fontId="33" fillId="0" borderId="1" xfId="0" applyFont="1" applyBorder="1" applyAlignment="1">
      <alignment vertical="center" wrapText="1"/>
    </xf>
    <xf numFmtId="0" fontId="33" fillId="0" borderId="2" xfId="0" applyFont="1" applyBorder="1"/>
    <xf numFmtId="0" fontId="33" fillId="0" borderId="3" xfId="0" applyFont="1" applyBorder="1"/>
    <xf numFmtId="0" fontId="33" fillId="0" borderId="0" xfId="0" applyFont="1" applyFill="1"/>
    <xf numFmtId="0" fontId="33" fillId="0" borderId="41" xfId="0" applyFont="1" applyBorder="1"/>
    <xf numFmtId="0" fontId="33" fillId="0" borderId="0" xfId="0" applyFont="1" applyBorder="1"/>
    <xf numFmtId="0" fontId="33" fillId="0" borderId="2" xfId="0" applyFont="1" applyBorder="1" applyAlignment="1">
      <alignment vertical="center" wrapText="1"/>
    </xf>
    <xf numFmtId="0" fontId="33" fillId="0" borderId="3" xfId="0" applyFont="1" applyBorder="1" applyAlignment="1">
      <alignment vertical="center" wrapText="1"/>
    </xf>
    <xf numFmtId="0" fontId="33" fillId="0" borderId="2" xfId="0" applyFont="1" applyFill="1" applyBorder="1"/>
    <xf numFmtId="0" fontId="33" fillId="0" borderId="3" xfId="0" applyFont="1" applyFill="1" applyBorder="1"/>
    <xf numFmtId="0" fontId="33" fillId="0" borderId="1" xfId="0" applyFont="1" applyBorder="1" applyAlignment="1">
      <alignment vertical="center"/>
    </xf>
    <xf numFmtId="2" fontId="33" fillId="0" borderId="2" xfId="0" applyNumberFormat="1" applyFont="1" applyBorder="1" applyAlignment="1">
      <alignment vertical="center" wrapText="1"/>
    </xf>
    <xf numFmtId="2" fontId="33" fillId="0" borderId="3" xfId="0" applyNumberFormat="1" applyFont="1" applyBorder="1" applyAlignment="1">
      <alignment vertical="center" wrapText="1"/>
    </xf>
    <xf numFmtId="0" fontId="33" fillId="0" borderId="4" xfId="0" applyFont="1" applyBorder="1" applyAlignment="1">
      <alignment vertical="center" wrapText="1"/>
    </xf>
    <xf numFmtId="0" fontId="33" fillId="2" borderId="5" xfId="0" applyFont="1" applyFill="1" applyBorder="1" applyAlignment="1">
      <alignment vertical="center" wrapText="1"/>
    </xf>
    <xf numFmtId="0" fontId="33" fillId="3" borderId="5" xfId="0" applyFont="1" applyFill="1" applyBorder="1" applyAlignment="1">
      <alignment vertical="center" wrapText="1"/>
    </xf>
    <xf numFmtId="0" fontId="33" fillId="3" borderId="5" xfId="0" applyFont="1" applyFill="1" applyBorder="1"/>
    <xf numFmtId="0" fontId="33" fillId="4" borderId="5" xfId="0" applyFont="1" applyFill="1" applyBorder="1" applyAlignment="1">
      <alignment vertical="center" wrapText="1"/>
    </xf>
    <xf numFmtId="0" fontId="33" fillId="4" borderId="6" xfId="0" applyFont="1" applyFill="1" applyBorder="1" applyAlignment="1">
      <alignment vertical="center" wrapText="1"/>
    </xf>
    <xf numFmtId="0" fontId="33" fillId="0" borderId="42" xfId="0" applyFont="1" applyFill="1" applyBorder="1"/>
    <xf numFmtId="0" fontId="33" fillId="0" borderId="41" xfId="0" applyFont="1" applyBorder="1" applyAlignment="1">
      <alignment vertical="center" wrapText="1"/>
    </xf>
    <xf numFmtId="2" fontId="33" fillId="0" borderId="0" xfId="0" applyNumberFormat="1" applyFont="1" applyBorder="1" applyAlignment="1">
      <alignment vertical="center" wrapText="1"/>
    </xf>
    <xf numFmtId="2" fontId="33" fillId="0" borderId="42" xfId="0" applyNumberFormat="1" applyFont="1" applyBorder="1" applyAlignment="1">
      <alignment vertical="center" wrapText="1"/>
    </xf>
    <xf numFmtId="0" fontId="33" fillId="0" borderId="0" xfId="0" applyFont="1" applyBorder="1" applyAlignment="1">
      <alignment vertical="center" wrapText="1"/>
    </xf>
    <xf numFmtId="0" fontId="33" fillId="0" borderId="0" xfId="0" applyFont="1" applyAlignment="1"/>
    <xf numFmtId="0" fontId="33" fillId="0" borderId="0" xfId="0" applyFont="1" applyBorder="1" applyAlignment="1"/>
    <xf numFmtId="0" fontId="33" fillId="0" borderId="41" xfId="0" applyFont="1" applyBorder="1" applyAlignment="1">
      <alignment vertical="center"/>
    </xf>
    <xf numFmtId="0" fontId="33" fillId="0" borderId="0" xfId="0" applyFont="1" applyFill="1" applyBorder="1" applyAlignment="1"/>
    <xf numFmtId="0" fontId="33" fillId="0" borderId="0" xfId="0" applyFont="1" applyFill="1" applyAlignment="1">
      <alignment horizontal="center"/>
    </xf>
    <xf numFmtId="0" fontId="33" fillId="0" borderId="0" xfId="0" applyFont="1" applyBorder="1" applyAlignment="1">
      <alignment horizontal="center"/>
    </xf>
    <xf numFmtId="0" fontId="33" fillId="0" borderId="44" xfId="0" applyFont="1" applyFill="1" applyBorder="1"/>
    <xf numFmtId="0" fontId="33" fillId="0" borderId="0" xfId="0" applyFont="1" applyAlignment="1">
      <alignment horizontal="center"/>
    </xf>
    <xf numFmtId="2" fontId="33" fillId="0" borderId="0" xfId="0" applyNumberFormat="1" applyFont="1"/>
    <xf numFmtId="0" fontId="36" fillId="0" borderId="0" xfId="0" applyFont="1"/>
    <xf numFmtId="0" fontId="33" fillId="0" borderId="0" xfId="0" applyFont="1" applyAlignment="1">
      <alignment vertical="center"/>
    </xf>
    <xf numFmtId="166" fontId="36" fillId="0" borderId="0" xfId="0" applyNumberFormat="1" applyFont="1"/>
    <xf numFmtId="0" fontId="33" fillId="0" borderId="0" xfId="0" applyFont="1" applyFill="1" applyAlignment="1">
      <alignment vertical="center"/>
    </xf>
    <xf numFmtId="0" fontId="33" fillId="0" borderId="0" xfId="0" applyFont="1" applyBorder="1" applyAlignment="1">
      <alignment vertical="center"/>
    </xf>
    <xf numFmtId="0" fontId="33" fillId="0" borderId="0" xfId="0" applyFont="1" applyFill="1" applyBorder="1" applyAlignment="1">
      <alignment horizontal="left"/>
    </xf>
    <xf numFmtId="0" fontId="33" fillId="0" borderId="0" xfId="0" applyFont="1" applyFill="1" applyBorder="1" applyAlignment="1">
      <alignment horizontal="center"/>
    </xf>
    <xf numFmtId="165" fontId="33" fillId="0" borderId="0" xfId="0" applyNumberFormat="1" applyFont="1"/>
    <xf numFmtId="0" fontId="33" fillId="0" borderId="2" xfId="0" applyFont="1" applyFill="1" applyBorder="1" applyAlignment="1">
      <alignment vertical="center" wrapText="1"/>
    </xf>
    <xf numFmtId="0" fontId="33" fillId="0" borderId="3" xfId="0" applyFont="1" applyFill="1" applyBorder="1" applyAlignment="1">
      <alignment vertical="center" wrapText="1"/>
    </xf>
    <xf numFmtId="0" fontId="33" fillId="0" borderId="1" xfId="0" applyFont="1" applyBorder="1" applyAlignment="1">
      <alignment horizontal="left" vertical="center" wrapText="1"/>
    </xf>
    <xf numFmtId="16" fontId="37" fillId="0" borderId="0" xfId="0" quotePrefix="1" applyNumberFormat="1" applyFont="1" applyFill="1" applyAlignment="1">
      <alignment horizontal="center"/>
    </xf>
    <xf numFmtId="0" fontId="37" fillId="0" borderId="0" xfId="0" quotePrefix="1" applyFont="1" applyAlignment="1">
      <alignment wrapText="1"/>
    </xf>
    <xf numFmtId="0" fontId="37" fillId="0" borderId="0" xfId="0" quotePrefix="1" applyNumberFormat="1" applyFont="1" applyAlignment="1">
      <alignment wrapText="1"/>
    </xf>
    <xf numFmtId="0" fontId="37" fillId="0" borderId="0" xfId="0" applyFont="1" applyAlignment="1">
      <alignment wrapText="1"/>
    </xf>
    <xf numFmtId="0" fontId="33" fillId="0" borderId="0" xfId="0" applyFont="1" applyFill="1" applyAlignment="1"/>
    <xf numFmtId="0" fontId="33" fillId="0" borderId="1" xfId="0" applyFont="1" applyBorder="1"/>
    <xf numFmtId="0" fontId="33" fillId="0" borderId="42" xfId="0" applyFont="1" applyFill="1" applyBorder="1" applyAlignment="1">
      <alignment vertical="center" wrapText="1"/>
    </xf>
    <xf numFmtId="1" fontId="33" fillId="0" borderId="2" xfId="0" applyNumberFormat="1" applyFont="1" applyBorder="1" applyAlignment="1">
      <alignment vertical="center" wrapText="1"/>
    </xf>
    <xf numFmtId="0" fontId="33" fillId="0" borderId="0" xfId="0" applyFont="1" applyFill="1" applyAlignment="1">
      <alignment horizontal="left"/>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33" fillId="2" borderId="5" xfId="0" applyFont="1" applyFill="1" applyBorder="1" applyAlignment="1">
      <alignment horizontal="right" vertical="center" wrapText="1"/>
    </xf>
    <xf numFmtId="0" fontId="33" fillId="3" borderId="5" xfId="0" applyFont="1" applyFill="1" applyBorder="1" applyAlignment="1">
      <alignment horizontal="right" vertical="center" wrapText="1"/>
    </xf>
    <xf numFmtId="0" fontId="33" fillId="4" borderId="5" xfId="0" applyFont="1" applyFill="1" applyBorder="1" applyAlignment="1">
      <alignment horizontal="right" vertical="center" wrapText="1"/>
    </xf>
    <xf numFmtId="0" fontId="33" fillId="4" borderId="6" xfId="0" applyFont="1" applyFill="1" applyBorder="1" applyAlignment="1">
      <alignment horizontal="right" vertical="center" wrapText="1"/>
    </xf>
    <xf numFmtId="0" fontId="33" fillId="0" borderId="0" xfId="0" applyFont="1" applyAlignment="1">
      <alignment wrapText="1"/>
    </xf>
    <xf numFmtId="0" fontId="38" fillId="0" borderId="0" xfId="0" applyFont="1" applyFill="1"/>
    <xf numFmtId="2" fontId="33" fillId="3" borderId="5" xfId="0" applyNumberFormat="1" applyFont="1" applyFill="1" applyBorder="1" applyAlignment="1">
      <alignment vertical="center" wrapText="1"/>
    </xf>
    <xf numFmtId="167" fontId="33" fillId="0" borderId="0" xfId="0" applyNumberFormat="1" applyFont="1"/>
    <xf numFmtId="164" fontId="33" fillId="0" borderId="2" xfId="0" applyNumberFormat="1" applyFont="1" applyBorder="1" applyAlignment="1">
      <alignment vertical="center" wrapText="1"/>
    </xf>
    <xf numFmtId="164" fontId="33" fillId="0" borderId="3" xfId="0" applyNumberFormat="1" applyFont="1" applyBorder="1" applyAlignment="1">
      <alignment vertical="center" wrapText="1"/>
    </xf>
    <xf numFmtId="164" fontId="33" fillId="0" borderId="0" xfId="0" applyNumberFormat="1" applyFont="1" applyBorder="1" applyAlignment="1">
      <alignment vertical="center" wrapText="1"/>
    </xf>
    <xf numFmtId="0" fontId="33" fillId="0" borderId="42" xfId="0" applyFont="1" applyBorder="1" applyAlignment="1">
      <alignment vertical="center" wrapText="1"/>
    </xf>
    <xf numFmtId="0" fontId="33" fillId="0" borderId="0" xfId="0" applyFont="1" applyFill="1" applyAlignment="1">
      <alignment horizontal="right"/>
    </xf>
    <xf numFmtId="164" fontId="33" fillId="0" borderId="2" xfId="0" applyNumberFormat="1" applyFont="1" applyBorder="1"/>
    <xf numFmtId="164" fontId="33" fillId="0" borderId="0" xfId="0" applyNumberFormat="1" applyFont="1" applyBorder="1"/>
    <xf numFmtId="0" fontId="33" fillId="4" borderId="6" xfId="0" applyFont="1" applyFill="1" applyBorder="1"/>
    <xf numFmtId="1" fontId="33" fillId="0" borderId="3" xfId="0" applyNumberFormat="1" applyFont="1" applyFill="1" applyBorder="1" applyAlignment="1">
      <alignment vertical="center" wrapText="1"/>
    </xf>
    <xf numFmtId="1" fontId="33" fillId="0" borderId="42" xfId="0" applyNumberFormat="1" applyFont="1" applyFill="1" applyBorder="1" applyAlignment="1">
      <alignment vertical="center" wrapText="1"/>
    </xf>
    <xf numFmtId="1" fontId="33" fillId="0" borderId="0" xfId="0" applyNumberFormat="1" applyFont="1" applyBorder="1" applyAlignment="1">
      <alignment vertical="center" wrapText="1"/>
    </xf>
    <xf numFmtId="1" fontId="33" fillId="0" borderId="2" xfId="0" applyNumberFormat="1" applyFont="1" applyBorder="1"/>
    <xf numFmtId="1" fontId="33" fillId="0" borderId="0" xfId="0" applyNumberFormat="1" applyFont="1" applyBorder="1"/>
    <xf numFmtId="0" fontId="0" fillId="0" borderId="1" xfId="0" applyFont="1" applyBorder="1" applyAlignment="1">
      <alignment vertical="center" wrapText="1"/>
    </xf>
    <xf numFmtId="0" fontId="0" fillId="0" borderId="41" xfId="0" applyFont="1" applyBorder="1" applyAlignment="1">
      <alignment vertical="center" wrapText="1"/>
    </xf>
    <xf numFmtId="0" fontId="0" fillId="0" borderId="0" xfId="0" applyFont="1"/>
    <xf numFmtId="1" fontId="33" fillId="0" borderId="42" xfId="0" applyNumberFormat="1" applyFont="1" applyBorder="1" applyAlignment="1">
      <alignment vertical="center" wrapText="1"/>
    </xf>
    <xf numFmtId="0" fontId="0" fillId="0" borderId="0" xfId="0" applyFont="1" applyFill="1"/>
    <xf numFmtId="0" fontId="0" fillId="0" borderId="0" xfId="0" applyFont="1" applyFill="1" applyBorder="1"/>
    <xf numFmtId="0" fontId="0" fillId="0" borderId="2" xfId="0" applyFont="1" applyBorder="1"/>
    <xf numFmtId="0" fontId="25" fillId="0" borderId="40" xfId="0" applyFont="1" applyFill="1" applyBorder="1" applyAlignment="1" applyProtection="1">
      <alignment horizontal="center"/>
    </xf>
    <xf numFmtId="0" fontId="36" fillId="0" borderId="0" xfId="0" applyFont="1" applyBorder="1" applyAlignment="1">
      <alignment horizontal="center" vertical="center"/>
    </xf>
    <xf numFmtId="0" fontId="36" fillId="0" borderId="0" xfId="0" applyFont="1" applyBorder="1" applyAlignment="1">
      <alignment horizontal="center" vertical="center" wrapText="1"/>
    </xf>
    <xf numFmtId="0" fontId="36" fillId="0" borderId="2" xfId="0" applyFont="1" applyBorder="1" applyAlignment="1">
      <alignment horizontal="center" vertical="center"/>
    </xf>
    <xf numFmtId="0" fontId="36" fillId="0" borderId="2"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xf numFmtId="0" fontId="0" fillId="0" borderId="0" xfId="0" applyFont="1" applyFill="1" applyBorder="1" applyAlignment="1">
      <alignment vertical="center"/>
    </xf>
    <xf numFmtId="0" fontId="0" fillId="0" borderId="0" xfId="0" applyFont="1" applyBorder="1" applyAlignment="1">
      <alignment vertical="center" wrapText="1"/>
    </xf>
    <xf numFmtId="0" fontId="36" fillId="0" borderId="3" xfId="0" applyFont="1" applyBorder="1" applyAlignment="1">
      <alignment horizontal="center" vertical="center" wrapText="1"/>
    </xf>
    <xf numFmtId="0" fontId="0" fillId="0" borderId="42" xfId="0" applyBorder="1" applyAlignment="1">
      <alignment horizontal="center" vertical="center" wrapText="1"/>
    </xf>
    <xf numFmtId="0" fontId="36" fillId="0" borderId="42" xfId="0" applyFont="1" applyBorder="1" applyAlignment="1">
      <alignment horizontal="center" vertical="center" wrapText="1"/>
    </xf>
    <xf numFmtId="0" fontId="33" fillId="0" borderId="0" xfId="0" applyFont="1" applyBorder="1" applyAlignment="1">
      <alignment wrapText="1"/>
    </xf>
    <xf numFmtId="0" fontId="0" fillId="0" borderId="41" xfId="0" applyFont="1" applyBorder="1"/>
    <xf numFmtId="0" fontId="25" fillId="10" borderId="9" xfId="0" applyFont="1" applyFill="1" applyBorder="1" applyAlignment="1">
      <alignment horizontal="left" vertical="center"/>
    </xf>
    <xf numFmtId="0" fontId="31" fillId="10" borderId="40" xfId="0" applyFont="1" applyFill="1" applyBorder="1"/>
    <xf numFmtId="0" fontId="31" fillId="10" borderId="36" xfId="0" applyFont="1" applyFill="1" applyBorder="1"/>
    <xf numFmtId="0" fontId="13" fillId="10" borderId="32" xfId="0" applyFont="1" applyFill="1" applyBorder="1"/>
    <xf numFmtId="0" fontId="37" fillId="0" borderId="2" xfId="0" applyFont="1" applyFill="1" applyBorder="1" applyAlignment="1">
      <alignment horizontal="right" vertical="center"/>
    </xf>
    <xf numFmtId="0" fontId="33" fillId="0" borderId="3" xfId="0" applyFont="1" applyFill="1" applyBorder="1" applyAlignment="1">
      <alignment horizontal="right"/>
    </xf>
    <xf numFmtId="0" fontId="0" fillId="0" borderId="41" xfId="0" applyFont="1" applyFill="1" applyBorder="1"/>
    <xf numFmtId="0" fontId="37" fillId="0" borderId="0" xfId="0" applyFont="1" applyFill="1" applyBorder="1" applyAlignment="1">
      <alignment horizontal="right" vertical="center"/>
    </xf>
    <xf numFmtId="0" fontId="33" fillId="0" borderId="0" xfId="0" applyFont="1" applyFill="1" applyBorder="1" applyAlignment="1">
      <alignment horizontal="right"/>
    </xf>
    <xf numFmtId="0" fontId="33" fillId="0" borderId="42" xfId="0" applyFont="1" applyFill="1" applyBorder="1" applyAlignment="1">
      <alignment horizontal="right"/>
    </xf>
    <xf numFmtId="0" fontId="33" fillId="0" borderId="1" xfId="0" applyFont="1" applyFill="1" applyBorder="1" applyAlignment="1">
      <alignment vertical="center" wrapText="1"/>
    </xf>
    <xf numFmtId="0" fontId="13" fillId="9" borderId="22" xfId="0" applyFont="1" applyFill="1" applyBorder="1"/>
    <xf numFmtId="0" fontId="25" fillId="9" borderId="40" xfId="0" applyFont="1" applyFill="1" applyBorder="1"/>
    <xf numFmtId="0" fontId="25" fillId="9" borderId="32" xfId="0" applyFont="1" applyFill="1" applyBorder="1"/>
    <xf numFmtId="0" fontId="25" fillId="9" borderId="37" xfId="0" applyFont="1" applyFill="1" applyBorder="1" applyAlignment="1">
      <alignment vertical="center"/>
    </xf>
    <xf numFmtId="2" fontId="25" fillId="9" borderId="36" xfId="0" applyNumberFormat="1" applyFont="1" applyFill="1" applyBorder="1" applyAlignment="1">
      <alignment horizontal="center"/>
    </xf>
    <xf numFmtId="0" fontId="15" fillId="11" borderId="33" xfId="0" applyFont="1" applyFill="1" applyBorder="1"/>
    <xf numFmtId="0" fontId="33" fillId="0" borderId="2" xfId="0" applyFont="1" applyFill="1" applyBorder="1" applyAlignment="1">
      <alignment vertical="center"/>
    </xf>
    <xf numFmtId="0" fontId="33" fillId="0" borderId="3" xfId="0" applyFont="1" applyFill="1" applyBorder="1" applyAlignment="1">
      <alignment vertical="center"/>
    </xf>
    <xf numFmtId="1" fontId="33" fillId="0" borderId="0" xfId="0" applyNumberFormat="1" applyFont="1" applyFill="1" applyBorder="1" applyAlignment="1">
      <alignment vertical="center" wrapText="1"/>
    </xf>
    <xf numFmtId="1" fontId="33" fillId="0" borderId="0" xfId="0" applyNumberFormat="1" applyFont="1" applyFill="1" applyBorder="1" applyAlignment="1">
      <alignment vertical="center"/>
    </xf>
    <xf numFmtId="1" fontId="33" fillId="0" borderId="42" xfId="0" applyNumberFormat="1" applyFont="1" applyFill="1" applyBorder="1" applyAlignment="1">
      <alignment vertical="center"/>
    </xf>
    <xf numFmtId="1" fontId="33" fillId="0" borderId="2" xfId="0" applyNumberFormat="1" applyFont="1" applyFill="1" applyBorder="1" applyAlignment="1">
      <alignment vertical="center" wrapText="1"/>
    </xf>
    <xf numFmtId="1" fontId="33" fillId="0" borderId="2" xfId="0" applyNumberFormat="1" applyFont="1" applyFill="1" applyBorder="1" applyAlignment="1">
      <alignment vertical="center"/>
    </xf>
    <xf numFmtId="1" fontId="33" fillId="0" borderId="3" xfId="0" applyNumberFormat="1" applyFont="1" applyFill="1" applyBorder="1" applyAlignment="1">
      <alignment vertical="center"/>
    </xf>
    <xf numFmtId="0" fontId="33" fillId="0" borderId="42" xfId="0" applyFont="1" applyBorder="1"/>
    <xf numFmtId="0" fontId="0" fillId="0" borderId="1" xfId="0" applyFont="1" applyBorder="1"/>
    <xf numFmtId="0" fontId="33" fillId="0" borderId="1" xfId="0" applyFont="1" applyBorder="1" applyAlignment="1">
      <alignment horizontal="left" vertical="top"/>
    </xf>
    <xf numFmtId="167" fontId="33" fillId="0" borderId="0" xfId="0" applyNumberFormat="1" applyFont="1" applyBorder="1" applyAlignment="1">
      <alignment vertical="center"/>
    </xf>
    <xf numFmtId="0" fontId="0" fillId="0" borderId="0" xfId="0" applyFont="1" applyFill="1" applyAlignment="1">
      <alignment horizontal="center"/>
    </xf>
    <xf numFmtId="0" fontId="0" fillId="0" borderId="0" xfId="0" applyFont="1" applyFill="1" applyBorder="1" applyAlignment="1"/>
    <xf numFmtId="0" fontId="0" fillId="0" borderId="0" xfId="0" applyFont="1" applyFill="1" applyBorder="1" applyAlignment="1">
      <alignment horizontal="left" vertical="center"/>
    </xf>
    <xf numFmtId="0" fontId="25" fillId="11" borderId="9" xfId="0" applyFont="1" applyFill="1" applyBorder="1" applyAlignment="1">
      <alignment horizontal="left" vertical="center"/>
    </xf>
    <xf numFmtId="2" fontId="25" fillId="11" borderId="39" xfId="0" applyNumberFormat="1" applyFont="1" applyFill="1" applyBorder="1" applyAlignment="1">
      <alignment horizontal="center" vertical="center"/>
    </xf>
    <xf numFmtId="2" fontId="25" fillId="9" borderId="9" xfId="0" applyNumberFormat="1" applyFont="1" applyFill="1" applyBorder="1" applyAlignment="1">
      <alignment horizontal="center" vertical="center"/>
    </xf>
    <xf numFmtId="0" fontId="0" fillId="0" borderId="0" xfId="0" applyFont="1" applyFill="1" applyProtection="1"/>
    <xf numFmtId="0" fontId="26" fillId="0" borderId="0" xfId="0" applyFont="1" applyAlignment="1" applyProtection="1"/>
    <xf numFmtId="0" fontId="25" fillId="11" borderId="7" xfId="0" applyFont="1" applyFill="1" applyBorder="1" applyAlignment="1">
      <alignment horizontal="left" vertical="center"/>
    </xf>
    <xf numFmtId="2" fontId="25" fillId="0" borderId="7" xfId="0" applyNumberFormat="1" applyFont="1"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0" fillId="0" borderId="0" xfId="0" applyBorder="1" applyAlignment="1" applyProtection="1">
      <alignment horizontal="center" vertical="center"/>
    </xf>
    <xf numFmtId="0" fontId="0" fillId="0" borderId="0" xfId="0"/>
    <xf numFmtId="0" fontId="3" fillId="0" borderId="26" xfId="1" applyFont="1" applyBorder="1" applyAlignment="1">
      <alignment vertical="center" wrapText="1"/>
    </xf>
    <xf numFmtId="0" fontId="3" fillId="0" borderId="26" xfId="1" applyFont="1" applyBorder="1" applyAlignment="1">
      <alignment horizontal="center" vertical="center" wrapText="1"/>
    </xf>
    <xf numFmtId="0" fontId="3" fillId="0" borderId="27"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26" xfId="1" applyFont="1" applyFill="1" applyBorder="1" applyAlignment="1">
      <alignment vertical="center" wrapText="1"/>
    </xf>
    <xf numFmtId="0" fontId="3" fillId="0" borderId="26" xfId="1" applyFont="1" applyFill="1" applyBorder="1" applyAlignment="1">
      <alignment horizontal="center" vertical="center" wrapText="1"/>
    </xf>
    <xf numFmtId="0" fontId="3" fillId="0" borderId="27" xfId="1" applyFont="1" applyFill="1" applyBorder="1" applyAlignment="1">
      <alignment horizontal="center" vertical="center" wrapText="1"/>
    </xf>
    <xf numFmtId="0" fontId="3" fillId="0" borderId="43" xfId="1" applyFont="1" applyBorder="1" applyAlignment="1">
      <alignment vertical="center" wrapText="1"/>
    </xf>
    <xf numFmtId="0" fontId="3" fillId="0" borderId="43" xfId="1" applyFont="1" applyBorder="1" applyAlignment="1">
      <alignment horizontal="center" vertical="center" wrapText="1"/>
    </xf>
    <xf numFmtId="0" fontId="14" fillId="0" borderId="10" xfId="0" applyFont="1" applyBorder="1" applyAlignment="1"/>
    <xf numFmtId="0" fontId="14" fillId="0" borderId="12" xfId="0" applyFont="1" applyBorder="1" applyAlignment="1"/>
    <xf numFmtId="2" fontId="25" fillId="9" borderId="9" xfId="0" applyNumberFormat="1" applyFont="1" applyFill="1" applyBorder="1" applyAlignment="1">
      <alignment horizontal="center" vertical="center"/>
    </xf>
    <xf numFmtId="2" fontId="25" fillId="11" borderId="7" xfId="0" applyNumberFormat="1" applyFont="1" applyFill="1" applyBorder="1" applyAlignment="1">
      <alignment horizontal="center" vertical="center"/>
    </xf>
    <xf numFmtId="0" fontId="1" fillId="0" borderId="46" xfId="0" applyFont="1" applyBorder="1"/>
    <xf numFmtId="0" fontId="25" fillId="10" borderId="7" xfId="0" applyFont="1" applyFill="1" applyBorder="1" applyAlignment="1">
      <alignment horizontal="center"/>
    </xf>
    <xf numFmtId="0" fontId="6" fillId="0" borderId="0" xfId="1" applyFont="1" applyAlignment="1">
      <alignment vertical="center"/>
    </xf>
    <xf numFmtId="0" fontId="5" fillId="0" borderId="0" xfId="1" applyFont="1" applyBorder="1" applyAlignment="1">
      <alignment vertical="center" wrapText="1"/>
    </xf>
    <xf numFmtId="2" fontId="25" fillId="9" borderId="40" xfId="0" applyNumberFormat="1" applyFont="1" applyFill="1" applyBorder="1" applyAlignment="1">
      <alignment horizontal="center"/>
    </xf>
    <xf numFmtId="2" fontId="25" fillId="9" borderId="0" xfId="0" applyNumberFormat="1" applyFont="1" applyFill="1" applyBorder="1" applyAlignment="1">
      <alignment horizontal="center"/>
    </xf>
    <xf numFmtId="2" fontId="32" fillId="10" borderId="39" xfId="0" applyNumberFormat="1" applyFont="1" applyFill="1" applyBorder="1" applyAlignment="1">
      <alignment horizontal="center" vertical="center"/>
    </xf>
    <xf numFmtId="2" fontId="25" fillId="10" borderId="21" xfId="0" applyNumberFormat="1" applyFont="1" applyFill="1" applyBorder="1" applyAlignment="1">
      <alignment horizontal="center"/>
    </xf>
    <xf numFmtId="2" fontId="25" fillId="10" borderId="33" xfId="0" applyNumberFormat="1" applyFont="1" applyFill="1" applyBorder="1" applyAlignment="1">
      <alignment horizontal="center"/>
    </xf>
    <xf numFmtId="2" fontId="25" fillId="10" borderId="38" xfId="0" applyNumberFormat="1" applyFont="1" applyFill="1" applyBorder="1" applyAlignment="1">
      <alignment horizontal="center"/>
    </xf>
    <xf numFmtId="2" fontId="25" fillId="10" borderId="36" xfId="0" applyNumberFormat="1" applyFont="1" applyFill="1" applyBorder="1" applyAlignment="1">
      <alignment horizontal="center"/>
    </xf>
    <xf numFmtId="2" fontId="25" fillId="11" borderId="9" xfId="0" applyNumberFormat="1" applyFont="1" applyFill="1" applyBorder="1" applyAlignment="1">
      <alignment horizontal="center"/>
    </xf>
    <xf numFmtId="2" fontId="0" fillId="0" borderId="7" xfId="0" applyNumberFormat="1" applyBorder="1" applyAlignment="1" applyProtection="1">
      <alignment horizontal="center" vertical="center"/>
    </xf>
    <xf numFmtId="2" fontId="0" fillId="0" borderId="9" xfId="0" applyNumberFormat="1" applyFont="1" applyBorder="1" applyAlignment="1" applyProtection="1">
      <alignment horizontal="center" vertical="center" wrapText="1"/>
    </xf>
    <xf numFmtId="2" fontId="0" fillId="0" borderId="7" xfId="0" applyNumberFormat="1" applyFill="1" applyBorder="1" applyAlignment="1" applyProtection="1">
      <alignment horizontal="center"/>
    </xf>
    <xf numFmtId="2" fontId="13" fillId="0" borderId="9" xfId="0" applyNumberFormat="1" applyFont="1" applyFill="1" applyBorder="1" applyAlignment="1" applyProtection="1">
      <alignment horizontal="center" vertical="center"/>
    </xf>
    <xf numFmtId="2" fontId="10" fillId="14" borderId="7" xfId="0" applyNumberFormat="1" applyFont="1" applyFill="1" applyBorder="1" applyAlignment="1">
      <alignment horizontal="center"/>
    </xf>
    <xf numFmtId="2" fontId="10" fillId="0" borderId="7" xfId="0" applyNumberFormat="1" applyFont="1" applyFill="1" applyBorder="1" applyAlignment="1">
      <alignment horizontal="center"/>
    </xf>
    <xf numFmtId="164" fontId="10" fillId="14" borderId="7" xfId="0" applyNumberFormat="1" applyFont="1" applyFill="1" applyBorder="1" applyAlignment="1">
      <alignment horizontal="center"/>
    </xf>
    <xf numFmtId="164" fontId="10" fillId="14" borderId="7" xfId="0" applyNumberFormat="1" applyFont="1" applyFill="1" applyBorder="1" applyAlignment="1">
      <alignment horizontal="center" vertical="center"/>
    </xf>
    <xf numFmtId="164" fontId="10" fillId="0" borderId="7" xfId="0" applyNumberFormat="1" applyFont="1" applyBorder="1" applyAlignment="1">
      <alignment horizontal="center" vertical="center"/>
    </xf>
    <xf numFmtId="0" fontId="12" fillId="7" borderId="11" xfId="0" applyFont="1" applyFill="1" applyBorder="1" applyAlignment="1" applyProtection="1">
      <alignment horizontal="center"/>
      <protection locked="0"/>
    </xf>
    <xf numFmtId="0" fontId="8" fillId="15" borderId="7" xfId="0" applyFont="1" applyFill="1" applyBorder="1"/>
    <xf numFmtId="0" fontId="0" fillId="15" borderId="7" xfId="0" applyFill="1" applyBorder="1" applyAlignment="1">
      <alignment horizontal="center"/>
    </xf>
    <xf numFmtId="0" fontId="12" fillId="0" borderId="11" xfId="0" applyFont="1" applyFill="1" applyBorder="1" applyAlignment="1" applyProtection="1">
      <alignment horizontal="right"/>
    </xf>
    <xf numFmtId="0" fontId="25" fillId="11" borderId="9" xfId="0" applyFont="1" applyFill="1" applyBorder="1" applyAlignment="1">
      <alignment horizontal="left" vertical="center"/>
    </xf>
    <xf numFmtId="2" fontId="25" fillId="11" borderId="9" xfId="0" applyNumberFormat="1" applyFont="1" applyFill="1" applyBorder="1" applyAlignment="1" applyProtection="1">
      <alignment horizontal="center"/>
    </xf>
    <xf numFmtId="0" fontId="25" fillId="7" borderId="33" xfId="0" applyFont="1" applyFill="1" applyBorder="1" applyAlignment="1" applyProtection="1">
      <alignment horizontal="center"/>
      <protection locked="0"/>
    </xf>
    <xf numFmtId="0" fontId="25" fillId="10" borderId="33" xfId="0" applyFont="1" applyFill="1" applyBorder="1"/>
    <xf numFmtId="2" fontId="25" fillId="10" borderId="9" xfId="0" applyNumberFormat="1" applyFont="1" applyFill="1" applyBorder="1" applyAlignment="1">
      <alignment horizontal="center" vertical="center"/>
    </xf>
    <xf numFmtId="0" fontId="25" fillId="10" borderId="9" xfId="0" applyFont="1" applyFill="1" applyBorder="1" applyAlignment="1">
      <alignment horizontal="left" vertical="center"/>
    </xf>
    <xf numFmtId="2" fontId="25" fillId="10" borderId="39" xfId="0" applyNumberFormat="1" applyFont="1" applyFill="1" applyBorder="1" applyAlignment="1">
      <alignment horizontal="center" vertical="center"/>
    </xf>
    <xf numFmtId="0" fontId="25" fillId="11" borderId="9" xfId="0" applyFont="1" applyFill="1" applyBorder="1" applyAlignment="1">
      <alignment horizontal="left" vertical="center"/>
    </xf>
    <xf numFmtId="2" fontId="25" fillId="9" borderId="9" xfId="0" applyNumberFormat="1" applyFont="1" applyFill="1" applyBorder="1" applyAlignment="1">
      <alignment horizontal="center" vertical="center"/>
    </xf>
    <xf numFmtId="2" fontId="25" fillId="10" borderId="8" xfId="0" applyNumberFormat="1" applyFont="1" applyFill="1" applyBorder="1" applyAlignment="1">
      <alignment horizontal="center"/>
    </xf>
    <xf numFmtId="0" fontId="0" fillId="0" borderId="0" xfId="0" applyFont="1" applyFill="1" applyBorder="1" applyAlignment="1">
      <alignment horizontal="center"/>
    </xf>
    <xf numFmtId="0" fontId="33" fillId="0" borderId="0" xfId="0" applyFont="1" applyBorder="1" applyAlignment="1">
      <alignment horizontal="center"/>
    </xf>
    <xf numFmtId="0" fontId="31" fillId="10" borderId="0" xfId="0" applyFont="1" applyFill="1" applyBorder="1"/>
    <xf numFmtId="0" fontId="31" fillId="10" borderId="33" xfId="0" applyFont="1" applyFill="1" applyBorder="1"/>
    <xf numFmtId="0" fontId="31" fillId="10" borderId="38" xfId="0" applyFont="1" applyFill="1" applyBorder="1"/>
    <xf numFmtId="0" fontId="15" fillId="10" borderId="36" xfId="0" applyFont="1" applyFill="1" applyBorder="1"/>
    <xf numFmtId="2" fontId="25" fillId="10" borderId="39" xfId="0" applyNumberFormat="1" applyFont="1" applyFill="1" applyBorder="1" applyAlignment="1">
      <alignment horizontal="center" vertical="center"/>
    </xf>
    <xf numFmtId="2" fontId="25" fillId="10" borderId="9" xfId="0" applyNumberFormat="1" applyFont="1" applyFill="1" applyBorder="1" applyAlignment="1">
      <alignment horizontal="center" vertical="center"/>
    </xf>
    <xf numFmtId="0" fontId="25" fillId="7" borderId="0" xfId="0" applyFont="1" applyFill="1" applyBorder="1" applyAlignment="1" applyProtection="1">
      <alignment horizontal="center"/>
      <protection locked="0"/>
    </xf>
    <xf numFmtId="2" fontId="23" fillId="0" borderId="0" xfId="0" applyNumberFormat="1" applyFont="1" applyBorder="1"/>
    <xf numFmtId="0" fontId="25" fillId="7" borderId="36" xfId="0" applyFont="1" applyFill="1" applyBorder="1" applyAlignment="1" applyProtection="1">
      <alignment horizontal="center"/>
      <protection locked="0"/>
    </xf>
    <xf numFmtId="0" fontId="25" fillId="10" borderId="21" xfId="0" applyFont="1" applyFill="1" applyBorder="1"/>
    <xf numFmtId="0" fontId="25" fillId="7" borderId="40" xfId="0" applyFont="1" applyFill="1" applyBorder="1" applyAlignment="1" applyProtection="1">
      <alignment horizontal="center"/>
      <protection locked="0"/>
    </xf>
    <xf numFmtId="0" fontId="0" fillId="0" borderId="0" xfId="0" applyFont="1" applyAlignment="1">
      <alignment horizontal="center"/>
    </xf>
    <xf numFmtId="0" fontId="0" fillId="0" borderId="0" xfId="0" applyFont="1" applyAlignment="1"/>
    <xf numFmtId="0" fontId="13" fillId="7" borderId="9" xfId="0" applyFont="1" applyFill="1" applyBorder="1" applyAlignment="1" applyProtection="1">
      <alignment horizontal="center" vertical="center"/>
      <protection locked="0"/>
    </xf>
    <xf numFmtId="0" fontId="0" fillId="0" borderId="0" xfId="0" applyFont="1" applyBorder="1" applyAlignment="1">
      <alignment horizontal="center"/>
    </xf>
    <xf numFmtId="0" fontId="0" fillId="0" borderId="1" xfId="0" applyFont="1" applyFill="1" applyBorder="1" applyAlignment="1">
      <alignment vertical="center" wrapText="1"/>
    </xf>
    <xf numFmtId="2" fontId="13" fillId="10" borderId="9" xfId="0" applyNumberFormat="1" applyFont="1" applyFill="1" applyBorder="1" applyAlignment="1">
      <alignment horizontal="center" vertical="center"/>
    </xf>
    <xf numFmtId="0" fontId="25" fillId="10" borderId="22" xfId="0" applyFont="1" applyFill="1" applyBorder="1" applyAlignment="1">
      <alignment horizontal="center"/>
    </xf>
    <xf numFmtId="2" fontId="25" fillId="10" borderId="37" xfId="0" applyNumberFormat="1" applyFont="1" applyFill="1" applyBorder="1" applyAlignment="1">
      <alignment horizontal="center"/>
    </xf>
    <xf numFmtId="165" fontId="33" fillId="0" borderId="0" xfId="0" applyNumberFormat="1" applyFont="1" applyFill="1" applyBorder="1"/>
    <xf numFmtId="0" fontId="25" fillId="0" borderId="7" xfId="0" applyFont="1" applyFill="1" applyBorder="1" applyAlignment="1" applyProtection="1">
      <alignment horizontal="center"/>
    </xf>
    <xf numFmtId="2" fontId="25" fillId="9" borderId="21" xfId="0" applyNumberFormat="1" applyFont="1" applyFill="1" applyBorder="1" applyAlignment="1">
      <alignment horizontal="center"/>
    </xf>
    <xf numFmtId="2" fontId="25" fillId="9" borderId="38" xfId="0" applyNumberFormat="1" applyFont="1" applyFill="1" applyBorder="1" applyAlignment="1">
      <alignment horizontal="center"/>
    </xf>
    <xf numFmtId="2" fontId="25" fillId="9" borderId="33" xfId="0" applyNumberFormat="1" applyFont="1" applyFill="1" applyBorder="1" applyAlignment="1">
      <alignment horizontal="center"/>
    </xf>
    <xf numFmtId="0" fontId="25" fillId="9" borderId="37" xfId="0" applyFont="1" applyFill="1" applyBorder="1"/>
    <xf numFmtId="0" fontId="25" fillId="10" borderId="22" xfId="0" applyFont="1" applyFill="1" applyBorder="1"/>
    <xf numFmtId="0" fontId="25" fillId="10" borderId="32" xfId="0" applyFont="1" applyFill="1" applyBorder="1"/>
    <xf numFmtId="0" fontId="31" fillId="10" borderId="32" xfId="0" applyFont="1" applyFill="1" applyBorder="1"/>
    <xf numFmtId="0" fontId="15" fillId="10" borderId="37" xfId="0" applyFont="1" applyFill="1" applyBorder="1"/>
    <xf numFmtId="0" fontId="25" fillId="10" borderId="37" xfId="0" applyFont="1" applyFill="1" applyBorder="1"/>
    <xf numFmtId="0" fontId="33" fillId="0" borderId="0" xfId="0" applyFont="1" applyBorder="1" applyAlignment="1">
      <alignment horizontal="center"/>
    </xf>
    <xf numFmtId="0" fontId="33" fillId="0" borderId="0" xfId="0" applyFont="1" applyBorder="1" applyAlignment="1">
      <alignment horizontal="center" vertical="center"/>
    </xf>
    <xf numFmtId="0" fontId="33" fillId="0" borderId="0" xfId="0" applyFont="1" applyBorder="1" applyAlignment="1">
      <alignment horizontal="center" wrapText="1"/>
    </xf>
    <xf numFmtId="0" fontId="0" fillId="0" borderId="0" xfId="0" applyFont="1" applyBorder="1" applyAlignment="1">
      <alignment horizontal="center" wrapText="1"/>
    </xf>
    <xf numFmtId="0" fontId="0" fillId="0" borderId="1" xfId="0" applyFont="1" applyFill="1" applyBorder="1" applyAlignment="1">
      <alignment horizontal="left" vertical="center"/>
    </xf>
    <xf numFmtId="0" fontId="0" fillId="0" borderId="1" xfId="0" applyFont="1" applyBorder="1" applyAlignment="1">
      <alignment vertical="center"/>
    </xf>
    <xf numFmtId="0" fontId="0" fillId="0" borderId="4" xfId="0" applyFont="1" applyBorder="1" applyAlignment="1">
      <alignment vertical="center" wrapText="1"/>
    </xf>
    <xf numFmtId="0" fontId="25" fillId="0" borderId="7" xfId="0" applyFont="1" applyFill="1" applyBorder="1" applyAlignment="1" applyProtection="1">
      <alignment vertical="center"/>
    </xf>
    <xf numFmtId="0" fontId="25" fillId="0" borderId="7" xfId="0" applyFont="1" applyBorder="1" applyAlignment="1" applyProtection="1">
      <alignment vertical="center"/>
    </xf>
    <xf numFmtId="0" fontId="39" fillId="0" borderId="36" xfId="0" applyFont="1" applyBorder="1" applyAlignment="1" applyProtection="1">
      <alignment vertical="center" wrapText="1"/>
    </xf>
    <xf numFmtId="0" fontId="0" fillId="0" borderId="7" xfId="0" applyFill="1" applyBorder="1"/>
    <xf numFmtId="0" fontId="0" fillId="0" borderId="7" xfId="0" applyBorder="1"/>
    <xf numFmtId="0" fontId="0" fillId="0" borderId="7" xfId="0" applyFill="1" applyBorder="1" applyAlignment="1">
      <alignment horizontal="center"/>
    </xf>
    <xf numFmtId="2" fontId="0" fillId="0" borderId="7" xfId="0" applyNumberFormat="1" applyFill="1" applyBorder="1" applyAlignment="1">
      <alignment horizontal="center"/>
    </xf>
    <xf numFmtId="2" fontId="0" fillId="0" borderId="7" xfId="0" applyNumberFormat="1" applyBorder="1" applyAlignment="1">
      <alignment horizontal="center"/>
    </xf>
    <xf numFmtId="0" fontId="14" fillId="0" borderId="7" xfId="0" applyFont="1" applyBorder="1" applyAlignment="1">
      <alignment horizontal="center" wrapText="1"/>
    </xf>
    <xf numFmtId="0" fontId="0" fillId="0" borderId="0" xfId="0" applyAlignment="1">
      <alignment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0" xfId="0" applyAlignment="1">
      <alignment horizontal="center"/>
    </xf>
    <xf numFmtId="0" fontId="0" fillId="16" borderId="7" xfId="0" applyFill="1" applyBorder="1" applyAlignment="1">
      <alignment horizontal="left"/>
    </xf>
    <xf numFmtId="0" fontId="0" fillId="16" borderId="47" xfId="0" applyFill="1" applyBorder="1" applyAlignment="1">
      <alignment horizontal="left"/>
    </xf>
    <xf numFmtId="0" fontId="14" fillId="0" borderId="41" xfId="0" applyFont="1" applyBorder="1" applyAlignment="1" applyProtection="1">
      <alignment horizontal="left"/>
    </xf>
    <xf numFmtId="0" fontId="14" fillId="0" borderId="0" xfId="0" applyFont="1" applyBorder="1" applyAlignment="1" applyProtection="1">
      <alignment horizontal="left"/>
    </xf>
    <xf numFmtId="0" fontId="14" fillId="0" borderId="33" xfId="0" applyFont="1" applyBorder="1" applyAlignment="1" applyProtection="1">
      <alignment horizontal="left"/>
    </xf>
    <xf numFmtId="0" fontId="11" fillId="0" borderId="41" xfId="0" applyFont="1" applyBorder="1" applyAlignment="1">
      <alignment horizontal="left" vertical="center" wrapText="1"/>
    </xf>
    <xf numFmtId="0" fontId="11" fillId="0" borderId="0" xfId="0" applyFont="1" applyBorder="1" applyAlignment="1">
      <alignment horizontal="left" vertical="center" wrapText="1"/>
    </xf>
    <xf numFmtId="0" fontId="11" fillId="0" borderId="42" xfId="0" applyFont="1" applyBorder="1" applyAlignment="1">
      <alignment horizontal="left" vertical="center" wrapText="1"/>
    </xf>
    <xf numFmtId="0" fontId="0" fillId="16" borderId="7" xfId="0" applyFill="1" applyBorder="1" applyAlignment="1">
      <alignment horizontal="center"/>
    </xf>
    <xf numFmtId="0" fontId="0" fillId="16" borderId="47" xfId="0" applyFill="1" applyBorder="1" applyAlignment="1">
      <alignment horizontal="center"/>
    </xf>
    <xf numFmtId="0" fontId="0" fillId="16" borderId="10" xfId="0" applyFill="1" applyBorder="1" applyAlignment="1">
      <alignment horizontal="left"/>
    </xf>
    <xf numFmtId="0" fontId="0" fillId="16" borderId="11" xfId="0" applyFill="1" applyBorder="1" applyAlignment="1">
      <alignment horizontal="left"/>
    </xf>
    <xf numFmtId="0" fontId="0" fillId="16" borderId="48" xfId="0" applyFill="1" applyBorder="1" applyAlignment="1">
      <alignment horizontal="left"/>
    </xf>
    <xf numFmtId="0" fontId="0" fillId="0" borderId="7" xfId="0" applyFill="1" applyBorder="1" applyAlignment="1">
      <alignment horizontal="left"/>
    </xf>
    <xf numFmtId="15" fontId="0" fillId="0" borderId="7" xfId="0" applyNumberFormat="1" applyFill="1" applyBorder="1" applyAlignment="1">
      <alignment horizontal="left" wrapText="1"/>
    </xf>
    <xf numFmtId="0" fontId="0" fillId="0" borderId="7" xfId="0" applyBorder="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6" fillId="7" borderId="22" xfId="1" applyFont="1" applyFill="1" applyBorder="1" applyAlignment="1">
      <alignment horizontal="center" vertical="center" wrapText="1"/>
    </xf>
    <xf numFmtId="0" fontId="6" fillId="7" borderId="21" xfId="1" applyFont="1" applyFill="1" applyBorder="1" applyAlignment="1">
      <alignment horizontal="center" vertical="center" wrapText="1"/>
    </xf>
    <xf numFmtId="0" fontId="6" fillId="7" borderId="32" xfId="1" applyFont="1" applyFill="1" applyBorder="1" applyAlignment="1">
      <alignment horizontal="center" vertical="center" wrapText="1"/>
    </xf>
    <xf numFmtId="0" fontId="6" fillId="7" borderId="33" xfId="1" applyFont="1" applyFill="1" applyBorder="1" applyAlignment="1">
      <alignment horizontal="center" vertical="center" wrapText="1"/>
    </xf>
    <xf numFmtId="0" fontId="6" fillId="7" borderId="7" xfId="1" applyFont="1" applyFill="1" applyBorder="1" applyAlignment="1">
      <alignment horizontal="center" vertical="center" wrapText="1"/>
    </xf>
    <xf numFmtId="0" fontId="6" fillId="7" borderId="10"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6" borderId="16" xfId="1" applyFont="1" applyFill="1" applyBorder="1" applyAlignment="1">
      <alignment horizontal="center" vertical="center"/>
    </xf>
    <xf numFmtId="0" fontId="4" fillId="6" borderId="17" xfId="1" applyFont="1" applyFill="1" applyBorder="1" applyAlignment="1">
      <alignment horizontal="center" vertical="center"/>
    </xf>
    <xf numFmtId="0" fontId="4" fillId="6" borderId="18" xfId="1" applyFont="1" applyFill="1" applyBorder="1" applyAlignment="1">
      <alignment horizontal="center" vertical="center"/>
    </xf>
    <xf numFmtId="0" fontId="4" fillId="6" borderId="19" xfId="1" applyFont="1" applyFill="1" applyBorder="1" applyAlignment="1">
      <alignment horizontal="center" vertical="center"/>
    </xf>
    <xf numFmtId="0" fontId="5" fillId="0" borderId="41" xfId="1" applyFont="1" applyBorder="1" applyAlignment="1">
      <alignment horizontal="center" vertical="center" wrapText="1"/>
    </xf>
    <xf numFmtId="0" fontId="5" fillId="0" borderId="0" xfId="1" applyFont="1" applyBorder="1" applyAlignment="1">
      <alignment horizontal="center" vertical="center" wrapText="1"/>
    </xf>
    <xf numFmtId="2" fontId="25" fillId="10" borderId="8" xfId="0" applyNumberFormat="1" applyFont="1" applyFill="1" applyBorder="1" applyAlignment="1">
      <alignment horizontal="center" vertical="center"/>
    </xf>
    <xf numFmtId="2" fontId="25" fillId="10" borderId="39" xfId="0" applyNumberFormat="1" applyFont="1" applyFill="1" applyBorder="1" applyAlignment="1">
      <alignment horizontal="center" vertical="center"/>
    </xf>
    <xf numFmtId="2" fontId="25" fillId="10" borderId="9" xfId="0" applyNumberFormat="1" applyFont="1" applyFill="1" applyBorder="1" applyAlignment="1">
      <alignment horizontal="center" vertical="center"/>
    </xf>
    <xf numFmtId="2" fontId="25" fillId="0" borderId="8" xfId="0" applyNumberFormat="1" applyFont="1" applyBorder="1" applyAlignment="1">
      <alignment horizontal="center" vertical="center" wrapText="1"/>
    </xf>
    <xf numFmtId="2" fontId="25" fillId="0" borderId="39" xfId="0" applyNumberFormat="1" applyFont="1" applyBorder="1" applyAlignment="1">
      <alignment horizontal="center" vertical="center" wrapText="1"/>
    </xf>
    <xf numFmtId="2" fontId="25" fillId="0" borderId="9" xfId="0" applyNumberFormat="1" applyFont="1" applyBorder="1" applyAlignment="1">
      <alignment horizontal="center" vertical="center" wrapText="1"/>
    </xf>
    <xf numFmtId="0" fontId="13" fillId="10" borderId="8" xfId="0" applyFont="1" applyFill="1" applyBorder="1" applyAlignment="1">
      <alignment horizontal="left" vertical="center"/>
    </xf>
    <xf numFmtId="0" fontId="25" fillId="10" borderId="39" xfId="0" applyFont="1" applyFill="1" applyBorder="1" applyAlignment="1">
      <alignment horizontal="left" vertical="center"/>
    </xf>
    <xf numFmtId="0" fontId="25" fillId="10" borderId="9" xfId="0" applyFont="1" applyFill="1" applyBorder="1" applyAlignment="1">
      <alignment horizontal="left" vertical="center"/>
    </xf>
    <xf numFmtId="2" fontId="25" fillId="10" borderId="33" xfId="0" applyNumberFormat="1" applyFont="1" applyFill="1" applyBorder="1" applyAlignment="1">
      <alignment horizontal="center" vertical="center"/>
    </xf>
    <xf numFmtId="0" fontId="25" fillId="10" borderId="8" xfId="0" applyFont="1" applyFill="1" applyBorder="1" applyAlignment="1">
      <alignment horizontal="left" vertical="center"/>
    </xf>
    <xf numFmtId="0" fontId="25" fillId="10" borderId="32" xfId="0" applyFont="1" applyFill="1" applyBorder="1" applyAlignment="1">
      <alignment horizontal="left" vertical="center"/>
    </xf>
    <xf numFmtId="0" fontId="13" fillId="10" borderId="36" xfId="0" applyFont="1" applyFill="1" applyBorder="1" applyAlignment="1">
      <alignment horizontal="left"/>
    </xf>
    <xf numFmtId="0" fontId="13" fillId="10" borderId="38" xfId="0" applyFont="1" applyFill="1" applyBorder="1" applyAlignment="1">
      <alignment horizontal="left"/>
    </xf>
    <xf numFmtId="0" fontId="13" fillId="9" borderId="8"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5" fillId="9" borderId="9" xfId="0" applyFont="1" applyFill="1" applyBorder="1" applyAlignment="1">
      <alignment horizontal="center" vertical="center" wrapText="1"/>
    </xf>
    <xf numFmtId="2" fontId="30" fillId="0" borderId="7" xfId="0" applyNumberFormat="1" applyFont="1" applyBorder="1" applyAlignment="1">
      <alignment horizontal="center" vertical="center"/>
    </xf>
    <xf numFmtId="0" fontId="25" fillId="0" borderId="7" xfId="0" applyFont="1" applyBorder="1" applyAlignment="1">
      <alignment horizontal="center" vertical="center" wrapText="1"/>
    </xf>
    <xf numFmtId="2" fontId="25" fillId="12" borderId="8" xfId="0" applyNumberFormat="1" applyFont="1" applyFill="1" applyBorder="1" applyAlignment="1">
      <alignment horizontal="center" vertical="center"/>
    </xf>
    <xf numFmtId="2" fontId="25" fillId="12" borderId="9" xfId="0" applyNumberFormat="1" applyFont="1" applyFill="1" applyBorder="1" applyAlignment="1">
      <alignment horizontal="center" vertical="center"/>
    </xf>
    <xf numFmtId="2" fontId="25" fillId="12" borderId="7" xfId="0" applyNumberFormat="1" applyFont="1" applyFill="1" applyBorder="1" applyAlignment="1">
      <alignment horizontal="center" vertical="center"/>
    </xf>
    <xf numFmtId="2" fontId="25" fillId="12" borderId="39" xfId="0" applyNumberFormat="1" applyFont="1" applyFill="1" applyBorder="1" applyAlignment="1">
      <alignment horizontal="center" vertical="center"/>
    </xf>
    <xf numFmtId="2" fontId="25" fillId="11" borderId="8" xfId="0" applyNumberFormat="1" applyFont="1" applyFill="1" applyBorder="1" applyAlignment="1">
      <alignment horizontal="center" vertical="center"/>
    </xf>
    <xf numFmtId="2" fontId="25" fillId="11" borderId="9" xfId="0" applyNumberFormat="1" applyFont="1" applyFill="1" applyBorder="1" applyAlignment="1">
      <alignment horizontal="center" vertical="center"/>
    </xf>
    <xf numFmtId="2" fontId="25" fillId="10" borderId="21" xfId="0" applyNumberFormat="1" applyFont="1" applyFill="1" applyBorder="1" applyAlignment="1">
      <alignment horizontal="center" vertical="center"/>
    </xf>
    <xf numFmtId="2" fontId="25" fillId="10" borderId="38" xfId="0" applyNumberFormat="1" applyFont="1" applyFill="1" applyBorder="1" applyAlignment="1">
      <alignment horizontal="center" vertical="center"/>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5" borderId="7" xfId="0" applyFont="1" applyFill="1" applyBorder="1" applyAlignment="1">
      <alignment horizontal="center" vertical="center"/>
    </xf>
    <xf numFmtId="0" fontId="25" fillId="9" borderId="8" xfId="0" applyFont="1" applyFill="1" applyBorder="1" applyAlignment="1">
      <alignment horizontal="left" vertical="center"/>
    </xf>
    <xf numFmtId="0" fontId="25" fillId="9" borderId="9" xfId="0" applyFont="1" applyFill="1" applyBorder="1" applyAlignment="1">
      <alignment horizontal="left" vertical="center"/>
    </xf>
    <xf numFmtId="0" fontId="13" fillId="0" borderId="10" xfId="0" applyFont="1" applyBorder="1"/>
    <xf numFmtId="0" fontId="13" fillId="0" borderId="12" xfId="0" applyFont="1" applyBorder="1"/>
    <xf numFmtId="0" fontId="25" fillId="12" borderId="7" xfId="0" applyFont="1" applyFill="1" applyBorder="1" applyAlignment="1">
      <alignment horizontal="center" vertical="center"/>
    </xf>
    <xf numFmtId="0" fontId="24" fillId="0" borderId="10" xfId="0" applyFont="1"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16" fillId="9" borderId="7" xfId="0" applyFont="1" applyFill="1" applyBorder="1" applyAlignment="1">
      <alignment horizontal="center" vertical="center" wrapText="1"/>
    </xf>
    <xf numFmtId="0" fontId="14" fillId="0" borderId="10" xfId="0" applyFont="1" applyBorder="1" applyAlignment="1">
      <alignment horizontal="center"/>
    </xf>
    <xf numFmtId="0" fontId="28" fillId="0" borderId="11" xfId="0" applyFont="1" applyBorder="1" applyAlignment="1">
      <alignment horizontal="center"/>
    </xf>
    <xf numFmtId="0" fontId="25" fillId="11" borderId="8" xfId="0" applyFont="1" applyFill="1" applyBorder="1" applyAlignment="1">
      <alignment horizontal="left" vertical="center"/>
    </xf>
    <xf numFmtId="0" fontId="25" fillId="11" borderId="9" xfId="0" applyFont="1" applyFill="1" applyBorder="1" applyAlignment="1">
      <alignment horizontal="left" vertical="center"/>
    </xf>
    <xf numFmtId="0" fontId="13" fillId="9" borderId="8" xfId="0" applyFont="1" applyFill="1" applyBorder="1" applyAlignment="1">
      <alignment horizontal="left" vertical="center" wrapText="1"/>
    </xf>
    <xf numFmtId="0" fontId="13" fillId="9" borderId="39" xfId="0" applyFont="1" applyFill="1" applyBorder="1" applyAlignment="1">
      <alignment horizontal="left" vertical="center" wrapText="1"/>
    </xf>
    <xf numFmtId="0" fontId="13" fillId="9" borderId="9" xfId="0" applyFont="1" applyFill="1" applyBorder="1" applyAlignment="1">
      <alignment horizontal="left" vertical="center" wrapText="1"/>
    </xf>
    <xf numFmtId="2" fontId="25" fillId="9" borderId="8" xfId="0" applyNumberFormat="1" applyFont="1" applyFill="1" applyBorder="1" applyAlignment="1">
      <alignment horizontal="center" vertical="center"/>
    </xf>
    <xf numFmtId="2" fontId="25" fillId="9" borderId="39" xfId="0" applyNumberFormat="1" applyFont="1" applyFill="1" applyBorder="1" applyAlignment="1">
      <alignment horizontal="center" vertical="center"/>
    </xf>
    <xf numFmtId="2" fontId="25" fillId="9" borderId="9" xfId="0" applyNumberFormat="1" applyFont="1" applyFill="1" applyBorder="1" applyAlignment="1">
      <alignment horizontal="center" vertical="center"/>
    </xf>
    <xf numFmtId="0" fontId="25" fillId="0" borderId="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9" xfId="0" applyFont="1" applyBorder="1" applyAlignment="1">
      <alignment horizontal="center" vertical="center" wrapText="1"/>
    </xf>
    <xf numFmtId="2" fontId="25" fillId="11" borderId="7" xfId="0" applyNumberFormat="1" applyFont="1" applyFill="1" applyBorder="1" applyAlignment="1">
      <alignment horizontal="center" vertical="center"/>
    </xf>
    <xf numFmtId="0" fontId="25" fillId="12" borderId="8" xfId="0" applyFont="1" applyFill="1" applyBorder="1" applyAlignment="1">
      <alignment horizontal="left" vertical="center"/>
    </xf>
    <xf numFmtId="0" fontId="25" fillId="12" borderId="39" xfId="0" applyFont="1" applyFill="1" applyBorder="1" applyAlignment="1">
      <alignment horizontal="left" vertical="center"/>
    </xf>
    <xf numFmtId="0" fontId="25" fillId="12" borderId="9" xfId="0" applyFont="1" applyFill="1" applyBorder="1" applyAlignment="1">
      <alignment horizontal="left" vertical="center"/>
    </xf>
    <xf numFmtId="0" fontId="25" fillId="12" borderId="22" xfId="0" applyFont="1" applyFill="1" applyBorder="1" applyAlignment="1">
      <alignment horizontal="left" vertical="center"/>
    </xf>
    <xf numFmtId="0" fontId="25" fillId="12" borderId="32" xfId="0" applyFont="1" applyFill="1" applyBorder="1" applyAlignment="1">
      <alignment horizontal="left" vertical="center"/>
    </xf>
    <xf numFmtId="0" fontId="25" fillId="12" borderId="37" xfId="0" applyFont="1" applyFill="1" applyBorder="1" applyAlignment="1">
      <alignment horizontal="left" vertical="center"/>
    </xf>
    <xf numFmtId="0" fontId="25" fillId="13" borderId="22" xfId="0" applyFont="1" applyFill="1" applyBorder="1" applyAlignment="1">
      <alignment horizontal="center"/>
    </xf>
    <xf numFmtId="0" fontId="25" fillId="13" borderId="40" xfId="0" applyFont="1" applyFill="1" applyBorder="1" applyAlignment="1">
      <alignment horizontal="center"/>
    </xf>
    <xf numFmtId="0" fontId="25" fillId="13" borderId="21" xfId="0" applyFont="1" applyFill="1" applyBorder="1" applyAlignment="1">
      <alignment horizontal="center"/>
    </xf>
    <xf numFmtId="0" fontId="25" fillId="15" borderId="32" xfId="0" applyFont="1" applyFill="1" applyBorder="1" applyAlignment="1">
      <alignment horizontal="center"/>
    </xf>
    <xf numFmtId="0" fontId="25" fillId="15" borderId="0" xfId="0" applyFont="1" applyFill="1" applyBorder="1" applyAlignment="1">
      <alignment horizontal="center"/>
    </xf>
    <xf numFmtId="0" fontId="25" fillId="15" borderId="33" xfId="0" applyFont="1" applyFill="1" applyBorder="1" applyAlignment="1">
      <alignment horizontal="center"/>
    </xf>
    <xf numFmtId="0" fontId="29" fillId="0" borderId="7" xfId="0" applyFont="1" applyBorder="1" applyAlignment="1">
      <alignment horizontal="center" vertical="center"/>
    </xf>
    <xf numFmtId="0" fontId="12" fillId="0" borderId="22"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5" fillId="10" borderId="8" xfId="0" applyFont="1" applyFill="1" applyBorder="1" applyAlignment="1">
      <alignment horizontal="center" vertical="center"/>
    </xf>
    <xf numFmtId="0" fontId="25" fillId="10" borderId="39" xfId="0" applyFont="1" applyFill="1" applyBorder="1" applyAlignment="1">
      <alignment horizontal="center" vertical="center"/>
    </xf>
    <xf numFmtId="0" fontId="25" fillId="10" borderId="9" xfId="0" applyFont="1" applyFill="1" applyBorder="1" applyAlignment="1">
      <alignment horizontal="center" vertical="center"/>
    </xf>
    <xf numFmtId="0" fontId="25" fillId="0" borderId="37" xfId="0" applyFont="1" applyFill="1" applyBorder="1" applyAlignment="1">
      <alignment horizontal="center"/>
    </xf>
    <xf numFmtId="0" fontId="25" fillId="0" borderId="36" xfId="0" applyFont="1" applyFill="1" applyBorder="1" applyAlignment="1">
      <alignment horizontal="center"/>
    </xf>
    <xf numFmtId="0" fontId="25" fillId="0" borderId="38" xfId="0" applyFont="1" applyFill="1" applyBorder="1" applyAlignment="1">
      <alignment horizont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7" xfId="0" applyFont="1" applyBorder="1" applyAlignment="1">
      <alignment horizontal="center" vertical="center"/>
    </xf>
    <xf numFmtId="0" fontId="30" fillId="10" borderId="7" xfId="0" applyFont="1" applyFill="1" applyBorder="1" applyAlignment="1">
      <alignment horizontal="center" vertical="center"/>
    </xf>
    <xf numFmtId="0" fontId="30" fillId="11" borderId="7" xfId="0" applyFont="1" applyFill="1" applyBorder="1" applyAlignment="1">
      <alignment horizontal="center" vertical="center"/>
    </xf>
    <xf numFmtId="0" fontId="30" fillId="12" borderId="7" xfId="0" applyFont="1" applyFill="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13" fillId="9" borderId="8" xfId="0" applyFont="1" applyFill="1" applyBorder="1" applyAlignment="1">
      <alignment horizontal="left" vertical="center"/>
    </xf>
    <xf numFmtId="0" fontId="13" fillId="9" borderId="39" xfId="0" applyFont="1" applyFill="1" applyBorder="1" applyAlignment="1">
      <alignment horizontal="left" vertical="center"/>
    </xf>
    <xf numFmtId="0" fontId="13" fillId="9" borderId="9" xfId="0" applyFont="1" applyFill="1" applyBorder="1" applyAlignment="1">
      <alignment horizontal="left" vertical="center"/>
    </xf>
    <xf numFmtId="0" fontId="31" fillId="9" borderId="10" xfId="0" applyFont="1" applyFill="1" applyBorder="1" applyAlignment="1">
      <alignment horizontal="left" wrapText="1"/>
    </xf>
    <xf numFmtId="0" fontId="31" fillId="9" borderId="12" xfId="0" applyFont="1" applyFill="1" applyBorder="1" applyAlignment="1">
      <alignment horizontal="left" wrapText="1"/>
    </xf>
    <xf numFmtId="0" fontId="39" fillId="0" borderId="0" xfId="0" applyFont="1" applyBorder="1" applyAlignment="1" applyProtection="1">
      <alignment horizontal="center" vertical="center" wrapText="1"/>
    </xf>
    <xf numFmtId="0" fontId="13" fillId="0" borderId="10" xfId="0" applyFont="1" applyBorder="1" applyAlignment="1" applyProtection="1"/>
    <xf numFmtId="0" fontId="13" fillId="0" borderId="12" xfId="0" applyFont="1" applyBorder="1" applyAlignment="1" applyProtection="1"/>
    <xf numFmtId="0" fontId="25" fillId="0" borderId="10" xfId="0" applyFont="1" applyBorder="1" applyAlignment="1" applyProtection="1"/>
    <xf numFmtId="0" fontId="25" fillId="0" borderId="12" xfId="0" applyFont="1" applyBorder="1" applyAlignment="1" applyProtection="1"/>
    <xf numFmtId="0" fontId="13" fillId="0" borderId="10" xfId="0" applyFont="1" applyBorder="1" applyAlignment="1" applyProtection="1">
      <alignment horizontal="left"/>
    </xf>
    <xf numFmtId="0" fontId="25" fillId="0" borderId="12" xfId="0" applyFont="1" applyBorder="1" applyAlignment="1" applyProtection="1">
      <alignment horizontal="left"/>
    </xf>
    <xf numFmtId="0" fontId="29" fillId="0" borderId="7" xfId="0" applyFont="1" applyBorder="1" applyAlignment="1">
      <alignment horizontal="center" vertical="center" wrapText="1"/>
    </xf>
    <xf numFmtId="0" fontId="25" fillId="0" borderId="10" xfId="0" applyFont="1" applyBorder="1" applyAlignment="1" applyProtection="1">
      <alignment horizontal="left"/>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14" fontId="12" fillId="7" borderId="11" xfId="0" applyNumberFormat="1" applyFont="1" applyFill="1" applyBorder="1" applyAlignment="1" applyProtection="1">
      <alignment horizontal="center" vertical="center"/>
      <protection locked="0"/>
    </xf>
    <xf numFmtId="0" fontId="12" fillId="7" borderId="11"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1" xfId="0" applyFont="1" applyFill="1" applyBorder="1" applyAlignment="1" applyProtection="1">
      <alignment vertical="center"/>
      <protection locked="0"/>
    </xf>
    <xf numFmtId="0" fontId="12" fillId="7" borderId="12" xfId="0" applyFont="1" applyFill="1" applyBorder="1" applyAlignment="1" applyProtection="1">
      <alignment vertical="center"/>
      <protection locked="0"/>
    </xf>
    <xf numFmtId="0" fontId="10" fillId="14" borderId="8" xfId="0" applyFont="1" applyFill="1" applyBorder="1" applyAlignment="1">
      <alignment horizontal="center" vertical="center"/>
    </xf>
    <xf numFmtId="0" fontId="10" fillId="14" borderId="9" xfId="0" applyFont="1" applyFill="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0" fillId="14" borderId="8" xfId="0" applyFont="1" applyFill="1" applyBorder="1" applyAlignment="1">
      <alignment horizontal="center" vertical="center" wrapText="1"/>
    </xf>
    <xf numFmtId="0" fontId="10" fillId="14" borderId="9" xfId="0" applyFont="1" applyFill="1" applyBorder="1" applyAlignment="1">
      <alignment horizontal="center" vertical="center" wrapText="1"/>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3" fillId="10" borderId="39" xfId="0" applyFont="1" applyFill="1" applyBorder="1" applyAlignment="1">
      <alignment horizontal="left" vertical="center"/>
    </xf>
    <xf numFmtId="0" fontId="13" fillId="10" borderId="9" xfId="0" applyFont="1" applyFill="1" applyBorder="1" applyAlignment="1">
      <alignment horizontal="left" vertical="center"/>
    </xf>
    <xf numFmtId="0" fontId="13" fillId="5" borderId="8" xfId="0" applyFont="1" applyFill="1" applyBorder="1" applyAlignment="1">
      <alignment horizontal="left" vertical="center"/>
    </xf>
    <xf numFmtId="0" fontId="13" fillId="5" borderId="9" xfId="0" applyFont="1" applyFill="1" applyBorder="1" applyAlignment="1">
      <alignment horizontal="left" vertical="center"/>
    </xf>
    <xf numFmtId="0" fontId="13" fillId="12" borderId="8" xfId="0" applyFont="1" applyFill="1" applyBorder="1" applyAlignment="1">
      <alignment horizontal="center" vertical="center"/>
    </xf>
    <xf numFmtId="0" fontId="13" fillId="12" borderId="9" xfId="0" applyFont="1" applyFill="1" applyBorder="1" applyAlignment="1">
      <alignment horizontal="center" vertical="center"/>
    </xf>
    <xf numFmtId="0" fontId="10" fillId="0" borderId="7" xfId="0" applyFont="1" applyBorder="1" applyAlignment="1">
      <alignment horizontal="center"/>
    </xf>
    <xf numFmtId="0" fontId="16" fillId="12" borderId="7" xfId="0" applyFont="1" applyFill="1" applyBorder="1" applyAlignment="1">
      <alignment horizontal="center" vertical="center"/>
    </xf>
    <xf numFmtId="0" fontId="16" fillId="9" borderId="7" xfId="0" applyFont="1" applyFill="1" applyBorder="1" applyAlignment="1">
      <alignment horizontal="center" vertical="center"/>
    </xf>
    <xf numFmtId="0" fontId="16" fillId="10" borderId="7" xfId="0" applyFont="1" applyFill="1" applyBorder="1" applyAlignment="1">
      <alignment horizontal="center" vertical="center"/>
    </xf>
    <xf numFmtId="0" fontId="16" fillId="11" borderId="7" xfId="0" applyFont="1" applyFill="1" applyBorder="1" applyAlignment="1">
      <alignment horizontal="center" vertical="center"/>
    </xf>
    <xf numFmtId="0" fontId="10" fillId="0" borderId="7" xfId="0" applyFont="1" applyBorder="1" applyAlignment="1" applyProtection="1">
      <alignment horizontal="center"/>
    </xf>
    <xf numFmtId="0" fontId="1" fillId="0" borderId="10" xfId="0" applyFont="1" applyBorder="1" applyAlignment="1" applyProtection="1">
      <alignment horizontal="left" vertical="center"/>
    </xf>
    <xf numFmtId="0" fontId="1" fillId="0" borderId="12" xfId="0" applyFont="1" applyBorder="1" applyAlignment="1" applyProtection="1">
      <alignment horizontal="left" vertical="center"/>
    </xf>
    <xf numFmtId="0" fontId="13" fillId="14" borderId="7" xfId="0" applyFont="1" applyFill="1" applyBorder="1" applyAlignment="1" applyProtection="1">
      <alignment horizontal="center" vertical="center" wrapText="1"/>
    </xf>
    <xf numFmtId="0" fontId="13" fillId="15" borderId="7" xfId="0" applyFont="1" applyFill="1" applyBorder="1" applyAlignment="1" applyProtection="1">
      <alignment horizontal="center" vertical="center" wrapText="1"/>
    </xf>
    <xf numFmtId="0" fontId="13" fillId="7" borderId="7"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xf>
    <xf numFmtId="0" fontId="13" fillId="0" borderId="12" xfId="0" applyFont="1" applyFill="1" applyBorder="1" applyAlignment="1" applyProtection="1">
      <alignment horizontal="center"/>
    </xf>
    <xf numFmtId="0" fontId="14" fillId="0" borderId="7" xfId="0" applyFont="1" applyBorder="1" applyAlignment="1">
      <alignment horizontal="left" vertical="center"/>
    </xf>
    <xf numFmtId="0" fontId="12" fillId="15" borderId="7" xfId="0" applyFont="1" applyFill="1" applyBorder="1" applyAlignment="1" applyProtection="1">
      <alignment horizontal="center" vertical="center"/>
      <protection locked="0"/>
    </xf>
    <xf numFmtId="0" fontId="8" fillId="7" borderId="7" xfId="0" applyFont="1" applyFill="1" applyBorder="1" applyAlignment="1" applyProtection="1">
      <alignment horizontal="left" vertical="center" wrapText="1"/>
      <protection locked="0"/>
    </xf>
    <xf numFmtId="0" fontId="10" fillId="0" borderId="22"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7" xfId="0" applyFont="1" applyBorder="1" applyAlignment="1" applyProtection="1">
      <alignment horizontal="center" vertical="center"/>
    </xf>
    <xf numFmtId="0" fontId="33" fillId="0" borderId="0" xfId="0" applyFont="1" applyBorder="1" applyAlignment="1">
      <alignment horizontal="center" vertical="center"/>
    </xf>
    <xf numFmtId="0" fontId="33" fillId="0" borderId="1" xfId="0" applyFont="1" applyBorder="1" applyAlignment="1">
      <alignment horizontal="left" vertical="center" wrapText="1"/>
    </xf>
    <xf numFmtId="0" fontId="33" fillId="0" borderId="4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xf>
    <xf numFmtId="0" fontId="33" fillId="0" borderId="41" xfId="0" applyFont="1" applyFill="1" applyBorder="1" applyAlignment="1">
      <alignment horizontal="left" vertical="center"/>
    </xf>
    <xf numFmtId="0" fontId="34" fillId="0" borderId="0" xfId="0" applyFont="1" applyAlignment="1">
      <alignment horizontal="center" vertical="center"/>
    </xf>
    <xf numFmtId="0" fontId="33" fillId="0" borderId="1"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0" xfId="0" applyFont="1" applyBorder="1" applyAlignment="1">
      <alignment horizontal="center"/>
    </xf>
    <xf numFmtId="0" fontId="33" fillId="0" borderId="0" xfId="0" applyFont="1" applyBorder="1" applyAlignment="1">
      <alignment horizontal="center" vertical="center" wrapText="1"/>
    </xf>
    <xf numFmtId="0" fontId="0" fillId="0" borderId="0" xfId="0" applyFont="1" applyFill="1" applyBorder="1" applyAlignment="1">
      <alignment horizontal="center"/>
    </xf>
    <xf numFmtId="0" fontId="33" fillId="0" borderId="0" xfId="0" applyFont="1" applyBorder="1" applyAlignment="1">
      <alignment horizontal="center" wrapText="1"/>
    </xf>
    <xf numFmtId="0" fontId="0" fillId="0" borderId="0" xfId="0" applyFont="1" applyBorder="1" applyAlignment="1">
      <alignment horizontal="center" wrapText="1"/>
    </xf>
  </cellXfs>
  <cellStyles count="3">
    <cellStyle name="Normal" xfId="0" builtinId="0"/>
    <cellStyle name="Normal 2" xfId="1"/>
    <cellStyle name="Percent" xfId="2" builtinId="5"/>
  </cellStyles>
  <dxfs count="175">
    <dxf>
      <font>
        <color theme="0"/>
      </font>
    </dxf>
    <dxf>
      <font>
        <color theme="0"/>
      </font>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7030A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Overall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'Data Summary'!$C$21:$C$22</c:f>
              <c:strCache>
                <c:ptCount val="1"/>
                <c:pt idx="0">
                  <c:v>ECS</c:v>
                </c:pt>
              </c:strCache>
            </c:strRef>
          </c:tx>
          <c:spPr>
            <a:ln w="19050" cap="rnd">
              <a:solidFill>
                <a:srgbClr val="FF0000">
                  <a:alpha val="50000"/>
                </a:srgbClr>
              </a:solidFill>
              <a:prstDash val="dash"/>
              <a:round/>
            </a:ln>
            <a:effectLst/>
          </c:spPr>
          <c:marker>
            <c:symbol val="none"/>
          </c:marker>
          <c:xVal>
            <c:strRef>
              <c:f>('Data Summary'!$F$22,'Data Summary'!$A$32)</c:f>
              <c:strCache>
                <c:ptCount val="2"/>
                <c:pt idx="0">
                  <c:v>#N/A</c:v>
                </c:pt>
                <c:pt idx="1">
                  <c:v>#N/A</c:v>
                </c:pt>
              </c:strCache>
            </c:strRef>
          </c:xVal>
          <c:yVal>
            <c:numRef>
              <c:f>('Data Summary'!$C$27,'Data Summary'!$C$27)</c:f>
              <c:numCache>
                <c:formatCode>0.00</c:formatCode>
                <c:ptCount val="2"/>
                <c:pt idx="0">
                  <c:v>0</c:v>
                </c:pt>
                <c:pt idx="1">
                  <c:v>0</c:v>
                </c:pt>
              </c:numCache>
            </c:numRef>
          </c:yVal>
          <c:smooth val="0"/>
          <c:extLst>
            <c:ext xmlns:c16="http://schemas.microsoft.com/office/drawing/2014/chart" uri="{C3380CC4-5D6E-409C-BE32-E72D297353CC}">
              <c16:uniqueId val="{00000000-377C-4EA9-9858-DD24FD97EF7F}"/>
            </c:ext>
          </c:extLst>
        </c:ser>
        <c:ser>
          <c:idx val="2"/>
          <c:order val="1"/>
          <c:tx>
            <c:strRef>
              <c:f>'Data Summary'!$D$21:$D$22</c:f>
              <c:strCache>
                <c:ptCount val="1"/>
                <c:pt idx="0">
                  <c:v>PCS</c:v>
                </c:pt>
              </c:strCache>
            </c:strRef>
          </c:tx>
          <c:spPr>
            <a:ln w="19050" cap="rnd">
              <a:solidFill>
                <a:srgbClr val="00B0F0"/>
              </a:solidFill>
              <a:round/>
            </a:ln>
            <a:effectLst/>
          </c:spPr>
          <c:marker>
            <c:symbol val="none"/>
          </c:marker>
          <c:xVal>
            <c:strRef>
              <c:f>('Data Summary'!$F$22,'Data Summary'!$A$32)</c:f>
              <c:strCache>
                <c:ptCount val="2"/>
                <c:pt idx="0">
                  <c:v>#N/A</c:v>
                </c:pt>
                <c:pt idx="1">
                  <c:v>#N/A</c:v>
                </c:pt>
              </c:strCache>
            </c:strRef>
          </c:xVal>
          <c:yVal>
            <c:numRef>
              <c:f>('Data Summary'!$D$27,'Data Summary'!$D$27)</c:f>
              <c:numCache>
                <c:formatCode>0.00</c:formatCode>
                <c:ptCount val="2"/>
                <c:pt idx="0">
                  <c:v>0</c:v>
                </c:pt>
                <c:pt idx="1">
                  <c:v>0</c:v>
                </c:pt>
              </c:numCache>
            </c:numRef>
          </c:yVal>
          <c:smooth val="0"/>
          <c:extLst>
            <c:ext xmlns:c16="http://schemas.microsoft.com/office/drawing/2014/chart" uri="{C3380CC4-5D6E-409C-BE32-E72D297353CC}">
              <c16:uniqueId val="{00000001-377C-4EA9-9858-DD24FD97EF7F}"/>
            </c:ext>
          </c:extLst>
        </c:ser>
        <c:ser>
          <c:idx val="3"/>
          <c:order val="2"/>
          <c:tx>
            <c:strRef>
              <c:f>'Data Summary'!$E$21:$E$22</c:f>
              <c:strCache>
                <c:ptCount val="1"/>
                <c:pt idx="0">
                  <c:v>As-Built</c:v>
                </c:pt>
              </c:strCache>
            </c:strRef>
          </c:tx>
          <c:spPr>
            <a:ln w="38100" cap="rnd" cmpd="dbl">
              <a:solidFill>
                <a:schemeClr val="bg2">
                  <a:lumMod val="75000"/>
                </a:schemeClr>
              </a:solidFill>
              <a:prstDash val="dash"/>
              <a:round/>
            </a:ln>
            <a:effectLst/>
          </c:spPr>
          <c:marker>
            <c:symbol val="none"/>
          </c:marker>
          <c:xVal>
            <c:strRef>
              <c:f>('Data Summary'!$F$22,'Data Summary'!$A$32)</c:f>
              <c:strCache>
                <c:ptCount val="2"/>
                <c:pt idx="0">
                  <c:v>#N/A</c:v>
                </c:pt>
                <c:pt idx="1">
                  <c:v>#N/A</c:v>
                </c:pt>
              </c:strCache>
            </c:strRef>
          </c:xVal>
          <c:yVal>
            <c:numRef>
              <c:f>('Data Summary'!$E$27,'Data Summary'!$E$27)</c:f>
              <c:numCache>
                <c:formatCode>0.00</c:formatCode>
                <c:ptCount val="2"/>
                <c:pt idx="0">
                  <c:v>0</c:v>
                </c:pt>
                <c:pt idx="1">
                  <c:v>0</c:v>
                </c:pt>
              </c:numCache>
            </c:numRef>
          </c:yVal>
          <c:smooth val="0"/>
          <c:extLst>
            <c:ext xmlns:c16="http://schemas.microsoft.com/office/drawing/2014/chart" uri="{C3380CC4-5D6E-409C-BE32-E72D297353CC}">
              <c16:uniqueId val="{00000002-377C-4EA9-9858-DD24FD97EF7F}"/>
            </c:ext>
          </c:extLst>
        </c:ser>
        <c:ser>
          <c:idx val="0"/>
          <c:order val="3"/>
          <c:tx>
            <c:v>Monitoring Data</c:v>
          </c:tx>
          <c:spPr>
            <a:ln w="28575" cap="rnd">
              <a:solidFill>
                <a:schemeClr val="tx1"/>
              </a:solidFill>
              <a:round/>
            </a:ln>
            <a:effectLst/>
          </c:spPr>
          <c:marker>
            <c:symbol val="none"/>
          </c:marker>
          <c:xVal>
            <c:strRef>
              <c:f>'Data Summary'!$F$22:$O$22</c:f>
              <c:strCache>
                <c:ptCount val="10"/>
                <c:pt idx="0">
                  <c:v>#N/A</c:v>
                </c:pt>
                <c:pt idx="1">
                  <c:v>#N/A</c:v>
                </c:pt>
                <c:pt idx="2">
                  <c:v>#N/A</c:v>
                </c:pt>
                <c:pt idx="3">
                  <c:v>#N/A</c:v>
                </c:pt>
                <c:pt idx="4">
                  <c:v>#N/A</c:v>
                </c:pt>
                <c:pt idx="5">
                  <c:v>#N/A</c:v>
                </c:pt>
                <c:pt idx="6">
                  <c:v>#N/A</c:v>
                </c:pt>
                <c:pt idx="7">
                  <c:v>#N/A</c:v>
                </c:pt>
                <c:pt idx="8">
                  <c:v>#N/A</c:v>
                </c:pt>
                <c:pt idx="9">
                  <c:v>#N/A</c:v>
                </c:pt>
              </c:strCache>
            </c:strRef>
          </c:xVal>
          <c:yVal>
            <c:numRef>
              <c:f>'Data Summary'!$F$27:$O$27</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D029-4D92-AEAF-A8311BD790D4}"/>
            </c:ext>
          </c:extLst>
        </c:ser>
        <c:dLbls>
          <c:showLegendKey val="0"/>
          <c:showVal val="0"/>
          <c:showCatName val="0"/>
          <c:showSerName val="0"/>
          <c:showPercent val="0"/>
          <c:showBubbleSize val="0"/>
        </c:dLbls>
        <c:axId val="419250808"/>
        <c:axId val="419248456"/>
      </c:scatterChart>
      <c:valAx>
        <c:axId val="419250808"/>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48456"/>
        <c:crosses val="autoZero"/>
        <c:crossBetween val="midCat"/>
      </c:valAx>
      <c:valAx>
        <c:axId val="41924845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5080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Pool Spacing Ratio for B and Ba Stream Types</a:t>
            </a:r>
            <a:endParaRPr lang="en-US" sz="1600">
              <a:effectLst/>
            </a:endParaRPr>
          </a:p>
        </c:rich>
      </c:tx>
      <c:layout>
        <c:manualLayout>
          <c:xMode val="edge"/>
          <c:yMode val="edge"/>
          <c:x val="0.27864068445071971"/>
          <c:y val="2.7305063164349098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NF &amp; FAR</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22280498193889869"/>
                  <c:y val="-0.2329031740125809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Curves'!$K$274:$O$274</c:f>
              <c:numCache>
                <c:formatCode>General</c:formatCode>
                <c:ptCount val="5"/>
                <c:pt idx="0" formatCode="0.0">
                  <c:v>7.5</c:v>
                </c:pt>
                <c:pt idx="4">
                  <c:v>4</c:v>
                </c:pt>
              </c:numCache>
            </c:numRef>
          </c:xVal>
          <c:yVal>
            <c:numRef>
              <c:f>'Reference Curves'!$K$275:$O$275</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3F89-4AE3-A340-207A3C2A9FF9}"/>
            </c:ext>
          </c:extLst>
        </c:ser>
        <c:ser>
          <c:idx val="0"/>
          <c:order val="1"/>
          <c:tx>
            <c:v>Functioning</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7.0752962684741322E-2"/>
                  <c:y val="-9.5195464849033531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Curves'!$O$274:$P$274</c:f>
              <c:numCache>
                <c:formatCode>General</c:formatCode>
                <c:ptCount val="2"/>
                <c:pt idx="0">
                  <c:v>4</c:v>
                </c:pt>
                <c:pt idx="1">
                  <c:v>3</c:v>
                </c:pt>
              </c:numCache>
            </c:numRef>
          </c:xVal>
          <c:yVal>
            <c:numRef>
              <c:f>'Reference Curves'!$O$275:$P$275</c:f>
              <c:numCache>
                <c:formatCode>General</c:formatCode>
                <c:ptCount val="2"/>
                <c:pt idx="0">
                  <c:v>0.7</c:v>
                </c:pt>
                <c:pt idx="1">
                  <c:v>1</c:v>
                </c:pt>
              </c:numCache>
            </c:numRef>
          </c:yVal>
          <c:smooth val="0"/>
          <c:extLst>
            <c:ext xmlns:c16="http://schemas.microsoft.com/office/drawing/2014/chart" uri="{C3380CC4-5D6E-409C-BE32-E72D297353CC}">
              <c16:uniqueId val="{00000001-7639-487B-B9D7-98465F56B623}"/>
            </c:ext>
          </c:extLst>
        </c:ser>
        <c:dLbls>
          <c:showLegendKey val="0"/>
          <c:showVal val="0"/>
          <c:showCatName val="0"/>
          <c:showSerName val="0"/>
          <c:showPercent val="0"/>
          <c:showBubbleSize val="0"/>
        </c:dLbls>
        <c:axId val="440730128"/>
        <c:axId val="440729344"/>
      </c:scatterChart>
      <c:valAx>
        <c:axId val="4407301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29344"/>
        <c:crosses val="autoZero"/>
        <c:crossBetween val="midCat"/>
      </c:valAx>
      <c:valAx>
        <c:axId val="44072934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01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Pool Spacing Ratio for Cb Stream Types</a:t>
            </a:r>
            <a:endParaRPr lang="en-US" sz="1600">
              <a:effectLst/>
            </a:endParaRP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1.6"/>
            <c:dispRSqr val="0"/>
            <c:dispEq val="1"/>
            <c:trendlineLbl>
              <c:layout>
                <c:manualLayout>
                  <c:x val="-9.1327018905245541E-2"/>
                  <c:y val="0.22249223434226684"/>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Curves'!$K$241:$P$241</c:f>
              <c:numCache>
                <c:formatCode>General</c:formatCode>
                <c:ptCount val="6"/>
                <c:pt idx="4">
                  <c:v>3</c:v>
                </c:pt>
                <c:pt idx="5">
                  <c:v>3.7</c:v>
                </c:pt>
              </c:numCache>
            </c:numRef>
          </c:xVal>
          <c:yVal>
            <c:numRef>
              <c:f>'Reference Curves'!$K$243:$P$243</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C14F-47BE-9206-E7937E692AD6}"/>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2.2999999999999998"/>
            <c:dispRSqr val="0"/>
            <c:dispEq val="1"/>
            <c:trendlineLbl>
              <c:layout>
                <c:manualLayout>
                  <c:x val="4.0537187476123032E-2"/>
                  <c:y val="-0.39839731912551168"/>
                </c:manualLayout>
              </c:layout>
              <c:numFmt formatCode="#,##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Curves'!$K$242:$P$242</c:f>
              <c:numCache>
                <c:formatCode>General</c:formatCode>
                <c:ptCount val="6"/>
                <c:pt idx="4">
                  <c:v>6</c:v>
                </c:pt>
                <c:pt idx="5">
                  <c:v>5</c:v>
                </c:pt>
              </c:numCache>
            </c:numRef>
          </c:xVal>
          <c:yVal>
            <c:numRef>
              <c:f>'Reference Curves'!$K$243:$P$243</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C14F-47BE-9206-E7937E692AD6}"/>
            </c:ext>
          </c:extLst>
        </c:ser>
        <c:ser>
          <c:idx val="2"/>
          <c:order val="2"/>
          <c:tx>
            <c:v>Crest</c:v>
          </c:tx>
          <c:spPr>
            <a:ln w="25400" cap="rnd">
              <a:solidFill>
                <a:schemeClr val="tx1"/>
              </a:solidFill>
              <a:prstDash val="sysDash"/>
              <a:round/>
            </a:ln>
            <a:effectLst/>
          </c:spPr>
          <c:marker>
            <c:symbol val="none"/>
          </c:marker>
          <c:xVal>
            <c:numRef>
              <c:f>('Reference Curves'!$P$241,'Reference Curves'!$P$242)</c:f>
              <c:numCache>
                <c:formatCode>General</c:formatCode>
                <c:ptCount val="2"/>
                <c:pt idx="0">
                  <c:v>3.7</c:v>
                </c:pt>
                <c:pt idx="1">
                  <c:v>5</c:v>
                </c:pt>
              </c:numCache>
            </c:numRef>
          </c:xVal>
          <c:yVal>
            <c:numRef>
              <c:f>('Reference Curves'!$P$243,'Reference Curves'!$P$243)</c:f>
              <c:numCache>
                <c:formatCode>General</c:formatCode>
                <c:ptCount val="2"/>
                <c:pt idx="0">
                  <c:v>1</c:v>
                </c:pt>
                <c:pt idx="1">
                  <c:v>1</c:v>
                </c:pt>
              </c:numCache>
            </c:numRef>
          </c:yVal>
          <c:smooth val="0"/>
          <c:extLst>
            <c:ext xmlns:c16="http://schemas.microsoft.com/office/drawing/2014/chart" uri="{C3380CC4-5D6E-409C-BE32-E72D297353CC}">
              <c16:uniqueId val="{00000000-5122-429D-BBAA-0171AD4E5BB3}"/>
            </c:ext>
          </c:extLst>
        </c:ser>
        <c:dLbls>
          <c:showLegendKey val="0"/>
          <c:showVal val="0"/>
          <c:showCatName val="0"/>
          <c:showSerName val="0"/>
          <c:showPercent val="0"/>
          <c:showBubbleSize val="0"/>
        </c:dLbls>
        <c:axId val="440732088"/>
        <c:axId val="440730520"/>
        <c:extLst>
          <c:ext xmlns:c15="http://schemas.microsoft.com/office/drawing/2012/chart" uri="{02D57815-91ED-43cb-92C2-25804820EDAC}">
            <c15:filteredScatterSeries>
              <c15:ser>
                <c:idx val="3"/>
                <c:order val="3"/>
                <c:tx>
                  <c:v>Low Cliff</c:v>
                </c:tx>
                <c:spPr>
                  <a:ln w="31750" cap="rnd">
                    <a:solidFill>
                      <a:srgbClr val="FF0000"/>
                    </a:solidFill>
                    <a:round/>
                  </a:ln>
                  <a:effectLst/>
                </c:spPr>
                <c:marker>
                  <c:symbol val="none"/>
                </c:marker>
                <c:xVal>
                  <c:numLit>
                    <c:formatCode>General</c:formatCode>
                    <c:ptCount val="2"/>
                    <c:pt idx="0">
                      <c:v>0</c:v>
                    </c:pt>
                    <c:pt idx="1">
                      <c:v>3</c:v>
                    </c:pt>
                  </c:numLit>
                </c:xVal>
                <c:yVal>
                  <c:numLit>
                    <c:formatCode>General</c:formatCode>
                    <c:ptCount val="2"/>
                    <c:pt idx="0">
                      <c:v>0</c:v>
                    </c:pt>
                    <c:pt idx="1">
                      <c:v>0</c:v>
                    </c:pt>
                  </c:numLit>
                </c:yVal>
                <c:smooth val="0"/>
                <c:extLst>
                  <c:ext xmlns:c16="http://schemas.microsoft.com/office/drawing/2014/chart" uri="{C3380CC4-5D6E-409C-BE32-E72D297353CC}">
                    <c16:uniqueId val="{00000003-E3E6-4F08-9E58-9A6B24D32C81}"/>
                  </c:ext>
                </c:extLst>
              </c15:ser>
            </c15:filteredScatterSeries>
            <c15:filteredScatterSeries>
              <c15:ser>
                <c:idx val="4"/>
                <c:order val="4"/>
                <c:tx>
                  <c:v>High Cliff</c:v>
                </c:tx>
                <c:spPr>
                  <a:ln w="31750" cap="rnd">
                    <a:solidFill>
                      <a:srgbClr val="FF0000"/>
                    </a:solidFill>
                    <a:round/>
                  </a:ln>
                  <a:effectLst/>
                </c:spPr>
                <c:marker>
                  <c:symbol val="none"/>
                </c:marker>
                <c:xVal>
                  <c:numLit>
                    <c:formatCode>General</c:formatCode>
                    <c:ptCount val="2"/>
                    <c:pt idx="0">
                      <c:v>7</c:v>
                    </c:pt>
                    <c:pt idx="1">
                      <c:v>8</c:v>
                    </c:pt>
                  </c:numLit>
                </c:xVal>
                <c:yVal>
                  <c:numLit>
                    <c:formatCode>General</c:formatCode>
                    <c:ptCount val="2"/>
                    <c:pt idx="0">
                      <c:v>0</c:v>
                    </c:pt>
                    <c:pt idx="1">
                      <c:v>0</c:v>
                    </c:pt>
                  </c:numLit>
                </c:yVal>
                <c:smooth val="0"/>
                <c:extLst xmlns:c15="http://schemas.microsoft.com/office/drawing/2012/chart">
                  <c:ext xmlns:c16="http://schemas.microsoft.com/office/drawing/2014/chart" uri="{C3380CC4-5D6E-409C-BE32-E72D297353CC}">
                    <c16:uniqueId val="{00000004-E3E6-4F08-9E58-9A6B24D32C81}"/>
                  </c:ext>
                </c:extLst>
              </c15:ser>
            </c15:filteredScatterSeries>
          </c:ext>
        </c:extLst>
      </c:scatterChart>
      <c:valAx>
        <c:axId val="4407320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0520"/>
        <c:crosses val="autoZero"/>
        <c:crossBetween val="midCat"/>
      </c:valAx>
      <c:valAx>
        <c:axId val="44073052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20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Pool Spacing Ratio for C </a:t>
            </a:r>
            <a:r>
              <a:rPr lang="en-US" sz="1600" baseline="0"/>
              <a:t>Stream Types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4.61872385009435E-2"/>
                  <c:y val="0.33467815436034054"/>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Curves'!$K$207:$P$207</c:f>
              <c:numCache>
                <c:formatCode>General</c:formatCode>
                <c:ptCount val="6"/>
                <c:pt idx="0" formatCode="0.0">
                  <c:v>3</c:v>
                </c:pt>
                <c:pt idx="4">
                  <c:v>3.7</c:v>
                </c:pt>
                <c:pt idx="5" formatCode="0.0">
                  <c:v>4</c:v>
                </c:pt>
              </c:numCache>
            </c:numRef>
          </c:xVal>
          <c:yVal>
            <c:numRef>
              <c:f>'Reference Curves'!$K$209:$P$209</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ED1E-4832-8408-8CBD3FC589E3}"/>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7344004726481132E-2"/>
                  <c:y val="-0.4319918965314026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Curves'!$K$208:$P$208</c:f>
              <c:numCache>
                <c:formatCode>General</c:formatCode>
                <c:ptCount val="6"/>
                <c:pt idx="0" formatCode="0.0">
                  <c:v>9.3333333333333339</c:v>
                </c:pt>
                <c:pt idx="4">
                  <c:v>7</c:v>
                </c:pt>
                <c:pt idx="5">
                  <c:v>6</c:v>
                </c:pt>
              </c:numCache>
            </c:numRef>
          </c:xVal>
          <c:yVal>
            <c:numRef>
              <c:f>'Reference Curves'!$K$209:$P$209</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8AA4-4E0C-8114-2D9E850C5DD4}"/>
            </c:ext>
          </c:extLst>
        </c:ser>
        <c:ser>
          <c:idx val="2"/>
          <c:order val="2"/>
          <c:tx>
            <c:v>Crest</c:v>
          </c:tx>
          <c:spPr>
            <a:ln w="25400" cap="rnd">
              <a:solidFill>
                <a:schemeClr val="tx1"/>
              </a:solidFill>
              <a:prstDash val="sysDash"/>
              <a:round/>
            </a:ln>
            <a:effectLst/>
          </c:spPr>
          <c:marker>
            <c:symbol val="none"/>
          </c:marker>
          <c:xVal>
            <c:numRef>
              <c:f>('Reference Curves'!$P$207,'Reference Curves'!$P$208)</c:f>
              <c:numCache>
                <c:formatCode>General</c:formatCode>
                <c:ptCount val="2"/>
                <c:pt idx="0" formatCode="0.0">
                  <c:v>4</c:v>
                </c:pt>
                <c:pt idx="1">
                  <c:v>6</c:v>
                </c:pt>
              </c:numCache>
            </c:numRef>
          </c:xVal>
          <c:yVal>
            <c:numRef>
              <c:f>('Reference Curves'!$P$209,'Reference Curves'!$P$209)</c:f>
              <c:numCache>
                <c:formatCode>General</c:formatCode>
                <c:ptCount val="2"/>
                <c:pt idx="0">
                  <c:v>1</c:v>
                </c:pt>
                <c:pt idx="1">
                  <c:v>1</c:v>
                </c:pt>
              </c:numCache>
            </c:numRef>
          </c:yVal>
          <c:smooth val="0"/>
          <c:extLst>
            <c:ext xmlns:c16="http://schemas.microsoft.com/office/drawing/2014/chart" uri="{C3380CC4-5D6E-409C-BE32-E72D297353CC}">
              <c16:uniqueId val="{00000003-8AA4-4E0C-8114-2D9E850C5DD4}"/>
            </c:ext>
          </c:extLst>
        </c:ser>
        <c:dLbls>
          <c:showLegendKey val="0"/>
          <c:showVal val="0"/>
          <c:showCatName val="0"/>
          <c:showSerName val="0"/>
          <c:showPercent val="0"/>
          <c:showBubbleSize val="0"/>
        </c:dLbls>
        <c:axId val="440732480"/>
        <c:axId val="440732872"/>
      </c:scatterChart>
      <c:valAx>
        <c:axId val="4407324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2872"/>
        <c:crosses val="autoZero"/>
        <c:crossBetween val="midCat"/>
      </c:valAx>
      <c:valAx>
        <c:axId val="44073287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2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Pool Depth Ratio</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7970311848948786"/>
                  <c:y val="0.1122921441350504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Curves'!$O$370:$P$370</c:f>
              <c:numCache>
                <c:formatCode>0.00</c:formatCode>
                <c:ptCount val="2"/>
                <c:pt idx="0" formatCode="General">
                  <c:v>2.2000000000000002</c:v>
                </c:pt>
                <c:pt idx="1">
                  <c:v>3.2</c:v>
                </c:pt>
              </c:numCache>
            </c:numRef>
          </c:xVal>
          <c:yVal>
            <c:numRef>
              <c:f>'Reference Curves'!$O$371:$P$371</c:f>
              <c:numCache>
                <c:formatCode>General</c:formatCode>
                <c:ptCount val="2"/>
                <c:pt idx="0">
                  <c:v>0.7</c:v>
                </c:pt>
                <c:pt idx="1">
                  <c:v>1</c:v>
                </c:pt>
              </c:numCache>
            </c:numRef>
          </c:yVal>
          <c:smooth val="0"/>
          <c:extLst>
            <c:ext xmlns:c16="http://schemas.microsoft.com/office/drawing/2014/chart" uri="{C3380CC4-5D6E-409C-BE32-E72D297353CC}">
              <c16:uniqueId val="{00000000-6121-4ADE-A1F7-55E2A9FD0207}"/>
            </c:ext>
          </c:extLst>
        </c:ser>
        <c:ser>
          <c:idx val="0"/>
          <c:order val="1"/>
          <c:tx>
            <c:v>FAR</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2295269231739658"/>
                  <c:y val="0.2543471089958060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Curves'!$K$370:$O$370</c:f>
              <c:numCache>
                <c:formatCode>General</c:formatCode>
                <c:ptCount val="5"/>
                <c:pt idx="0" formatCode="0.00">
                  <c:v>1</c:v>
                </c:pt>
                <c:pt idx="4">
                  <c:v>2.2000000000000002</c:v>
                </c:pt>
              </c:numCache>
            </c:numRef>
          </c:xVal>
          <c:yVal>
            <c:numRef>
              <c:f>'Reference Curves'!$K$371:$O$371</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E795-4FA4-A294-C8061F842EF8}"/>
            </c:ext>
          </c:extLst>
        </c:ser>
        <c:dLbls>
          <c:showLegendKey val="0"/>
          <c:showVal val="0"/>
          <c:showCatName val="0"/>
          <c:showSerName val="0"/>
          <c:showPercent val="0"/>
          <c:showBubbleSize val="0"/>
        </c:dLbls>
        <c:axId val="419247672"/>
        <c:axId val="419249240"/>
      </c:scatterChart>
      <c:valAx>
        <c:axId val="4192476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9249240"/>
        <c:crosses val="autoZero"/>
        <c:crossBetween val="midCat"/>
      </c:valAx>
      <c:valAx>
        <c:axId val="4192492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92476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Aggradation Ratio </a:t>
            </a:r>
            <a:endParaRPr lang="en-US" sz="1600">
              <a:effectLst/>
            </a:endParaRP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0.11834484201967932"/>
                  <c:y val="-0.4585801102037398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Curves'!$K$502:$P$502</c:f>
              <c:numCache>
                <c:formatCode>General</c:formatCode>
                <c:ptCount val="6"/>
                <c:pt idx="0">
                  <c:v>1.6</c:v>
                </c:pt>
                <c:pt idx="2">
                  <c:v>1.4</c:v>
                </c:pt>
                <c:pt idx="3">
                  <c:v>1.2</c:v>
                </c:pt>
                <c:pt idx="5">
                  <c:v>1</c:v>
                </c:pt>
              </c:numCache>
            </c:numRef>
          </c:xVal>
          <c:yVal>
            <c:numRef>
              <c:f>'Reference Curves'!$K$503:$P$503</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0685-4A88-A253-CC374FDFCA12}"/>
            </c:ext>
          </c:extLst>
        </c:ser>
        <c:dLbls>
          <c:showLegendKey val="0"/>
          <c:showVal val="0"/>
          <c:showCatName val="0"/>
          <c:showSerName val="0"/>
          <c:showPercent val="0"/>
          <c:showBubbleSize val="0"/>
        </c:dLbls>
        <c:axId val="441608480"/>
        <c:axId val="441611616"/>
      </c:scatterChart>
      <c:valAx>
        <c:axId val="441608480"/>
        <c:scaling>
          <c:orientation val="minMax"/>
          <c:max val="2"/>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r>
                  <a:rPr lang="en-US" sz="1100" b="0" i="0" u="none" strike="noStrike" baseline="0">
                    <a:effectLst/>
                  </a:rPr>
                  <a:t>(Ratio)</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11616"/>
        <c:crosses val="autoZero"/>
        <c:crossBetween val="midCat"/>
      </c:valAx>
      <c:valAx>
        <c:axId val="44161161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08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Percent Riffle - Volcanic Mountains and Valleys Region</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27"/>
            <c:dispRSqr val="0"/>
            <c:dispEq val="1"/>
            <c:trendlineLbl>
              <c:layout>
                <c:manualLayout>
                  <c:x val="-0.13676936820288435"/>
                  <c:y val="0.22997008426909571"/>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Curves'!$K$402:$P$402</c:f>
              <c:numCache>
                <c:formatCode>General</c:formatCode>
                <c:ptCount val="6"/>
                <c:pt idx="4">
                  <c:v>61</c:v>
                </c:pt>
                <c:pt idx="5" formatCode="0">
                  <c:v>73</c:v>
                </c:pt>
              </c:numCache>
            </c:numRef>
          </c:xVal>
          <c:yVal>
            <c:numRef>
              <c:f>'Reference Curves'!$K$404:$P$404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12A8-4C81-9017-6694A81055E9}"/>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5"/>
            <c:dispRSqr val="0"/>
            <c:dispEq val="1"/>
            <c:trendlineLbl>
              <c:layout>
                <c:manualLayout>
                  <c:x val="-5.6416214957791489E-3"/>
                  <c:y val="-0.1076541082995545"/>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Curves'!$K$403:$P$403</c:f>
              <c:numCache>
                <c:formatCode>General</c:formatCode>
                <c:ptCount val="6"/>
                <c:pt idx="4">
                  <c:v>82</c:v>
                </c:pt>
                <c:pt idx="5" formatCode="0">
                  <c:v>80</c:v>
                </c:pt>
              </c:numCache>
            </c:numRef>
          </c:xVal>
          <c:yVal>
            <c:numRef>
              <c:f>'Reference Curves'!$K$404:$P$404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0E53-4C23-8B88-B8B9985A029B}"/>
            </c:ext>
          </c:extLst>
        </c:ser>
        <c:ser>
          <c:idx val="2"/>
          <c:order val="2"/>
          <c:tx>
            <c:v>Crest</c:v>
          </c:tx>
          <c:spPr>
            <a:ln w="25400" cap="rnd">
              <a:solidFill>
                <a:schemeClr val="tx1"/>
              </a:solidFill>
              <a:prstDash val="sysDash"/>
              <a:round/>
            </a:ln>
            <a:effectLst/>
          </c:spPr>
          <c:marker>
            <c:symbol val="none"/>
          </c:marker>
          <c:xVal>
            <c:numRef>
              <c:f>'Reference Curves'!$P$402:$P$403</c:f>
              <c:numCache>
                <c:formatCode>0</c:formatCode>
                <c:ptCount val="2"/>
                <c:pt idx="0">
                  <c:v>73</c:v>
                </c:pt>
                <c:pt idx="1">
                  <c:v>80</c:v>
                </c:pt>
              </c:numCache>
            </c:numRef>
          </c:xVal>
          <c:yVal>
            <c:numRef>
              <c:f>('Reference Curves'!$P$404,'Reference Curves'!$P$404)</c:f>
              <c:numCache>
                <c:formatCode>General</c:formatCode>
                <c:ptCount val="2"/>
                <c:pt idx="0">
                  <c:v>1</c:v>
                </c:pt>
                <c:pt idx="1">
                  <c:v>1</c:v>
                </c:pt>
              </c:numCache>
            </c:numRef>
          </c:yVal>
          <c:smooth val="0"/>
          <c:extLst>
            <c:ext xmlns:c16="http://schemas.microsoft.com/office/drawing/2014/chart" uri="{C3380CC4-5D6E-409C-BE32-E72D297353CC}">
              <c16:uniqueId val="{00000002-720D-4D55-8B7E-BCFADBCE7ED1}"/>
            </c:ext>
          </c:extLst>
        </c:ser>
        <c:dLbls>
          <c:showLegendKey val="0"/>
          <c:showVal val="0"/>
          <c:showCatName val="0"/>
          <c:showSerName val="0"/>
          <c:showPercent val="0"/>
          <c:showBubbleSize val="0"/>
        </c:dLbls>
        <c:axId val="441610832"/>
        <c:axId val="441610440"/>
      </c:scatterChart>
      <c:valAx>
        <c:axId val="441610832"/>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10440"/>
        <c:crosses val="autoZero"/>
        <c:crossBetween val="midCat"/>
      </c:valAx>
      <c:valAx>
        <c:axId val="4416104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108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Sinuosity</a:t>
            </a:r>
            <a:r>
              <a:rPr lang="en-US" sz="1400" baseline="0"/>
              <a:t> for E S</a:t>
            </a:r>
            <a:r>
              <a:rPr lang="en-US" sz="1400"/>
              <a:t>tream Types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FAR 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backward val="6.8000000000000019E-2"/>
            <c:dispRSqr val="0"/>
            <c:dispEq val="1"/>
            <c:trendlineLbl>
              <c:layout>
                <c:manualLayout>
                  <c:x val="-7.3781121846923162E-3"/>
                  <c:y val="3.739037332787333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Curves'!$K$536:$O$536</c:f>
              <c:numCache>
                <c:formatCode>General</c:formatCode>
                <c:ptCount val="5"/>
                <c:pt idx="2">
                  <c:v>1.2</c:v>
                </c:pt>
                <c:pt idx="3">
                  <c:v>1.29</c:v>
                </c:pt>
              </c:numCache>
            </c:numRef>
          </c:xVal>
          <c:yVal>
            <c:numRef>
              <c:f>'Reference Curves'!$K$538:$O$538</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0224-4D2B-89F3-7EEE960BF694}"/>
            </c:ext>
          </c:extLst>
        </c:ser>
        <c:ser>
          <c:idx val="1"/>
          <c:order val="2"/>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forward val="0.14500000000000002"/>
            <c:dispRSqr val="0"/>
            <c:dispEq val="1"/>
            <c:trendlineLbl>
              <c:layout>
                <c:manualLayout>
                  <c:x val="5.3069513468387182E-2"/>
                  <c:y val="-0.4499181947098613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Curves'!$K$537:$O$537</c:f>
              <c:numCache>
                <c:formatCode>General</c:formatCode>
                <c:ptCount val="5"/>
                <c:pt idx="2">
                  <c:v>2</c:v>
                </c:pt>
                <c:pt idx="3">
                  <c:v>1.81</c:v>
                </c:pt>
              </c:numCache>
            </c:numRef>
          </c:xVal>
          <c:yVal>
            <c:numRef>
              <c:f>'Reference Curves'!$K$538:$O$538</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0224-4D2B-89F3-7EEE960BF694}"/>
            </c:ext>
          </c:extLst>
        </c:ser>
        <c:ser>
          <c:idx val="5"/>
          <c:order val="3"/>
          <c:tx>
            <c:v>Crest</c:v>
          </c:tx>
          <c:spPr>
            <a:ln w="25400" cap="rnd">
              <a:solidFill>
                <a:sysClr val="windowText" lastClr="000000"/>
              </a:solidFill>
              <a:prstDash val="dash"/>
              <a:round/>
            </a:ln>
            <a:effectLst/>
          </c:spPr>
          <c:marker>
            <c:symbol val="none"/>
          </c:marker>
          <c:xVal>
            <c:numRef>
              <c:f>('Reference Curves'!$P$536,'Reference Curves'!$P$537)</c:f>
              <c:numCache>
                <c:formatCode>General</c:formatCode>
                <c:ptCount val="2"/>
                <c:pt idx="0">
                  <c:v>1.3</c:v>
                </c:pt>
                <c:pt idx="1">
                  <c:v>1.8</c:v>
                </c:pt>
              </c:numCache>
            </c:numRef>
          </c:xVal>
          <c:yVal>
            <c:numRef>
              <c:f>('Reference Curves'!$P$538,'Reference Curves'!$P$538)</c:f>
              <c:numCache>
                <c:formatCode>General</c:formatCode>
                <c:ptCount val="2"/>
                <c:pt idx="0">
                  <c:v>1</c:v>
                </c:pt>
                <c:pt idx="1">
                  <c:v>1</c:v>
                </c:pt>
              </c:numCache>
            </c:numRef>
          </c:yVal>
          <c:smooth val="0"/>
          <c:extLst>
            <c:ext xmlns:c16="http://schemas.microsoft.com/office/drawing/2014/chart" uri="{C3380CC4-5D6E-409C-BE32-E72D297353CC}">
              <c16:uniqueId val="{00000006-11B4-4F86-85DB-2193C099AC43}"/>
            </c:ext>
          </c:extLst>
        </c:ser>
        <c:dLbls>
          <c:showLegendKey val="0"/>
          <c:showVal val="0"/>
          <c:showCatName val="0"/>
          <c:showSerName val="0"/>
          <c:showPercent val="0"/>
          <c:showBubbleSize val="0"/>
        </c:dLbls>
        <c:axId val="441613184"/>
        <c:axId val="441606520"/>
        <c:extLst>
          <c:ext xmlns:c15="http://schemas.microsoft.com/office/drawing/2012/chart" uri="{02D57815-91ED-43cb-92C2-25804820EDAC}">
            <c15:filteredScatterSeries>
              <c15:ser>
                <c:idx val="2"/>
                <c:order val="1"/>
                <c:tx>
                  <c:v>F Rising Limb</c:v>
                </c:tx>
                <c:spPr>
                  <a:ln w="25400" cap="rnd">
                    <a:noFill/>
                    <a:round/>
                  </a:ln>
                  <a:effectLst/>
                </c:spPr>
                <c:marker>
                  <c:symbol val="circle"/>
                  <c:size val="5"/>
                  <c:spPr>
                    <a:solidFill>
                      <a:schemeClr val="accent3"/>
                    </a:solidFill>
                    <a:ln w="9525">
                      <a:solidFill>
                        <a:schemeClr val="accent3"/>
                      </a:solidFill>
                    </a:ln>
                    <a:effectLst/>
                  </c:spPr>
                </c:marker>
                <c:dPt>
                  <c:idx val="1"/>
                  <c:marker>
                    <c:symbol val="none"/>
                  </c:marker>
                  <c:bubble3D val="0"/>
                  <c:spPr>
                    <a:ln w="25400" cap="rnd">
                      <a:noFill/>
                      <a:round/>
                    </a:ln>
                    <a:effectLst/>
                  </c:spPr>
                  <c:extLst>
                    <c:ext xmlns:c16="http://schemas.microsoft.com/office/drawing/2014/chart" uri="{C3380CC4-5D6E-409C-BE32-E72D297353CC}">
                      <c16:uniqueId val="{00000003-6453-4782-AA7C-E23BBFA4E6B6}"/>
                    </c:ext>
                  </c:extLst>
                </c:dPt>
                <c:trendline>
                  <c:spPr>
                    <a:ln w="19050" cap="rnd">
                      <a:solidFill>
                        <a:schemeClr val="accent3"/>
                      </a:solidFill>
                      <a:prstDash val="sysDot"/>
                    </a:ln>
                    <a:effectLst/>
                  </c:spPr>
                  <c:trendlineType val="linear"/>
                  <c:dispRSqr val="0"/>
                  <c:dispEq val="1"/>
                  <c:trendlineLbl>
                    <c:layout>
                      <c:manualLayout>
                        <c:x val="-0.15191038202773716"/>
                        <c:y val="7.5720670106871779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65000"/>
                              </a:schemeClr>
                            </a:solidFill>
                            <a:latin typeface="+mn-lt"/>
                            <a:ea typeface="+mn-ea"/>
                            <a:cs typeface="+mn-cs"/>
                          </a:defRPr>
                        </a:pPr>
                        <a:endParaRPr lang="en-US"/>
                      </a:p>
                    </c:txPr>
                  </c:trendlineLbl>
                </c:trendline>
                <c:xVal>
                  <c:numRef>
                    <c:extLst>
                      <c:ext uri="{02D57815-91ED-43cb-92C2-25804820EDAC}">
                        <c15:formulaRef>
                          <c15:sqref>'Reference Curves'!$O$536:$P$536</c15:sqref>
                        </c15:formulaRef>
                      </c:ext>
                    </c:extLst>
                    <c:numCache>
                      <c:formatCode>General</c:formatCode>
                      <c:ptCount val="2"/>
                      <c:pt idx="1">
                        <c:v>1.3</c:v>
                      </c:pt>
                    </c:numCache>
                  </c:numRef>
                </c:xVal>
                <c:yVal>
                  <c:numRef>
                    <c:extLst>
                      <c:ext uri="{02D57815-91ED-43cb-92C2-25804820EDAC}">
                        <c15:formulaRef>
                          <c15:sqref>'Reference Curves'!$O$538:$P$538</c15:sqref>
                        </c15:formulaRef>
                      </c:ext>
                    </c:extLst>
                    <c:numCache>
                      <c:formatCode>General</c:formatCode>
                      <c:ptCount val="2"/>
                      <c:pt idx="0">
                        <c:v>0.7</c:v>
                      </c:pt>
                      <c:pt idx="1">
                        <c:v>1</c:v>
                      </c:pt>
                    </c:numCache>
                  </c:numRef>
                </c:yVal>
                <c:smooth val="0"/>
                <c:extLst>
                  <c:ext xmlns:c16="http://schemas.microsoft.com/office/drawing/2014/chart" uri="{C3380CC4-5D6E-409C-BE32-E72D297353CC}">
                    <c16:uniqueId val="{00000005-11B4-4F86-85DB-2193C099AC43}"/>
                  </c:ext>
                </c:extLst>
              </c15:ser>
            </c15:filteredScatterSeries>
          </c:ext>
        </c:extLst>
      </c:scatterChart>
      <c:valAx>
        <c:axId val="441613184"/>
        <c:scaling>
          <c:orientation val="minMax"/>
          <c:max val="2.2000000000000002"/>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r>
                  <a:rPr lang="en-US" sz="1100" b="0" i="0" u="none" strike="noStrike" baseline="0">
                    <a:effectLst/>
                  </a:rPr>
                  <a:t>(K)</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06520"/>
        <c:crosses val="autoZero"/>
        <c:crossBetween val="midCat"/>
      </c:valAx>
      <c:valAx>
        <c:axId val="44160652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131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Percent Riffle for Streams &lt; 3% slope </a:t>
            </a:r>
          </a:p>
        </c:rich>
      </c:tx>
      <c:layout>
        <c:manualLayout>
          <c:xMode val="edge"/>
          <c:yMode val="edge"/>
          <c:x val="0.26547633324907888"/>
          <c:y val="2.359177315859941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25"/>
            <c:dispRSqr val="0"/>
            <c:dispEq val="1"/>
            <c:trendlineLbl>
              <c:layout>
                <c:manualLayout>
                  <c:x val="-5.3520218892053377E-2"/>
                  <c:y val="8.5806546981768428E-2"/>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Curves'!$K$435:$P$435</c:f>
              <c:numCache>
                <c:formatCode>General</c:formatCode>
                <c:ptCount val="6"/>
                <c:pt idx="4">
                  <c:v>39</c:v>
                </c:pt>
                <c:pt idx="5">
                  <c:v>50</c:v>
                </c:pt>
              </c:numCache>
            </c:numRef>
          </c:xVal>
          <c:yVal>
            <c:numRef>
              <c:f>'Reference Curves'!$K$437:$P$437</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33CC-400E-91D8-8DB0C3E7DC9D}"/>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21"/>
            <c:dispRSqr val="0"/>
            <c:dispEq val="1"/>
            <c:trendlineLbl>
              <c:layout>
                <c:manualLayout>
                  <c:x val="7.4764837587564123E-2"/>
                  <c:y val="-0.44696912069679218"/>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Curves'!$K$436:$P$436</c:f>
              <c:numCache>
                <c:formatCode>General</c:formatCode>
                <c:ptCount val="6"/>
                <c:pt idx="4">
                  <c:v>69</c:v>
                </c:pt>
                <c:pt idx="5">
                  <c:v>60</c:v>
                </c:pt>
              </c:numCache>
            </c:numRef>
          </c:xVal>
          <c:yVal>
            <c:numRef>
              <c:f>'Reference Curves'!$K$437:$P$437</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33CC-400E-91D8-8DB0C3E7DC9D}"/>
            </c:ext>
          </c:extLst>
        </c:ser>
        <c:ser>
          <c:idx val="2"/>
          <c:order val="2"/>
          <c:tx>
            <c:v>Crest</c:v>
          </c:tx>
          <c:spPr>
            <a:ln w="25400" cap="rnd">
              <a:solidFill>
                <a:schemeClr val="tx1"/>
              </a:solidFill>
              <a:prstDash val="sysDash"/>
              <a:round/>
            </a:ln>
            <a:effectLst/>
          </c:spPr>
          <c:marker>
            <c:symbol val="none"/>
          </c:marker>
          <c:trendline>
            <c:spPr>
              <a:ln w="22225" cap="rnd">
                <a:solidFill>
                  <a:schemeClr val="tx1"/>
                </a:solidFill>
                <a:prstDash val="sysDot"/>
              </a:ln>
              <a:effectLst/>
            </c:spPr>
            <c:trendlineType val="linear"/>
            <c:dispRSqr val="0"/>
            <c:dispEq val="0"/>
          </c:trendline>
          <c:xVal>
            <c:numRef>
              <c:f>'Reference Curves'!$P$435:$P$436</c:f>
              <c:numCache>
                <c:formatCode>General</c:formatCode>
                <c:ptCount val="2"/>
                <c:pt idx="0">
                  <c:v>50</c:v>
                </c:pt>
                <c:pt idx="1">
                  <c:v>60</c:v>
                </c:pt>
              </c:numCache>
            </c:numRef>
          </c:xVal>
          <c:yVal>
            <c:numRef>
              <c:f>('Reference Curves'!$P$437,'Reference Curves'!$P$437)</c:f>
              <c:numCache>
                <c:formatCode>General</c:formatCode>
                <c:ptCount val="2"/>
                <c:pt idx="0">
                  <c:v>1</c:v>
                </c:pt>
                <c:pt idx="1">
                  <c:v>1</c:v>
                </c:pt>
              </c:numCache>
            </c:numRef>
          </c:yVal>
          <c:smooth val="0"/>
          <c:extLst>
            <c:ext xmlns:c16="http://schemas.microsoft.com/office/drawing/2014/chart" uri="{C3380CC4-5D6E-409C-BE32-E72D297353CC}">
              <c16:uniqueId val="{00000000-FA7A-475D-A63F-B00735B9BBEC}"/>
            </c:ext>
          </c:extLst>
        </c:ser>
        <c:dLbls>
          <c:showLegendKey val="0"/>
          <c:showVal val="0"/>
          <c:showCatName val="0"/>
          <c:showSerName val="0"/>
          <c:showPercent val="0"/>
          <c:showBubbleSize val="0"/>
        </c:dLbls>
        <c:axId val="441611224"/>
        <c:axId val="441612008"/>
      </c:scatterChart>
      <c:valAx>
        <c:axId val="4416112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12008"/>
        <c:crosses val="autoZero"/>
        <c:crossBetween val="midCat"/>
      </c:valAx>
      <c:valAx>
        <c:axId val="44161200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112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B, C and E Streams &lt; 3% slope and Percent Riffle &gt;=60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2456070937341359"/>
                  <c:y val="-0.1776675096258496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0-1CCE-4783-8506-AA46E4409ADE}"/>
            </c:ext>
          </c:extLst>
        </c:ser>
        <c:dLbls>
          <c:showLegendKey val="0"/>
          <c:showVal val="0"/>
          <c:showCatName val="0"/>
          <c:showSerName val="0"/>
          <c:showPercent val="0"/>
          <c:showBubbleSize val="0"/>
        </c:dLbls>
        <c:axId val="441608872"/>
        <c:axId val="441607304"/>
      </c:scatterChart>
      <c:valAx>
        <c:axId val="441608872"/>
        <c:scaling>
          <c:orientation val="minMax"/>
          <c:min val="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607304"/>
        <c:crosses val="autoZero"/>
        <c:crossBetween val="midCat"/>
      </c:valAx>
      <c:valAx>
        <c:axId val="4416073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6088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A</a:t>
            </a:r>
            <a:r>
              <a:rPr lang="en-US" baseline="0"/>
              <a:t> and B</a:t>
            </a:r>
            <a:r>
              <a:rPr lang="en-US"/>
              <a:t> Streams and Percent Riffle &gt;70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7622122197586678"/>
                  <c:y val="-7.639743340347382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0-A234-4278-B36B-2D355F1EA40B}"/>
            </c:ext>
          </c:extLst>
        </c:ser>
        <c:dLbls>
          <c:showLegendKey val="0"/>
          <c:showVal val="0"/>
          <c:showCatName val="0"/>
          <c:showSerName val="0"/>
          <c:showPercent val="0"/>
          <c:showBubbleSize val="0"/>
        </c:dLbls>
        <c:axId val="441606912"/>
        <c:axId val="441607696"/>
      </c:scatterChart>
      <c:valAx>
        <c:axId val="441606912"/>
        <c:scaling>
          <c:orientation val="minMax"/>
          <c:min val="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607696"/>
        <c:crosses val="autoZero"/>
        <c:crossBetween val="midCat"/>
      </c:valAx>
      <c:valAx>
        <c:axId val="4416076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6069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Functional Feet Score </a:t>
            </a:r>
            <a:r>
              <a:rPr lang="en-US" sz="2000" baseline="0"/>
              <a:t>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'Data Summary'!$C$21:$C$22</c:f>
              <c:strCache>
                <c:ptCount val="1"/>
                <c:pt idx="0">
                  <c:v>ECS</c:v>
                </c:pt>
              </c:strCache>
            </c:strRef>
          </c:tx>
          <c:spPr>
            <a:ln w="19050" cap="rnd">
              <a:solidFill>
                <a:srgbClr val="FF0000">
                  <a:alpha val="50000"/>
                </a:srgbClr>
              </a:solidFill>
              <a:prstDash val="dash"/>
              <a:round/>
            </a:ln>
            <a:effectLst/>
          </c:spPr>
          <c:marker>
            <c:symbol val="none"/>
          </c:marker>
          <c:xVal>
            <c:strRef>
              <c:f>('Data Summary'!$F$22,'Data Summary'!$A$32)</c:f>
              <c:strCache>
                <c:ptCount val="2"/>
                <c:pt idx="0">
                  <c:v>#N/A</c:v>
                </c:pt>
                <c:pt idx="1">
                  <c:v>#N/A</c:v>
                </c:pt>
              </c:strCache>
            </c:strRef>
          </c:xVal>
          <c:yVal>
            <c:numRef>
              <c:f>('Data Summary'!$C$28,'Data Summary'!$C$28)</c:f>
              <c:numCache>
                <c:formatCode>0.0</c:formatCode>
                <c:ptCount val="2"/>
                <c:pt idx="0">
                  <c:v>0</c:v>
                </c:pt>
                <c:pt idx="1">
                  <c:v>0</c:v>
                </c:pt>
              </c:numCache>
            </c:numRef>
          </c:yVal>
          <c:smooth val="0"/>
          <c:extLst>
            <c:ext xmlns:c16="http://schemas.microsoft.com/office/drawing/2014/chart" uri="{C3380CC4-5D6E-409C-BE32-E72D297353CC}">
              <c16:uniqueId val="{00000001-BF5F-49D1-B7E8-F18A8E0EDA1E}"/>
            </c:ext>
          </c:extLst>
        </c:ser>
        <c:ser>
          <c:idx val="2"/>
          <c:order val="1"/>
          <c:tx>
            <c:strRef>
              <c:f>'Data Summary'!$D$21:$D$22</c:f>
              <c:strCache>
                <c:ptCount val="1"/>
                <c:pt idx="0">
                  <c:v>PCS</c:v>
                </c:pt>
              </c:strCache>
            </c:strRef>
          </c:tx>
          <c:spPr>
            <a:ln w="19050" cap="rnd">
              <a:solidFill>
                <a:srgbClr val="00B0F0"/>
              </a:solidFill>
              <a:round/>
            </a:ln>
            <a:effectLst/>
          </c:spPr>
          <c:marker>
            <c:symbol val="none"/>
          </c:marker>
          <c:xVal>
            <c:strRef>
              <c:f>('Data Summary'!$F$22,'Data Summary'!$A$32)</c:f>
              <c:strCache>
                <c:ptCount val="2"/>
                <c:pt idx="0">
                  <c:v>#N/A</c:v>
                </c:pt>
                <c:pt idx="1">
                  <c:v>#N/A</c:v>
                </c:pt>
              </c:strCache>
            </c:strRef>
          </c:xVal>
          <c:yVal>
            <c:numRef>
              <c:f>('Data Summary'!$D$28,'Data Summary'!$D$28)</c:f>
              <c:numCache>
                <c:formatCode>0.0</c:formatCode>
                <c:ptCount val="2"/>
                <c:pt idx="0">
                  <c:v>0</c:v>
                </c:pt>
                <c:pt idx="1">
                  <c:v>0</c:v>
                </c:pt>
              </c:numCache>
            </c:numRef>
          </c:yVal>
          <c:smooth val="0"/>
          <c:extLst>
            <c:ext xmlns:c16="http://schemas.microsoft.com/office/drawing/2014/chart" uri="{C3380CC4-5D6E-409C-BE32-E72D297353CC}">
              <c16:uniqueId val="{00000002-BF5F-49D1-B7E8-F18A8E0EDA1E}"/>
            </c:ext>
          </c:extLst>
        </c:ser>
        <c:ser>
          <c:idx val="3"/>
          <c:order val="2"/>
          <c:tx>
            <c:strRef>
              <c:f>'Data Summary'!$E$21:$E$22</c:f>
              <c:strCache>
                <c:ptCount val="1"/>
                <c:pt idx="0">
                  <c:v>As-Built</c:v>
                </c:pt>
              </c:strCache>
            </c:strRef>
          </c:tx>
          <c:spPr>
            <a:ln w="38100" cap="rnd" cmpd="dbl">
              <a:solidFill>
                <a:schemeClr val="bg2">
                  <a:lumMod val="75000"/>
                </a:schemeClr>
              </a:solidFill>
              <a:prstDash val="dash"/>
              <a:round/>
            </a:ln>
            <a:effectLst/>
          </c:spPr>
          <c:marker>
            <c:symbol val="none"/>
          </c:marker>
          <c:xVal>
            <c:strRef>
              <c:f>('Data Summary'!$F$22,'Data Summary'!$A$32)</c:f>
              <c:strCache>
                <c:ptCount val="2"/>
                <c:pt idx="0">
                  <c:v>#N/A</c:v>
                </c:pt>
                <c:pt idx="1">
                  <c:v>#N/A</c:v>
                </c:pt>
              </c:strCache>
            </c:strRef>
          </c:xVal>
          <c:yVal>
            <c:numRef>
              <c:f>('Data Summary'!$E$28,'Data Summary'!$E$28)</c:f>
              <c:numCache>
                <c:formatCode>0.0</c:formatCode>
                <c:ptCount val="2"/>
                <c:pt idx="0">
                  <c:v>0</c:v>
                </c:pt>
                <c:pt idx="1">
                  <c:v>0</c:v>
                </c:pt>
              </c:numCache>
            </c:numRef>
          </c:yVal>
          <c:smooth val="0"/>
          <c:extLst>
            <c:ext xmlns:c16="http://schemas.microsoft.com/office/drawing/2014/chart" uri="{C3380CC4-5D6E-409C-BE32-E72D297353CC}">
              <c16:uniqueId val="{00000003-BF5F-49D1-B7E8-F18A8E0EDA1E}"/>
            </c:ext>
          </c:extLst>
        </c:ser>
        <c:ser>
          <c:idx val="0"/>
          <c:order val="3"/>
          <c:tx>
            <c:v>Monitoring Data</c:v>
          </c:tx>
          <c:spPr>
            <a:ln w="28575" cap="rnd">
              <a:solidFill>
                <a:schemeClr val="tx1"/>
              </a:solidFill>
              <a:round/>
            </a:ln>
            <a:effectLst/>
          </c:spPr>
          <c:marker>
            <c:symbol val="none"/>
          </c:marker>
          <c:xVal>
            <c:strRef>
              <c:f>'Data Summary'!$F$22:$O$22</c:f>
              <c:strCache>
                <c:ptCount val="10"/>
                <c:pt idx="0">
                  <c:v>#N/A</c:v>
                </c:pt>
                <c:pt idx="1">
                  <c:v>#N/A</c:v>
                </c:pt>
                <c:pt idx="2">
                  <c:v>#N/A</c:v>
                </c:pt>
                <c:pt idx="3">
                  <c:v>#N/A</c:v>
                </c:pt>
                <c:pt idx="4">
                  <c:v>#N/A</c:v>
                </c:pt>
                <c:pt idx="5">
                  <c:v>#N/A</c:v>
                </c:pt>
                <c:pt idx="6">
                  <c:v>#N/A</c:v>
                </c:pt>
                <c:pt idx="7">
                  <c:v>#N/A</c:v>
                </c:pt>
                <c:pt idx="8">
                  <c:v>#N/A</c:v>
                </c:pt>
                <c:pt idx="9">
                  <c:v>#N/A</c:v>
                </c:pt>
              </c:strCache>
            </c:strRef>
          </c:xVal>
          <c:yVal>
            <c:numRef>
              <c:f>'Data Summary'!$F$28:$O$28</c:f>
              <c:numCache>
                <c:formatCode>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BF5F-49D1-B7E8-F18A8E0EDA1E}"/>
            </c:ext>
          </c:extLst>
        </c:ser>
        <c:dLbls>
          <c:showLegendKey val="0"/>
          <c:showVal val="0"/>
          <c:showCatName val="0"/>
          <c:showSerName val="0"/>
          <c:showPercent val="0"/>
          <c:showBubbleSize val="0"/>
        </c:dLbls>
        <c:axId val="419251592"/>
        <c:axId val="419252768"/>
      </c:scatterChart>
      <c:valAx>
        <c:axId val="419251592"/>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52768"/>
        <c:crosses val="autoZero"/>
        <c:crossBetween val="midCat"/>
      </c:valAx>
      <c:valAx>
        <c:axId val="419252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Functional Feet</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5159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Sinuosity</a:t>
            </a:r>
            <a:r>
              <a:rPr lang="en-US" sz="1600" baseline="0"/>
              <a:t> for Unconfined Alluvial Valleys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3.0000000000000006E-2"/>
            <c:dispRSqr val="0"/>
            <c:dispEq val="1"/>
            <c:trendlineLbl>
              <c:layout>
                <c:manualLayout>
                  <c:x val="0.20833503357328995"/>
                  <c:y val="3.8326612261204117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Curves'!$K$569:$O$569</c:f>
              <c:numCache>
                <c:formatCode>General</c:formatCode>
                <c:ptCount val="5"/>
                <c:pt idx="2">
                  <c:v>1.1499999999999999</c:v>
                </c:pt>
                <c:pt idx="3">
                  <c:v>1.19</c:v>
                </c:pt>
              </c:numCache>
            </c:numRef>
          </c:xVal>
          <c:yVal>
            <c:numRef>
              <c:f>'Reference Curves'!$K$571:$O$571</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4D02-4A2D-AE52-B72266B9C1B6}"/>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6.900000000000002E-2"/>
            <c:dispRSqr val="0"/>
            <c:dispEq val="1"/>
            <c:trendlineLbl>
              <c:layout>
                <c:manualLayout>
                  <c:x val="0.1757212574140104"/>
                  <c:y val="-0.2774223484269635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Curves'!$K$570:$O$570</c:f>
              <c:numCache>
                <c:formatCode>General</c:formatCode>
                <c:ptCount val="5"/>
                <c:pt idx="2">
                  <c:v>1.6</c:v>
                </c:pt>
                <c:pt idx="3">
                  <c:v>1.51</c:v>
                </c:pt>
              </c:numCache>
            </c:numRef>
          </c:xVal>
          <c:yVal>
            <c:numRef>
              <c:f>'Reference Curves'!$K$571:$O$571</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4D02-4A2D-AE52-B72266B9C1B6}"/>
            </c:ext>
          </c:extLst>
        </c:ser>
        <c:ser>
          <c:idx val="4"/>
          <c:order val="2"/>
          <c:tx>
            <c:v>Crest</c:v>
          </c:tx>
          <c:spPr>
            <a:ln w="25400" cap="rnd">
              <a:solidFill>
                <a:sysClr val="windowText" lastClr="000000"/>
              </a:solidFill>
              <a:prstDash val="dash"/>
              <a:round/>
            </a:ln>
            <a:effectLst/>
          </c:spPr>
          <c:marker>
            <c:symbol val="none"/>
          </c:marker>
          <c:dPt>
            <c:idx val="0"/>
            <c:marker>
              <c:symbol val="none"/>
            </c:marker>
            <c:bubble3D val="0"/>
            <c:extLst>
              <c:ext xmlns:c16="http://schemas.microsoft.com/office/drawing/2014/chart" uri="{C3380CC4-5D6E-409C-BE32-E72D297353CC}">
                <c16:uniqueId val="{00000002-FCF7-482E-BAAD-049EA68EB426}"/>
              </c:ext>
            </c:extLst>
          </c:dPt>
          <c:xVal>
            <c:numRef>
              <c:f>'Reference Curves'!$P$569:$P$570</c:f>
              <c:numCache>
                <c:formatCode>General</c:formatCode>
                <c:ptCount val="2"/>
                <c:pt idx="0">
                  <c:v>1.2</c:v>
                </c:pt>
                <c:pt idx="1">
                  <c:v>1.5</c:v>
                </c:pt>
              </c:numCache>
            </c:numRef>
          </c:xVal>
          <c:yVal>
            <c:numRef>
              <c:f>('Reference Curves'!$P$571,'Reference Curves'!$P$571)</c:f>
              <c:numCache>
                <c:formatCode>General</c:formatCode>
                <c:ptCount val="2"/>
                <c:pt idx="0">
                  <c:v>1</c:v>
                </c:pt>
                <c:pt idx="1">
                  <c:v>1</c:v>
                </c:pt>
              </c:numCache>
            </c:numRef>
          </c:yVal>
          <c:smooth val="0"/>
          <c:extLst>
            <c:ext xmlns:c16="http://schemas.microsoft.com/office/drawing/2014/chart" uri="{C3380CC4-5D6E-409C-BE32-E72D297353CC}">
              <c16:uniqueId val="{00000002-4A7E-468D-BF6E-87F2F2476865}"/>
            </c:ext>
          </c:extLst>
        </c:ser>
        <c:dLbls>
          <c:showLegendKey val="0"/>
          <c:showVal val="0"/>
          <c:showCatName val="0"/>
          <c:showSerName val="0"/>
          <c:showPercent val="0"/>
          <c:showBubbleSize val="0"/>
        </c:dLbls>
        <c:axId val="441609264"/>
        <c:axId val="441609656"/>
      </c:scatterChart>
      <c:valAx>
        <c:axId val="441609264"/>
        <c:scaling>
          <c:orientation val="minMax"/>
          <c:max val="2"/>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r>
                  <a:rPr lang="en-US" sz="1100" b="0" i="0" u="none" strike="noStrike" baseline="0">
                    <a:effectLst/>
                  </a:rPr>
                  <a:t>(K)</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09656"/>
        <c:crosses val="autoZero"/>
        <c:crossBetween val="midCat"/>
      </c:valAx>
      <c:valAx>
        <c:axId val="44160965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092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WSII Plot 1: Wyoming Basin, Black Hills, High Valleys</a:t>
            </a:r>
          </a:p>
        </c:rich>
      </c:tx>
      <c:layout>
        <c:manualLayout>
          <c:xMode val="edge"/>
          <c:yMode val="edge"/>
          <c:x val="5.0864005055825459E-2"/>
          <c:y val="2.4621695882312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198763639774871E-2"/>
          <c:y val="0.11855966429787121"/>
          <c:w val="0.53875464878339052"/>
          <c:h val="0.76888871213553633"/>
        </c:manualLayout>
      </c:layout>
      <c:scatterChart>
        <c:scatterStyle val="lineMarker"/>
        <c:varyColors val="0"/>
        <c:ser>
          <c:idx val="0"/>
          <c:order val="0"/>
          <c:tx>
            <c:v>Wyoming Basin - NF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8034239304302263"/>
                  <c:y val="0.1941495845573499"/>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Curves'!$AB$9:$AD$9</c:f>
              <c:numCache>
                <c:formatCode>General</c:formatCode>
                <c:ptCount val="3"/>
                <c:pt idx="0">
                  <c:v>5.3</c:v>
                </c:pt>
                <c:pt idx="2">
                  <c:v>26.2</c:v>
                </c:pt>
              </c:numCache>
            </c:numRef>
          </c:xVal>
          <c:yVal>
            <c:numRef>
              <c:f>'Reference Curves'!$AB$12:$AD$12</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0-3C2B-4369-B12E-CEBB85132D7A}"/>
            </c:ext>
          </c:extLst>
        </c:ser>
        <c:ser>
          <c:idx val="4"/>
          <c:order val="1"/>
          <c:tx>
            <c:v>Wyoming Basin - FAR</c:v>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3.1912933747525497E-2"/>
                  <c:y val="0.1121767477708727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Curves'!$AD$9:$AF$9</c:f>
              <c:numCache>
                <c:formatCode>General</c:formatCode>
                <c:ptCount val="3"/>
                <c:pt idx="0">
                  <c:v>26.2</c:v>
                </c:pt>
                <c:pt idx="2">
                  <c:v>39.9</c:v>
                </c:pt>
              </c:numCache>
            </c:numRef>
          </c:xVal>
          <c:yVal>
            <c:numRef>
              <c:f>'Reference Curves'!$AD$12:$AF$12</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4-B488-4B86-B673-B02738C25FEA}"/>
            </c:ext>
          </c:extLst>
        </c:ser>
        <c:ser>
          <c:idx val="5"/>
          <c:order val="2"/>
          <c:tx>
            <c:v>Wyoming Basin - F</c:v>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9.4726881218536965E-2"/>
                  <c:y val="5.3792104675165674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Curves'!$AE$9:$AG$9</c:f>
              <c:numCache>
                <c:formatCode>General</c:formatCode>
                <c:ptCount val="3"/>
                <c:pt idx="1">
                  <c:v>39.9</c:v>
                </c:pt>
                <c:pt idx="2" formatCode="0.00">
                  <c:v>64.5</c:v>
                </c:pt>
              </c:numCache>
            </c:numRef>
          </c:xVal>
          <c:yVal>
            <c:numRef>
              <c:f>'Reference Curves'!$AE$12:$AG$12</c:f>
              <c:numCache>
                <c:formatCode>General</c:formatCode>
                <c:ptCount val="3"/>
                <c:pt idx="0">
                  <c:v>0.69</c:v>
                </c:pt>
                <c:pt idx="1">
                  <c:v>0.7</c:v>
                </c:pt>
                <c:pt idx="2">
                  <c:v>1</c:v>
                </c:pt>
              </c:numCache>
            </c:numRef>
          </c:yVal>
          <c:smooth val="0"/>
          <c:extLst>
            <c:ext xmlns:c16="http://schemas.microsoft.com/office/drawing/2014/chart" uri="{C3380CC4-5D6E-409C-BE32-E72D297353CC}">
              <c16:uniqueId val="{00000005-B488-4B86-B673-B02738C25FEA}"/>
            </c:ext>
          </c:extLst>
        </c:ser>
        <c:ser>
          <c:idx val="1"/>
          <c:order val="3"/>
          <c:tx>
            <c:v>Black Hills - NF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8421041928091655"/>
                  <c:y val="0.12951763286628043"/>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Curves'!$AB$10:$AD$10</c:f>
              <c:numCache>
                <c:formatCode>0.00</c:formatCode>
                <c:ptCount val="3"/>
                <c:pt idx="0" formatCode="General">
                  <c:v>12.8</c:v>
                </c:pt>
                <c:pt idx="2" formatCode="General">
                  <c:v>30.7</c:v>
                </c:pt>
              </c:numCache>
            </c:numRef>
          </c:xVal>
          <c:yVal>
            <c:numRef>
              <c:f>'Reference Curves'!$AB$12:$AD$12</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0-25F3-4C44-8C4A-1CBF24513F48}"/>
            </c:ext>
          </c:extLst>
        </c:ser>
        <c:ser>
          <c:idx val="7"/>
          <c:order val="4"/>
          <c:tx>
            <c:v>Black Hills - FAR</c:v>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linear"/>
            <c:dispRSqr val="0"/>
            <c:dispEq val="1"/>
            <c:trendlineLbl>
              <c:layout>
                <c:manualLayout>
                  <c:x val="-6.5315653875648541E-2"/>
                  <c:y val="4.1289350587251382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lumMod val="75000"/>
                        </a:schemeClr>
                      </a:solidFill>
                      <a:latin typeface="+mn-lt"/>
                      <a:ea typeface="+mn-ea"/>
                      <a:cs typeface="+mn-cs"/>
                    </a:defRPr>
                  </a:pPr>
                  <a:endParaRPr lang="en-US"/>
                </a:p>
              </c:txPr>
            </c:trendlineLbl>
          </c:trendline>
          <c:xVal>
            <c:numRef>
              <c:f>'Reference Curves'!$AD$10:$AF$10</c:f>
              <c:numCache>
                <c:formatCode>General</c:formatCode>
                <c:ptCount val="3"/>
                <c:pt idx="0">
                  <c:v>30.7</c:v>
                </c:pt>
                <c:pt idx="2">
                  <c:v>46.1</c:v>
                </c:pt>
              </c:numCache>
            </c:numRef>
          </c:xVal>
          <c:yVal>
            <c:numRef>
              <c:f>'Reference Curves'!$AD$12:$AF$12</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C-B488-4B86-B673-B02738C25FEA}"/>
            </c:ext>
          </c:extLst>
        </c:ser>
        <c:ser>
          <c:idx val="8"/>
          <c:order val="5"/>
          <c:tx>
            <c:v>Black Hills - 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5.1104818756484052E-2"/>
                  <c:y val="-4.6844230453257311E-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Curves'!$AF$10:$AG$10</c:f>
              <c:numCache>
                <c:formatCode>0.00</c:formatCode>
                <c:ptCount val="2"/>
                <c:pt idx="0" formatCode="General">
                  <c:v>46.1</c:v>
                </c:pt>
                <c:pt idx="1">
                  <c:v>65.7</c:v>
                </c:pt>
              </c:numCache>
            </c:numRef>
          </c:xVal>
          <c:yVal>
            <c:numRef>
              <c:f>'Reference Curves'!$AF$12:$AG$12</c:f>
              <c:numCache>
                <c:formatCode>General</c:formatCode>
                <c:ptCount val="2"/>
                <c:pt idx="0">
                  <c:v>0.7</c:v>
                </c:pt>
                <c:pt idx="1">
                  <c:v>1</c:v>
                </c:pt>
              </c:numCache>
            </c:numRef>
          </c:yVal>
          <c:smooth val="0"/>
          <c:extLst>
            <c:ext xmlns:c16="http://schemas.microsoft.com/office/drawing/2014/chart" uri="{C3380CC4-5D6E-409C-BE32-E72D297353CC}">
              <c16:uniqueId val="{0000000D-B488-4B86-B673-B02738C25FEA}"/>
            </c:ext>
          </c:extLst>
        </c:ser>
        <c:ser>
          <c:idx val="2"/>
          <c:order val="6"/>
          <c:tx>
            <c:v>High Valleys - NF &amp; FAR</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12033037796636319"/>
                  <c:y val="0.2933480038615956"/>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65000"/>
                        </a:schemeClr>
                      </a:solidFill>
                      <a:latin typeface="+mn-lt"/>
                      <a:ea typeface="+mn-ea"/>
                      <a:cs typeface="+mn-cs"/>
                    </a:defRPr>
                  </a:pPr>
                  <a:endParaRPr lang="en-US"/>
                </a:p>
              </c:txPr>
            </c:trendlineLbl>
          </c:trendline>
          <c:xVal>
            <c:numRef>
              <c:f>'Reference Curves'!$AB$11:$AF$11</c:f>
              <c:numCache>
                <c:formatCode>0.00</c:formatCode>
                <c:ptCount val="5"/>
                <c:pt idx="0" formatCode="General">
                  <c:v>17.100000000000001</c:v>
                </c:pt>
                <c:pt idx="2" formatCode="General">
                  <c:v>32.5</c:v>
                </c:pt>
                <c:pt idx="4" formatCode="General">
                  <c:v>48.8</c:v>
                </c:pt>
              </c:numCache>
            </c:numRef>
          </c:xVal>
          <c:yVal>
            <c:numRef>
              <c:f>'Reference Curves'!$AB$12:$AF$12</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2-9E73-4840-9E9F-722FF4C872B9}"/>
            </c:ext>
          </c:extLst>
        </c:ser>
        <c:ser>
          <c:idx val="6"/>
          <c:order val="7"/>
          <c:tx>
            <c:v>High Valleys - F</c:v>
          </c:tx>
          <c:spPr>
            <a:ln w="25400" cap="rnd">
              <a:noFill/>
              <a:round/>
            </a:ln>
            <a:effectLst/>
          </c:spPr>
          <c:marker>
            <c:symbol val="circle"/>
            <c:size val="5"/>
            <c:spPr>
              <a:solidFill>
                <a:schemeClr val="bg2">
                  <a:lumMod val="75000"/>
                </a:schemeClr>
              </a:solidFill>
              <a:ln w="9525">
                <a:solidFill>
                  <a:schemeClr val="bg2">
                    <a:lumMod val="75000"/>
                  </a:schemeClr>
                </a:solidFill>
              </a:ln>
              <a:effectLst/>
            </c:spPr>
          </c:marker>
          <c:trendline>
            <c:spPr>
              <a:ln w="19050" cap="rnd">
                <a:solidFill>
                  <a:schemeClr val="bg1">
                    <a:lumMod val="50000"/>
                  </a:schemeClr>
                </a:solidFill>
                <a:prstDash val="sysDot"/>
              </a:ln>
              <a:effectLst/>
            </c:spPr>
            <c:trendlineType val="linear"/>
            <c:dispRSqr val="0"/>
            <c:dispEq val="1"/>
            <c:trendlineLbl>
              <c:layout>
                <c:manualLayout>
                  <c:x val="7.1027559213592495E-2"/>
                  <c:y val="0.149201176219125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50000"/>
                        </a:schemeClr>
                      </a:solidFill>
                      <a:latin typeface="+mn-lt"/>
                      <a:ea typeface="+mn-ea"/>
                      <a:cs typeface="+mn-cs"/>
                    </a:defRPr>
                  </a:pPr>
                  <a:endParaRPr lang="en-US"/>
                </a:p>
              </c:txPr>
            </c:trendlineLbl>
          </c:trendline>
          <c:xVal>
            <c:numRef>
              <c:f>'Reference Curves'!$AF$11:$AG$11</c:f>
              <c:numCache>
                <c:formatCode>0.00</c:formatCode>
                <c:ptCount val="2"/>
                <c:pt idx="0" formatCode="General">
                  <c:v>48.8</c:v>
                </c:pt>
                <c:pt idx="1">
                  <c:v>78.2</c:v>
                </c:pt>
              </c:numCache>
            </c:numRef>
          </c:xVal>
          <c:yVal>
            <c:numRef>
              <c:f>'Reference Curves'!$AF$12:$AG$12</c:f>
              <c:numCache>
                <c:formatCode>General</c:formatCode>
                <c:ptCount val="2"/>
                <c:pt idx="0">
                  <c:v>0.7</c:v>
                </c:pt>
                <c:pt idx="1">
                  <c:v>1</c:v>
                </c:pt>
              </c:numCache>
            </c:numRef>
          </c:yVal>
          <c:smooth val="0"/>
          <c:extLst>
            <c:ext xmlns:c16="http://schemas.microsoft.com/office/drawing/2014/chart" uri="{C3380CC4-5D6E-409C-BE32-E72D297353CC}">
              <c16:uniqueId val="{0000000A-B488-4B86-B673-B02738C25FEA}"/>
            </c:ext>
          </c:extLst>
        </c:ser>
        <c:dLbls>
          <c:showLegendKey val="0"/>
          <c:showVal val="0"/>
          <c:showCatName val="0"/>
          <c:showSerName val="0"/>
          <c:showPercent val="0"/>
          <c:showBubbleSize val="0"/>
        </c:dLbls>
        <c:axId val="441867224"/>
        <c:axId val="441863304"/>
      </c:scatterChart>
      <c:valAx>
        <c:axId val="4418672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(Index Score)</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863304"/>
        <c:crosses val="autoZero"/>
        <c:crossBetween val="midCat"/>
      </c:valAx>
      <c:valAx>
        <c:axId val="44186330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867224"/>
        <c:crosses val="autoZero"/>
        <c:crossBetween val="midCat"/>
      </c:valAx>
      <c:spPr>
        <a:noFill/>
        <a:ln>
          <a:noFill/>
        </a:ln>
        <a:effectLst/>
      </c:spPr>
    </c:plotArea>
    <c:legend>
      <c:legendPos val="r"/>
      <c:layout>
        <c:manualLayout>
          <c:xMode val="edge"/>
          <c:yMode val="edge"/>
          <c:x val="0.6285464544920768"/>
          <c:y val="0.1174597129484195"/>
          <c:w val="0.30841997028621415"/>
          <c:h val="0.5505303626116329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WSII Plot 2: Southern Rockies, SE Plains, NE Plains</a:t>
            </a:r>
          </a:p>
        </c:rich>
      </c:tx>
      <c:layout>
        <c:manualLayout>
          <c:xMode val="edge"/>
          <c:yMode val="edge"/>
          <c:x val="6.8220713680492609E-2"/>
          <c:y val="2.41024334443089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Southern Rockies - NF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23460582690352894"/>
                  <c:y val="4.6350191794151008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Curves'!$AB$46:$AD$46</c:f>
              <c:numCache>
                <c:formatCode>General</c:formatCode>
                <c:ptCount val="3"/>
                <c:pt idx="0">
                  <c:v>5.0999999999999996</c:v>
                </c:pt>
                <c:pt idx="2">
                  <c:v>32.6</c:v>
                </c:pt>
              </c:numCache>
            </c:numRef>
          </c:xVal>
          <c:yVal>
            <c:numRef>
              <c:f>'Reference Curves'!$AB$49:$AD$49</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0-8E5C-438D-8CCF-3A53D164C7AA}"/>
            </c:ext>
          </c:extLst>
        </c:ser>
        <c:ser>
          <c:idx val="2"/>
          <c:order val="1"/>
          <c:tx>
            <c:v>Southern Rockies - FAR</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3"/>
                </a:solidFill>
                <a:prstDash val="sysDot"/>
              </a:ln>
              <a:effectLst/>
            </c:spPr>
            <c:trendlineType val="linear"/>
            <c:dispRSqr val="0"/>
            <c:dispEq val="1"/>
            <c:trendlineLbl>
              <c:layout>
                <c:manualLayout>
                  <c:x val="-1.7032815286058971E-2"/>
                  <c:y val="4.7109582093220428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Curves'!$AD$46:$AF$46</c:f>
              <c:numCache>
                <c:formatCode>General</c:formatCode>
                <c:ptCount val="3"/>
                <c:pt idx="0">
                  <c:v>32.6</c:v>
                </c:pt>
                <c:pt idx="2">
                  <c:v>48.8</c:v>
                </c:pt>
              </c:numCache>
            </c:numRef>
          </c:xVal>
          <c:yVal>
            <c:numRef>
              <c:f>'Reference Curves'!$AD$49:$AF$49</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3-FCF6-4001-8DD0-B175CDEB9035}"/>
            </c:ext>
          </c:extLst>
        </c:ser>
        <c:ser>
          <c:idx val="4"/>
          <c:order val="2"/>
          <c:tx>
            <c:v>Southern Rockies - F</c:v>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5.3798234329238234E-2"/>
                  <c:y val="8.7672601653673646E-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Curves'!$AF$46:$AG$46</c:f>
              <c:numCache>
                <c:formatCode>General</c:formatCode>
                <c:ptCount val="2"/>
                <c:pt idx="0">
                  <c:v>48.8</c:v>
                </c:pt>
                <c:pt idx="1">
                  <c:v>82.2</c:v>
                </c:pt>
              </c:numCache>
            </c:numRef>
          </c:xVal>
          <c:yVal>
            <c:numRef>
              <c:f>'Reference Curves'!$AF$49:$AG$49</c:f>
              <c:numCache>
                <c:formatCode>General</c:formatCode>
                <c:ptCount val="2"/>
                <c:pt idx="0">
                  <c:v>0.7</c:v>
                </c:pt>
                <c:pt idx="1">
                  <c:v>1</c:v>
                </c:pt>
              </c:numCache>
            </c:numRef>
          </c:yVal>
          <c:smooth val="0"/>
          <c:extLst>
            <c:ext xmlns:c16="http://schemas.microsoft.com/office/drawing/2014/chart" uri="{C3380CC4-5D6E-409C-BE32-E72D297353CC}">
              <c16:uniqueId val="{00000004-FCF6-4001-8DD0-B175CDEB9035}"/>
            </c:ext>
          </c:extLst>
        </c:ser>
        <c:ser>
          <c:idx val="1"/>
          <c:order val="3"/>
          <c:tx>
            <c:v>SE Plains - NF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55385455102933"/>
                  <c:y val="0.12347989795371289"/>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Curves'!$AB$47:$AD$47</c:f>
              <c:numCache>
                <c:formatCode>General</c:formatCode>
                <c:ptCount val="3"/>
                <c:pt idx="0">
                  <c:v>10.4</c:v>
                </c:pt>
                <c:pt idx="2">
                  <c:v>36.700000000000003</c:v>
                </c:pt>
              </c:numCache>
            </c:numRef>
          </c:xVal>
          <c:yVal>
            <c:numRef>
              <c:f>'Reference Curves'!$AB$49:$AD$49</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0-CCFD-4536-B385-192B6754E2E9}"/>
            </c:ext>
          </c:extLst>
        </c:ser>
        <c:ser>
          <c:idx val="5"/>
          <c:order val="4"/>
          <c:tx>
            <c:v>SE Plains - FAR</c:v>
          </c:tx>
          <c:spPr>
            <a:ln w="25400" cap="rnd">
              <a:noFill/>
              <a:round/>
            </a:ln>
            <a:effectLst/>
          </c:spPr>
          <c:marker>
            <c:symbol val="circle"/>
            <c:size val="5"/>
            <c:spPr>
              <a:solidFill>
                <a:schemeClr val="accent2">
                  <a:lumMod val="75000"/>
                </a:schemeClr>
              </a:solidFill>
              <a:ln w="9525">
                <a:solidFill>
                  <a:schemeClr val="accent2">
                    <a:lumMod val="75000"/>
                  </a:schemeClr>
                </a:solidFill>
              </a:ln>
              <a:effectLst/>
            </c:spPr>
          </c:marker>
          <c:trendline>
            <c:spPr>
              <a:ln w="19050" cap="rnd">
                <a:solidFill>
                  <a:schemeClr val="accent2">
                    <a:lumMod val="75000"/>
                  </a:schemeClr>
                </a:solidFill>
                <a:prstDash val="sysDot"/>
              </a:ln>
              <a:effectLst/>
            </c:spPr>
            <c:trendlineType val="linear"/>
            <c:dispRSqr val="0"/>
            <c:dispEq val="1"/>
            <c:trendlineLbl>
              <c:layout>
                <c:manualLayout>
                  <c:x val="-5.488114741474226E-2"/>
                  <c:y val="0.1069913613469553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lumMod val="75000"/>
                        </a:schemeClr>
                      </a:solidFill>
                      <a:latin typeface="+mn-lt"/>
                      <a:ea typeface="+mn-ea"/>
                      <a:cs typeface="+mn-cs"/>
                    </a:defRPr>
                  </a:pPr>
                  <a:endParaRPr lang="en-US"/>
                </a:p>
              </c:txPr>
            </c:trendlineLbl>
          </c:trendline>
          <c:xVal>
            <c:numRef>
              <c:f>'Reference Curves'!$AD$47:$AF$47</c:f>
              <c:numCache>
                <c:formatCode>General</c:formatCode>
                <c:ptCount val="3"/>
                <c:pt idx="0">
                  <c:v>36.700000000000003</c:v>
                </c:pt>
                <c:pt idx="2">
                  <c:v>55.1</c:v>
                </c:pt>
              </c:numCache>
            </c:numRef>
          </c:xVal>
          <c:yVal>
            <c:numRef>
              <c:f>'Reference Curves'!$AD$49:$AF$49</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7-FCF6-4001-8DD0-B175CDEB9035}"/>
            </c:ext>
          </c:extLst>
        </c:ser>
        <c:ser>
          <c:idx val="6"/>
          <c:order val="5"/>
          <c:tx>
            <c:v>SE Plains - 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lumMod val="75000"/>
                  </a:schemeClr>
                </a:solidFill>
                <a:prstDash val="sysDot"/>
              </a:ln>
              <a:effectLst/>
            </c:spPr>
            <c:trendlineType val="linear"/>
            <c:dispRSqr val="0"/>
            <c:dispEq val="1"/>
            <c:trendlineLbl>
              <c:layout>
                <c:manualLayout>
                  <c:x val="-0.13054566615972155"/>
                  <c:y val="7.2036147956678245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Curves'!$AF$47:$AG$47</c:f>
              <c:numCache>
                <c:formatCode>General</c:formatCode>
                <c:ptCount val="2"/>
                <c:pt idx="0">
                  <c:v>55.1</c:v>
                </c:pt>
                <c:pt idx="1">
                  <c:v>87</c:v>
                </c:pt>
              </c:numCache>
            </c:numRef>
          </c:xVal>
          <c:yVal>
            <c:numRef>
              <c:f>'Reference Curves'!$AF$49:$AG$49</c:f>
              <c:numCache>
                <c:formatCode>General</c:formatCode>
                <c:ptCount val="2"/>
                <c:pt idx="0">
                  <c:v>0.7</c:v>
                </c:pt>
                <c:pt idx="1">
                  <c:v>1</c:v>
                </c:pt>
              </c:numCache>
            </c:numRef>
          </c:yVal>
          <c:smooth val="0"/>
          <c:extLst>
            <c:ext xmlns:c16="http://schemas.microsoft.com/office/drawing/2014/chart" uri="{C3380CC4-5D6E-409C-BE32-E72D297353CC}">
              <c16:uniqueId val="{00000008-FCF6-4001-8DD0-B175CDEB9035}"/>
            </c:ext>
          </c:extLst>
        </c:ser>
        <c:ser>
          <c:idx val="3"/>
          <c:order val="6"/>
          <c:tx>
            <c:v>NE Plains - NF</c:v>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0282118636965042"/>
                  <c:y val="0.18351608618672186"/>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Curves'!$AB$48:$AD$48</c:f>
              <c:numCache>
                <c:formatCode>General</c:formatCode>
                <c:ptCount val="3"/>
                <c:pt idx="0">
                  <c:v>1.6</c:v>
                </c:pt>
                <c:pt idx="2">
                  <c:v>38.9</c:v>
                </c:pt>
              </c:numCache>
            </c:numRef>
          </c:xVal>
          <c:yVal>
            <c:numRef>
              <c:f>'Reference Curves'!$AB$49:$AD$49</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3-DDD7-4ECF-8495-C414D70A5AE0}"/>
            </c:ext>
          </c:extLst>
        </c:ser>
        <c:ser>
          <c:idx val="7"/>
          <c:order val="7"/>
          <c:tx>
            <c:v>NE Plains - FAR</c:v>
          </c:tx>
          <c:spPr>
            <a:ln w="25400" cap="rnd">
              <a:noFill/>
              <a:round/>
            </a:ln>
            <a:effectLst/>
          </c:spPr>
          <c:marker>
            <c:symbol val="circle"/>
            <c:size val="5"/>
            <c:spPr>
              <a:solidFill>
                <a:schemeClr val="accent4">
                  <a:lumMod val="75000"/>
                </a:schemeClr>
              </a:solidFill>
              <a:ln w="9525">
                <a:solidFill>
                  <a:schemeClr val="accent4">
                    <a:lumMod val="75000"/>
                  </a:schemeClr>
                </a:solidFill>
              </a:ln>
              <a:effectLst/>
            </c:spPr>
          </c:marker>
          <c:trendline>
            <c:spPr>
              <a:ln w="19050" cap="rnd">
                <a:solidFill>
                  <a:schemeClr val="accent4">
                    <a:lumMod val="75000"/>
                  </a:schemeClr>
                </a:solidFill>
                <a:prstDash val="sysDot"/>
              </a:ln>
              <a:effectLst/>
            </c:spPr>
            <c:trendlineType val="linear"/>
            <c:dispRSqr val="0"/>
            <c:dispEq val="1"/>
            <c:trendlineLbl>
              <c:layout>
                <c:manualLayout>
                  <c:x val="0.16333250944086902"/>
                  <c:y val="0.131468099148301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4">
                          <a:lumMod val="75000"/>
                        </a:schemeClr>
                      </a:solidFill>
                      <a:latin typeface="+mn-lt"/>
                      <a:ea typeface="+mn-ea"/>
                      <a:cs typeface="+mn-cs"/>
                    </a:defRPr>
                  </a:pPr>
                  <a:endParaRPr lang="en-US"/>
                </a:p>
              </c:txPr>
            </c:trendlineLbl>
          </c:trendline>
          <c:xVal>
            <c:numRef>
              <c:f>'Reference Curves'!$AD$48:$AF$48</c:f>
              <c:numCache>
                <c:formatCode>General</c:formatCode>
                <c:ptCount val="3"/>
                <c:pt idx="0">
                  <c:v>38.9</c:v>
                </c:pt>
                <c:pt idx="2">
                  <c:v>58.4</c:v>
                </c:pt>
              </c:numCache>
            </c:numRef>
          </c:xVal>
          <c:yVal>
            <c:numRef>
              <c:f>'Reference Curves'!$AD$49:$AF$49</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B-FCF6-4001-8DD0-B175CDEB9035}"/>
            </c:ext>
          </c:extLst>
        </c:ser>
        <c:ser>
          <c:idx val="8"/>
          <c:order val="8"/>
          <c:tx>
            <c:v>NE Plainns - F</c:v>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0358717469639468"/>
                  <c:y val="8.7100168859371316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Curves'!$AF$48:$AG$48</c:f>
              <c:numCache>
                <c:formatCode>General</c:formatCode>
                <c:ptCount val="2"/>
                <c:pt idx="0">
                  <c:v>58.4</c:v>
                </c:pt>
                <c:pt idx="1">
                  <c:v>95.8</c:v>
                </c:pt>
              </c:numCache>
            </c:numRef>
          </c:xVal>
          <c:yVal>
            <c:numRef>
              <c:f>'Reference Curves'!$AF$49:$AG$49</c:f>
              <c:numCache>
                <c:formatCode>General</c:formatCode>
                <c:ptCount val="2"/>
                <c:pt idx="0">
                  <c:v>0.7</c:v>
                </c:pt>
                <c:pt idx="1">
                  <c:v>1</c:v>
                </c:pt>
              </c:numCache>
            </c:numRef>
          </c:yVal>
          <c:smooth val="0"/>
          <c:extLst>
            <c:ext xmlns:c16="http://schemas.microsoft.com/office/drawing/2014/chart" uri="{C3380CC4-5D6E-409C-BE32-E72D297353CC}">
              <c16:uniqueId val="{0000000C-FCF6-4001-8DD0-B175CDEB9035}"/>
            </c:ext>
          </c:extLst>
        </c:ser>
        <c:dLbls>
          <c:showLegendKey val="0"/>
          <c:showVal val="0"/>
          <c:showCatName val="0"/>
          <c:showSerName val="0"/>
          <c:showPercent val="0"/>
          <c:showBubbleSize val="0"/>
        </c:dLbls>
        <c:axId val="441862912"/>
        <c:axId val="441866440"/>
      </c:scatterChart>
      <c:valAx>
        <c:axId val="4418629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(Index Score)</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866440"/>
        <c:crosses val="autoZero"/>
        <c:crossBetween val="midCat"/>
      </c:valAx>
      <c:valAx>
        <c:axId val="4418664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862912"/>
        <c:crosses val="autoZero"/>
        <c:crossBetween val="midCat"/>
      </c:valAx>
      <c:spPr>
        <a:noFill/>
        <a:ln>
          <a:noFill/>
        </a:ln>
        <a:effectLst/>
      </c:spPr>
    </c:plotArea>
    <c:legend>
      <c:legendPos val="r"/>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ayout>
        <c:manualLayout>
          <c:xMode val="edge"/>
          <c:yMode val="edge"/>
          <c:x val="0.71181115928040861"/>
          <c:y val="0.11263309802013455"/>
          <c:w val="0.27965081370520939"/>
          <c:h val="0.7247948464112634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RIVPACS Plot 3: Granitic Mountains, Bighorn Basin Foothills, Southern Foothills &amp; Laramie Range, Volcanic Mountains&amp; Valleys</a:t>
            </a:r>
          </a:p>
        </c:rich>
      </c:tx>
      <c:layout>
        <c:manualLayout>
          <c:xMode val="edge"/>
          <c:yMode val="edge"/>
          <c:x val="2.8156337456412356E-2"/>
          <c:y val="1.306620119439482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371755756014844E-2"/>
          <c:y val="0.12855017715023212"/>
          <c:w val="0.53844624906293348"/>
          <c:h val="0.76877462739358349"/>
        </c:manualLayout>
      </c:layout>
      <c:scatterChart>
        <c:scatterStyle val="lineMarker"/>
        <c:varyColors val="0"/>
        <c:ser>
          <c:idx val="0"/>
          <c:order val="0"/>
          <c:tx>
            <c:v>Granitic Mountains - NF</c:v>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0553844404702567"/>
                  <c:y val="5.0907771755893734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Curves'!$AB$233:$AD$233</c:f>
              <c:numCache>
                <c:formatCode>General</c:formatCode>
                <c:ptCount val="3"/>
                <c:pt idx="0">
                  <c:v>0.59</c:v>
                </c:pt>
                <c:pt idx="2">
                  <c:v>0.65</c:v>
                </c:pt>
              </c:numCache>
            </c:numRef>
          </c:xVal>
          <c:yVal>
            <c:numRef>
              <c:f>'Reference Curves'!$AB$237:$AD$237</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0-06EC-42A6-BA8B-0158167C91F3}"/>
            </c:ext>
          </c:extLst>
        </c:ser>
        <c:ser>
          <c:idx val="1"/>
          <c:order val="1"/>
          <c:tx>
            <c:v>Granitic Mountains - FAR &amp; F</c:v>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1"/>
            <c:dispEq val="1"/>
            <c:trendlineLbl>
              <c:layout>
                <c:manualLayout>
                  <c:x val="-0.16551394627681534"/>
                  <c:y val="0.1153282589832190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Curves'!$AD$233:$AG$233</c:f>
              <c:numCache>
                <c:formatCode>General</c:formatCode>
                <c:ptCount val="4"/>
                <c:pt idx="0">
                  <c:v>0.65</c:v>
                </c:pt>
                <c:pt idx="2">
                  <c:v>0.88</c:v>
                </c:pt>
                <c:pt idx="3">
                  <c:v>1.0900000000000001</c:v>
                </c:pt>
              </c:numCache>
            </c:numRef>
          </c:xVal>
          <c:yVal>
            <c:numRef>
              <c:f>'Reference Curves'!$AD$237:$AG$237</c:f>
              <c:numCache>
                <c:formatCode>General</c:formatCode>
                <c:ptCount val="4"/>
                <c:pt idx="0">
                  <c:v>0.3</c:v>
                </c:pt>
                <c:pt idx="1">
                  <c:v>0.69</c:v>
                </c:pt>
                <c:pt idx="2">
                  <c:v>0.7</c:v>
                </c:pt>
                <c:pt idx="3">
                  <c:v>1</c:v>
                </c:pt>
              </c:numCache>
            </c:numRef>
          </c:yVal>
          <c:smooth val="0"/>
          <c:extLst>
            <c:ext xmlns:c16="http://schemas.microsoft.com/office/drawing/2014/chart" uri="{C3380CC4-5D6E-409C-BE32-E72D297353CC}">
              <c16:uniqueId val="{00000004-8377-411C-9039-E9DD59FCCA4A}"/>
            </c:ext>
          </c:extLst>
        </c:ser>
        <c:ser>
          <c:idx val="2"/>
          <c:order val="2"/>
          <c:tx>
            <c:v>Bighorn Basin Foothills - NF &amp; FAR</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11852497400517148"/>
                  <c:y val="0.15240869760427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65000"/>
                        </a:schemeClr>
                      </a:solidFill>
                      <a:latin typeface="+mn-lt"/>
                      <a:ea typeface="+mn-ea"/>
                      <a:cs typeface="+mn-cs"/>
                    </a:defRPr>
                  </a:pPr>
                  <a:endParaRPr lang="en-US"/>
                </a:p>
              </c:txPr>
            </c:trendlineLbl>
          </c:trendline>
          <c:xVal>
            <c:numRef>
              <c:f>'Reference Curves'!$AB$234:$AF$234</c:f>
              <c:numCache>
                <c:formatCode>General</c:formatCode>
                <c:ptCount val="5"/>
                <c:pt idx="0">
                  <c:v>0.41</c:v>
                </c:pt>
                <c:pt idx="2">
                  <c:v>0.63</c:v>
                </c:pt>
                <c:pt idx="4">
                  <c:v>0.84</c:v>
                </c:pt>
              </c:numCache>
            </c:numRef>
          </c:xVal>
          <c:yVal>
            <c:numRef>
              <c:f>'Reference Curves'!$AB$237:$AF$237</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2-6A90-45EC-951B-AEC7B780E076}"/>
            </c:ext>
          </c:extLst>
        </c:ser>
        <c:ser>
          <c:idx val="3"/>
          <c:order val="3"/>
          <c:tx>
            <c:v>Bighorn Basin Foothills - F</c:v>
          </c:tx>
          <c:spPr>
            <a:ln w="25400" cap="rnd">
              <a:noFill/>
              <a:round/>
            </a:ln>
            <a:effectLst/>
          </c:spPr>
          <c:marker>
            <c:symbol val="circle"/>
            <c:size val="5"/>
            <c:spPr>
              <a:solidFill>
                <a:schemeClr val="bg2">
                  <a:lumMod val="50000"/>
                </a:schemeClr>
              </a:solidFill>
              <a:ln w="9525">
                <a:solidFill>
                  <a:schemeClr val="bg2">
                    <a:lumMod val="50000"/>
                  </a:schemeClr>
                </a:solidFill>
              </a:ln>
              <a:effectLst/>
            </c:spPr>
          </c:marker>
          <c:trendline>
            <c:spPr>
              <a:ln w="19050" cap="rnd">
                <a:solidFill>
                  <a:schemeClr val="bg2">
                    <a:lumMod val="50000"/>
                  </a:schemeClr>
                </a:solidFill>
                <a:prstDash val="sysDot"/>
              </a:ln>
              <a:effectLst/>
            </c:spPr>
            <c:trendlineType val="linear"/>
            <c:dispRSqr val="0"/>
            <c:dispEq val="1"/>
            <c:trendlineLbl>
              <c:layout>
                <c:manualLayout>
                  <c:x val="-3.7479200094438447E-2"/>
                  <c:y val="1.6025129905818409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Curves'!$AF$234:$AG$234</c:f>
              <c:numCache>
                <c:formatCode>General</c:formatCode>
                <c:ptCount val="2"/>
                <c:pt idx="0">
                  <c:v>0.84</c:v>
                </c:pt>
                <c:pt idx="1">
                  <c:v>0.92</c:v>
                </c:pt>
              </c:numCache>
            </c:numRef>
          </c:xVal>
          <c:yVal>
            <c:numRef>
              <c:f>'Reference Curves'!$AF$237:$AG$237</c:f>
              <c:numCache>
                <c:formatCode>General</c:formatCode>
                <c:ptCount val="2"/>
                <c:pt idx="0">
                  <c:v>0.7</c:v>
                </c:pt>
                <c:pt idx="1">
                  <c:v>1</c:v>
                </c:pt>
              </c:numCache>
            </c:numRef>
          </c:yVal>
          <c:smooth val="0"/>
          <c:extLst>
            <c:ext xmlns:c16="http://schemas.microsoft.com/office/drawing/2014/chart" uri="{C3380CC4-5D6E-409C-BE32-E72D297353CC}">
              <c16:uniqueId val="{00000006-8377-411C-9039-E9DD59FCCA4A}"/>
            </c:ext>
          </c:extLst>
        </c:ser>
        <c:ser>
          <c:idx val="4"/>
          <c:order val="4"/>
          <c:tx>
            <c:v>Southern Foothills and Laramie Range - NF</c:v>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18447054825422601"/>
                  <c:y val="0.1266917386833837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Curves'!$AB$235:$AE$235</c:f>
              <c:numCache>
                <c:formatCode>General</c:formatCode>
                <c:ptCount val="4"/>
                <c:pt idx="0">
                  <c:v>0.28999999999999998</c:v>
                </c:pt>
                <c:pt idx="2">
                  <c:v>0.68</c:v>
                </c:pt>
              </c:numCache>
            </c:numRef>
          </c:xVal>
          <c:yVal>
            <c:numRef>
              <c:f>'Reference Curves'!$AB$237:$AE$237</c:f>
              <c:numCache>
                <c:formatCode>General</c:formatCode>
                <c:ptCount val="4"/>
                <c:pt idx="0">
                  <c:v>0</c:v>
                </c:pt>
                <c:pt idx="1">
                  <c:v>0.28999999999999998</c:v>
                </c:pt>
                <c:pt idx="2">
                  <c:v>0.3</c:v>
                </c:pt>
                <c:pt idx="3">
                  <c:v>0.69</c:v>
                </c:pt>
              </c:numCache>
            </c:numRef>
          </c:yVal>
          <c:smooth val="0"/>
          <c:extLst>
            <c:ext xmlns:c16="http://schemas.microsoft.com/office/drawing/2014/chart" uri="{C3380CC4-5D6E-409C-BE32-E72D297353CC}">
              <c16:uniqueId val="{00000004-6A90-45EC-951B-AEC7B780E076}"/>
            </c:ext>
          </c:extLst>
        </c:ser>
        <c:ser>
          <c:idx val="6"/>
          <c:order val="5"/>
          <c:tx>
            <c:v>Southern Foothills and Laramie Range - FAR</c:v>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1"/>
            <c:trendlineLbl>
              <c:layout>
                <c:manualLayout>
                  <c:x val="0.14462827239719278"/>
                  <c:y val="5.2201634324560785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Curves'!$AD$235:$AF$235</c:f>
              <c:numCache>
                <c:formatCode>General</c:formatCode>
                <c:ptCount val="3"/>
                <c:pt idx="0">
                  <c:v>0.68</c:v>
                </c:pt>
                <c:pt idx="2">
                  <c:v>0.88</c:v>
                </c:pt>
              </c:numCache>
            </c:numRef>
          </c:xVal>
          <c:yVal>
            <c:numRef>
              <c:f>'Reference Curves'!$AD$237:$AF$237</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8-8377-411C-9039-E9DD59FCCA4A}"/>
            </c:ext>
          </c:extLst>
        </c:ser>
        <c:ser>
          <c:idx val="7"/>
          <c:order val="6"/>
          <c:tx>
            <c:v>Southern Foothills and Laramie Range - 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2">
                    <a:lumMod val="60000"/>
                  </a:schemeClr>
                </a:solidFill>
                <a:prstDash val="sysDot"/>
              </a:ln>
              <a:effectLst/>
            </c:spPr>
            <c:trendlineType val="linear"/>
            <c:dispRSqr val="0"/>
            <c:dispEq val="1"/>
            <c:trendlineLbl>
              <c:layout>
                <c:manualLayout>
                  <c:x val="8.9427185807762724E-2"/>
                  <c:y val="0.107488538266582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Curves'!$AF$235:$AG$235</c:f>
              <c:numCache>
                <c:formatCode>General</c:formatCode>
                <c:ptCount val="2"/>
                <c:pt idx="0">
                  <c:v>0.88</c:v>
                </c:pt>
                <c:pt idx="1">
                  <c:v>1.2</c:v>
                </c:pt>
              </c:numCache>
            </c:numRef>
          </c:xVal>
          <c:yVal>
            <c:numRef>
              <c:f>'Reference Curves'!$AF$237:$AG$237</c:f>
              <c:numCache>
                <c:formatCode>General</c:formatCode>
                <c:ptCount val="2"/>
                <c:pt idx="0">
                  <c:v>0.7</c:v>
                </c:pt>
                <c:pt idx="1">
                  <c:v>1</c:v>
                </c:pt>
              </c:numCache>
            </c:numRef>
          </c:yVal>
          <c:smooth val="0"/>
          <c:extLst>
            <c:ext xmlns:c16="http://schemas.microsoft.com/office/drawing/2014/chart" uri="{C3380CC4-5D6E-409C-BE32-E72D297353CC}">
              <c16:uniqueId val="{0000000A-8377-411C-9039-E9DD59FCCA4A}"/>
            </c:ext>
          </c:extLst>
        </c:ser>
        <c:ser>
          <c:idx val="5"/>
          <c:order val="7"/>
          <c:tx>
            <c:v>Volcanic Mountains &amp; Valleys - NF</c:v>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1"/>
            <c:trendlineLbl>
              <c:layout>
                <c:manualLayout>
                  <c:x val="0.19655473828596962"/>
                  <c:y val="0.1946359848942368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6"/>
                      </a:solidFill>
                      <a:latin typeface="+mn-lt"/>
                      <a:ea typeface="+mn-ea"/>
                      <a:cs typeface="+mn-cs"/>
                    </a:defRPr>
                  </a:pPr>
                  <a:endParaRPr lang="en-US"/>
                </a:p>
              </c:txPr>
            </c:trendlineLbl>
          </c:trendline>
          <c:xVal>
            <c:numRef>
              <c:f>'Reference Curves'!$AB$236:$AD$236</c:f>
              <c:numCache>
                <c:formatCode>General</c:formatCode>
                <c:ptCount val="3"/>
                <c:pt idx="0">
                  <c:v>0.21</c:v>
                </c:pt>
                <c:pt idx="2">
                  <c:v>0.65</c:v>
                </c:pt>
              </c:numCache>
            </c:numRef>
          </c:xVal>
          <c:yVal>
            <c:numRef>
              <c:f>'Reference Curves'!$AB$237:$AD$237</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5-6A90-45EC-951B-AEC7B780E076}"/>
            </c:ext>
          </c:extLst>
        </c:ser>
        <c:ser>
          <c:idx val="8"/>
          <c:order val="8"/>
          <c:tx>
            <c:v>Volcanic Mountains &amp; Valleys - FAR</c:v>
          </c:tx>
          <c:spPr>
            <a:ln w="25400" cap="rnd">
              <a:noFill/>
              <a:round/>
            </a:ln>
            <a:effectLst/>
          </c:spPr>
          <c:marker>
            <c:symbol val="circle"/>
            <c:size val="5"/>
            <c:spPr>
              <a:solidFill>
                <a:schemeClr val="accent6">
                  <a:lumMod val="75000"/>
                </a:schemeClr>
              </a:solidFill>
              <a:ln w="9525">
                <a:solidFill>
                  <a:schemeClr val="accent6">
                    <a:lumMod val="75000"/>
                  </a:schemeClr>
                </a:solidFill>
              </a:ln>
              <a:effectLst/>
            </c:spPr>
          </c:marker>
          <c:trendline>
            <c:spPr>
              <a:ln w="19050" cap="rnd">
                <a:solidFill>
                  <a:schemeClr val="accent6">
                    <a:lumMod val="75000"/>
                  </a:schemeClr>
                </a:solidFill>
                <a:prstDash val="sysDot"/>
              </a:ln>
              <a:effectLst/>
            </c:spPr>
            <c:trendlineType val="linear"/>
            <c:dispRSqr val="0"/>
            <c:dispEq val="1"/>
            <c:trendlineLbl>
              <c:layout>
                <c:manualLayout>
                  <c:x val="0.18147580966473978"/>
                  <c:y val="0.1253723610131717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6">
                          <a:lumMod val="75000"/>
                        </a:schemeClr>
                      </a:solidFill>
                      <a:latin typeface="+mn-lt"/>
                      <a:ea typeface="+mn-ea"/>
                      <a:cs typeface="+mn-cs"/>
                    </a:defRPr>
                  </a:pPr>
                  <a:endParaRPr lang="en-US"/>
                </a:p>
              </c:txPr>
            </c:trendlineLbl>
          </c:trendline>
          <c:xVal>
            <c:numRef>
              <c:f>'Reference Curves'!$AD$236:$AF$236</c:f>
              <c:numCache>
                <c:formatCode>General</c:formatCode>
                <c:ptCount val="3"/>
                <c:pt idx="0">
                  <c:v>0.65</c:v>
                </c:pt>
                <c:pt idx="2">
                  <c:v>0.86</c:v>
                </c:pt>
              </c:numCache>
            </c:numRef>
          </c:xVal>
          <c:yVal>
            <c:numRef>
              <c:f>'Reference Curves'!$AD$237:$AF$237</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C-8377-411C-9039-E9DD59FCCA4A}"/>
            </c:ext>
          </c:extLst>
        </c:ser>
        <c:ser>
          <c:idx val="9"/>
          <c:order val="9"/>
          <c:tx>
            <c:v>Volcanic Mountains &amp; Valleys - F</c:v>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1"/>
            <c:trendlineLbl>
              <c:layout>
                <c:manualLayout>
                  <c:x val="7.8408538071244052E-2"/>
                  <c:y val="0.16759306376079838"/>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6"/>
                      </a:solidFill>
                      <a:latin typeface="+mn-lt"/>
                      <a:ea typeface="+mn-ea"/>
                      <a:cs typeface="+mn-cs"/>
                    </a:defRPr>
                  </a:pPr>
                  <a:endParaRPr lang="en-US"/>
                </a:p>
              </c:txPr>
            </c:trendlineLbl>
          </c:trendline>
          <c:xVal>
            <c:numRef>
              <c:f>'Reference Curves'!$AF$236:$AG$236</c:f>
              <c:numCache>
                <c:formatCode>General</c:formatCode>
                <c:ptCount val="2"/>
                <c:pt idx="0">
                  <c:v>0.86</c:v>
                </c:pt>
                <c:pt idx="1">
                  <c:v>1.21</c:v>
                </c:pt>
              </c:numCache>
            </c:numRef>
          </c:xVal>
          <c:yVal>
            <c:numRef>
              <c:f>'Reference Curves'!$AF$237:$AG$237</c:f>
              <c:numCache>
                <c:formatCode>General</c:formatCode>
                <c:ptCount val="2"/>
                <c:pt idx="0">
                  <c:v>0.7</c:v>
                </c:pt>
                <c:pt idx="1">
                  <c:v>1</c:v>
                </c:pt>
              </c:numCache>
            </c:numRef>
          </c:yVal>
          <c:smooth val="0"/>
          <c:extLst>
            <c:ext xmlns:c16="http://schemas.microsoft.com/office/drawing/2014/chart" uri="{C3380CC4-5D6E-409C-BE32-E72D297353CC}">
              <c16:uniqueId val="{0000000D-8377-411C-9039-E9DD59FCCA4A}"/>
            </c:ext>
          </c:extLst>
        </c:ser>
        <c:dLbls>
          <c:showLegendKey val="0"/>
          <c:showVal val="0"/>
          <c:showCatName val="0"/>
          <c:showSerName val="0"/>
          <c:showPercent val="0"/>
          <c:showBubbleSize val="0"/>
        </c:dLbls>
        <c:axId val="441866832"/>
        <c:axId val="441865656"/>
      </c:scatterChart>
      <c:valAx>
        <c:axId val="4418668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865656"/>
        <c:crosses val="autoZero"/>
        <c:crossBetween val="midCat"/>
      </c:valAx>
      <c:valAx>
        <c:axId val="44186565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866832"/>
        <c:crosses val="autoZero"/>
        <c:crossBetween val="midCat"/>
      </c:valAx>
      <c:spPr>
        <a:noFill/>
        <a:ln>
          <a:noFill/>
        </a:ln>
        <a:effectLst/>
      </c:spPr>
    </c:plotArea>
    <c:legend>
      <c:legendPos val="r"/>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ayout>
        <c:manualLayout>
          <c:xMode val="edge"/>
          <c:yMode val="edge"/>
          <c:x val="0.62375748555933186"/>
          <c:y val="0.17495223324052611"/>
          <c:w val="0.3762425144406682"/>
          <c:h val="0.6754956309794090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Riparian</a:t>
            </a:r>
            <a:r>
              <a:rPr lang="en-US" baseline="0"/>
              <a:t> Vegetation Density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62154362696391308"/>
                  <c:y val="8.69274072876253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0-7E87-4708-8D6A-0B0F5C65BEC1}"/>
            </c:ext>
          </c:extLst>
        </c:ser>
        <c:dLbls>
          <c:showLegendKey val="0"/>
          <c:showVal val="0"/>
          <c:showCatName val="0"/>
          <c:showSerName val="0"/>
          <c:showPercent val="0"/>
          <c:showBubbleSize val="0"/>
        </c:dLbls>
        <c:axId val="442562440"/>
        <c:axId val="442560480"/>
      </c:scatterChart>
      <c:valAx>
        <c:axId val="442562440"/>
        <c:scaling>
          <c:orientation val="minMax"/>
          <c:min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560480"/>
        <c:crosses val="autoZero"/>
        <c:crossBetween val="midCat"/>
      </c:valAx>
      <c:valAx>
        <c:axId val="4425604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5624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Percent Riffle for Streams ≥ 3% slope</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18"/>
            <c:dispRSqr val="0"/>
            <c:dispEq val="1"/>
            <c:trendlineLbl>
              <c:layout>
                <c:manualLayout>
                  <c:x val="-6.1245634493497424E-2"/>
                  <c:y val="0.1295004233266130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Curves'!$K$469:$P$469</c:f>
              <c:numCache>
                <c:formatCode>General</c:formatCode>
                <c:ptCount val="6"/>
                <c:pt idx="4">
                  <c:v>60</c:v>
                </c:pt>
                <c:pt idx="5">
                  <c:v>68</c:v>
                </c:pt>
              </c:numCache>
            </c:numRef>
          </c:xVal>
          <c:yVal>
            <c:numRef>
              <c:f>'Reference Curves'!$K$471:$P$471</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54C0-4B16-B14E-5188ECFE15D4}"/>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12"/>
            <c:dispRSqr val="0"/>
            <c:dispEq val="1"/>
            <c:trendlineLbl>
              <c:layout>
                <c:manualLayout>
                  <c:x val="-8.3479165489891344E-2"/>
                  <c:y val="-0.32586501136211893"/>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Curves'!$K$470:$P$470</c:f>
              <c:numCache>
                <c:formatCode>General</c:formatCode>
                <c:ptCount val="6"/>
                <c:pt idx="4">
                  <c:v>83</c:v>
                </c:pt>
                <c:pt idx="5">
                  <c:v>78</c:v>
                </c:pt>
              </c:numCache>
            </c:numRef>
          </c:xVal>
          <c:yVal>
            <c:numRef>
              <c:f>'Reference Curves'!$K$471:$P$471</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C99E-4AF7-9F51-2A00F4A664D9}"/>
            </c:ext>
          </c:extLst>
        </c:ser>
        <c:ser>
          <c:idx val="2"/>
          <c:order val="2"/>
          <c:tx>
            <c:v>Crest</c:v>
          </c:tx>
          <c:spPr>
            <a:ln w="25400" cap="rnd">
              <a:solidFill>
                <a:schemeClr val="tx1"/>
              </a:solidFill>
              <a:prstDash val="sysDash"/>
              <a:round/>
            </a:ln>
            <a:effectLst/>
          </c:spPr>
          <c:marker>
            <c:symbol val="none"/>
          </c:marker>
          <c:xVal>
            <c:numRef>
              <c:f>'Reference Curves'!$P$469:$P$470</c:f>
              <c:numCache>
                <c:formatCode>General</c:formatCode>
                <c:ptCount val="2"/>
                <c:pt idx="0">
                  <c:v>68</c:v>
                </c:pt>
                <c:pt idx="1">
                  <c:v>78</c:v>
                </c:pt>
              </c:numCache>
            </c:numRef>
          </c:xVal>
          <c:yVal>
            <c:numRef>
              <c:f>('Reference Curves'!$P$471,'Reference Curves'!$P$471)</c:f>
              <c:numCache>
                <c:formatCode>General</c:formatCode>
                <c:ptCount val="2"/>
                <c:pt idx="0">
                  <c:v>1</c:v>
                </c:pt>
                <c:pt idx="1">
                  <c:v>1</c:v>
                </c:pt>
              </c:numCache>
            </c:numRef>
          </c:yVal>
          <c:smooth val="0"/>
          <c:extLst>
            <c:ext xmlns:c16="http://schemas.microsoft.com/office/drawing/2014/chart" uri="{C3380CC4-5D6E-409C-BE32-E72D297353CC}">
              <c16:uniqueId val="{00000003-C99E-4AF7-9F51-2A00F4A664D9}"/>
            </c:ext>
          </c:extLst>
        </c:ser>
        <c:dLbls>
          <c:showLegendKey val="0"/>
          <c:showVal val="0"/>
          <c:showCatName val="0"/>
          <c:showSerName val="0"/>
          <c:showPercent val="0"/>
          <c:showBubbleSize val="0"/>
        </c:dLbls>
        <c:axId val="442566360"/>
        <c:axId val="442563224"/>
      </c:scatterChart>
      <c:valAx>
        <c:axId val="442566360"/>
        <c:scaling>
          <c:orientation val="minMax"/>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2563224"/>
        <c:crosses val="autoZero"/>
        <c:crossBetween val="midCat"/>
      </c:valAx>
      <c:valAx>
        <c:axId val="44256322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2566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u="none" strike="noStrike" baseline="0">
                <a:effectLst/>
              </a:rPr>
              <a:t>Chlorophyll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Curves'!$R$47</c:f>
              <c:strCache>
                <c:ptCount val="1"/>
                <c:pt idx="0">
                  <c:v>Basins and Plains</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og"/>
            <c:dispRSqr val="1"/>
            <c:dispEq val="1"/>
            <c:trendlineLbl>
              <c:layout>
                <c:manualLayout>
                  <c:x val="-0.19918123843509836"/>
                  <c:y val="-0.3540542575178965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Curves'!$S$47:$X$47</c:f>
              <c:numCache>
                <c:formatCode>General</c:formatCode>
                <c:ptCount val="6"/>
                <c:pt idx="0">
                  <c:v>150</c:v>
                </c:pt>
                <c:pt idx="2">
                  <c:v>117</c:v>
                </c:pt>
                <c:pt idx="4">
                  <c:v>29</c:v>
                </c:pt>
                <c:pt idx="5">
                  <c:v>16</c:v>
                </c:pt>
              </c:numCache>
            </c:numRef>
          </c:xVal>
          <c:yVal>
            <c:numRef>
              <c:f>'Reference Curves'!$S$49:$X$49</c:f>
              <c:numCache>
                <c:formatCode>General</c:formatCode>
                <c:ptCount val="6"/>
                <c:pt idx="0">
                  <c:v>0</c:v>
                </c:pt>
                <c:pt idx="1">
                  <c:v>0.2</c:v>
                </c:pt>
                <c:pt idx="2">
                  <c:v>0.3</c:v>
                </c:pt>
                <c:pt idx="3">
                  <c:v>0.6</c:v>
                </c:pt>
                <c:pt idx="4">
                  <c:v>0.7</c:v>
                </c:pt>
                <c:pt idx="5">
                  <c:v>1</c:v>
                </c:pt>
              </c:numCache>
            </c:numRef>
          </c:yVal>
          <c:smooth val="0"/>
          <c:extLst>
            <c:ext xmlns:c16="http://schemas.microsoft.com/office/drawing/2014/chart" uri="{C3380CC4-5D6E-409C-BE32-E72D297353CC}">
              <c16:uniqueId val="{00000000-306E-43E0-A7CF-22D8DE561819}"/>
            </c:ext>
          </c:extLst>
        </c:ser>
        <c:ser>
          <c:idx val="1"/>
          <c:order val="1"/>
          <c:tx>
            <c:strRef>
              <c:f>'Reference Curves'!$R$48</c:f>
              <c:strCache>
                <c:ptCount val="1"/>
                <c:pt idx="0">
                  <c:v>Mountains</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og"/>
            <c:dispRSqr val="1"/>
            <c:dispEq val="1"/>
            <c:trendlineLbl>
              <c:layout>
                <c:manualLayout>
                  <c:x val="-0.17791713381731761"/>
                  <c:y val="-9.9583669819369738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Curves'!$S$48:$X$48</c:f>
              <c:numCache>
                <c:formatCode>General</c:formatCode>
                <c:ptCount val="6"/>
                <c:pt idx="0" formatCode="0">
                  <c:v>100.65608065422083</c:v>
                </c:pt>
                <c:pt idx="2" formatCode="0">
                  <c:v>53</c:v>
                </c:pt>
                <c:pt idx="4" formatCode="0">
                  <c:v>26.75</c:v>
                </c:pt>
                <c:pt idx="5" formatCode="0">
                  <c:v>12</c:v>
                </c:pt>
              </c:numCache>
            </c:numRef>
          </c:xVal>
          <c:yVal>
            <c:numRef>
              <c:f>'Reference Curves'!$S$49:$X$49</c:f>
              <c:numCache>
                <c:formatCode>General</c:formatCode>
                <c:ptCount val="6"/>
                <c:pt idx="0">
                  <c:v>0</c:v>
                </c:pt>
                <c:pt idx="1">
                  <c:v>0.2</c:v>
                </c:pt>
                <c:pt idx="2">
                  <c:v>0.3</c:v>
                </c:pt>
                <c:pt idx="3">
                  <c:v>0.6</c:v>
                </c:pt>
                <c:pt idx="4">
                  <c:v>0.7</c:v>
                </c:pt>
                <c:pt idx="5">
                  <c:v>1</c:v>
                </c:pt>
              </c:numCache>
            </c:numRef>
          </c:yVal>
          <c:smooth val="0"/>
          <c:extLst>
            <c:ext xmlns:c16="http://schemas.microsoft.com/office/drawing/2014/chart" uri="{C3380CC4-5D6E-409C-BE32-E72D297353CC}">
              <c16:uniqueId val="{00000001-73EA-45A2-A077-4115DF5E6AA1}"/>
            </c:ext>
          </c:extLst>
        </c:ser>
        <c:dLbls>
          <c:showLegendKey val="0"/>
          <c:showVal val="0"/>
          <c:showCatName val="0"/>
          <c:showSerName val="0"/>
          <c:showPercent val="0"/>
          <c:showBubbleSize val="0"/>
        </c:dLbls>
        <c:axId val="442560872"/>
        <c:axId val="442559696"/>
      </c:scatterChart>
      <c:valAx>
        <c:axId val="442560872"/>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(mg/m2)</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2559696"/>
        <c:crosses val="autoZero"/>
        <c:crossBetween val="midCat"/>
      </c:valAx>
      <c:valAx>
        <c:axId val="44255969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2560872"/>
        <c:crosses val="autoZero"/>
        <c:crossBetween val="midCat"/>
      </c:valAx>
      <c:spPr>
        <a:noFill/>
        <a:ln>
          <a:noFill/>
        </a:ln>
        <a:effectLst/>
      </c:spPr>
    </c:plotArea>
    <c:legend>
      <c:legendPos val="r"/>
      <c:layout>
        <c:manualLayout>
          <c:xMode val="edge"/>
          <c:yMode val="edge"/>
          <c:x val="0.63838183721937269"/>
          <c:y val="0.12485502584669012"/>
          <c:w val="0.32861276568897141"/>
          <c:h val="8.9915329624470158E-2"/>
        </c:manualLayout>
      </c:layout>
      <c:overlay val="1"/>
      <c:spPr>
        <a:solidFill>
          <a:schemeClr val="bg1"/>
        </a:solidFill>
        <a:ln>
          <a:solidFill>
            <a:schemeClr val="tx1"/>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Streambank Erosion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Curves'!$K$113</c:f>
              <c:strCache>
                <c:ptCount val="1"/>
                <c:pt idx="0">
                  <c:v>NF/FAR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5.2696415188874532E-3"/>
                  <c:y val="-0.32533589386754874"/>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Curves'!$K$110:$O$110</c:f>
              <c:numCache>
                <c:formatCode>General</c:formatCode>
                <c:ptCount val="5"/>
                <c:pt idx="0">
                  <c:v>75</c:v>
                </c:pt>
                <c:pt idx="4">
                  <c:v>10</c:v>
                </c:pt>
              </c:numCache>
            </c:numRef>
          </c:xVal>
          <c:yVal>
            <c:numRef>
              <c:f>'Reference Curves'!$K$111:$O$111</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5148-4788-A083-43E68337C776}"/>
            </c:ext>
          </c:extLst>
        </c:ser>
        <c:ser>
          <c:idx val="1"/>
          <c:order val="1"/>
          <c:tx>
            <c:strRef>
              <c:f>'Reference Curves'!$L$113</c:f>
              <c:strCache>
                <c:ptCount val="1"/>
                <c:pt idx="0">
                  <c:v>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7361526365310589"/>
                  <c:y val="-0.1844193577212185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Curves'!$O$110:$P$110</c:f>
              <c:numCache>
                <c:formatCode>General</c:formatCode>
                <c:ptCount val="2"/>
                <c:pt idx="0">
                  <c:v>10</c:v>
                </c:pt>
                <c:pt idx="1">
                  <c:v>5</c:v>
                </c:pt>
              </c:numCache>
            </c:numRef>
          </c:xVal>
          <c:yVal>
            <c:numRef>
              <c:f>'Reference Curves'!$O$111:$P$111</c:f>
              <c:numCache>
                <c:formatCode>General</c:formatCode>
                <c:ptCount val="2"/>
                <c:pt idx="0">
                  <c:v>0.7</c:v>
                </c:pt>
                <c:pt idx="1">
                  <c:v>1</c:v>
                </c:pt>
              </c:numCache>
            </c:numRef>
          </c:yVal>
          <c:smooth val="0"/>
          <c:extLst>
            <c:ext xmlns:c16="http://schemas.microsoft.com/office/drawing/2014/chart" uri="{C3380CC4-5D6E-409C-BE32-E72D297353CC}">
              <c16:uniqueId val="{00000001-FA3B-4C74-84DA-06940A6493E0}"/>
            </c:ext>
          </c:extLst>
        </c:ser>
        <c:dLbls>
          <c:showLegendKey val="0"/>
          <c:showVal val="0"/>
          <c:showCatName val="0"/>
          <c:showSerName val="0"/>
          <c:showPercent val="0"/>
          <c:showBubbleSize val="0"/>
        </c:dLbls>
        <c:axId val="442564400"/>
        <c:axId val="442558912"/>
      </c:scatterChart>
      <c:valAx>
        <c:axId val="442564400"/>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558912"/>
        <c:crosses val="autoZero"/>
        <c:crossBetween val="midCat"/>
      </c:valAx>
      <c:valAx>
        <c:axId val="44255891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5644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Sinuosity</a:t>
            </a:r>
            <a:r>
              <a:rPr lang="en-US" sz="1600" baseline="0"/>
              <a:t> for </a:t>
            </a:r>
            <a:r>
              <a:rPr lang="en-US" sz="1600" b="0" i="0" u="none" strike="noStrike" baseline="0">
                <a:effectLst/>
              </a:rPr>
              <a:t>Confined Alluvial Valleys</a:t>
            </a:r>
            <a:endParaRPr lang="en-US" sz="1600" baseline="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1745259432286875"/>
                  <c:y val="0.2681397912785393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Curves'!$K$599:$O$599</c:f>
              <c:numCache>
                <c:formatCode>General</c:formatCode>
                <c:ptCount val="5"/>
                <c:pt idx="0">
                  <c:v>1</c:v>
                </c:pt>
                <c:pt idx="3">
                  <c:v>1.19</c:v>
                </c:pt>
              </c:numCache>
            </c:numRef>
          </c:xVal>
          <c:yVal>
            <c:numRef>
              <c:f>'Reference Curves'!$K$600:$O$600</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11FE-4D9B-BDFA-8076D116E387}"/>
            </c:ext>
          </c:extLst>
        </c:ser>
        <c:ser>
          <c:idx val="2"/>
          <c:order val="1"/>
          <c:tx>
            <c:v>Crest</c:v>
          </c:tx>
          <c:spPr>
            <a:ln w="31750" cap="rnd">
              <a:solidFill>
                <a:schemeClr val="tx1"/>
              </a:solidFill>
              <a:prstDash val="sysDash"/>
              <a:round/>
            </a:ln>
            <a:effectLst/>
          </c:spPr>
          <c:marker>
            <c:symbol val="none"/>
          </c:marker>
          <c:dPt>
            <c:idx val="0"/>
            <c:marker>
              <c:symbol val="none"/>
            </c:marker>
            <c:bubble3D val="0"/>
            <c:spPr>
              <a:ln w="31750" cap="rnd">
                <a:solidFill>
                  <a:schemeClr val="tx1"/>
                </a:solidFill>
                <a:prstDash val="sysDash"/>
                <a:round/>
              </a:ln>
              <a:effectLst/>
            </c:spPr>
            <c:extLst>
              <c:ext xmlns:c16="http://schemas.microsoft.com/office/drawing/2014/chart" uri="{C3380CC4-5D6E-409C-BE32-E72D297353CC}">
                <c16:uniqueId val="{00000002-E6ED-4A5F-B665-F063A988262B}"/>
              </c:ext>
            </c:extLst>
          </c:dPt>
          <c:xVal>
            <c:numLit>
              <c:formatCode>General</c:formatCode>
              <c:ptCount val="2"/>
              <c:pt idx="0">
                <c:v>1.2</c:v>
              </c:pt>
              <c:pt idx="1">
                <c:v>1.5</c:v>
              </c:pt>
            </c:numLit>
          </c:xVal>
          <c:yVal>
            <c:numLit>
              <c:formatCode>General</c:formatCode>
              <c:ptCount val="2"/>
              <c:pt idx="0">
                <c:v>1</c:v>
              </c:pt>
              <c:pt idx="1">
                <c:v>1</c:v>
              </c:pt>
            </c:numLit>
          </c:yVal>
          <c:smooth val="0"/>
          <c:extLst>
            <c:ext xmlns:c16="http://schemas.microsoft.com/office/drawing/2014/chart" uri="{C3380CC4-5D6E-409C-BE32-E72D297353CC}">
              <c16:uniqueId val="{00000002-0AB0-488A-B4B8-48F9BCE38FF4}"/>
            </c:ext>
          </c:extLst>
        </c:ser>
        <c:dLbls>
          <c:showLegendKey val="0"/>
          <c:showVal val="0"/>
          <c:showCatName val="0"/>
          <c:showSerName val="0"/>
          <c:showPercent val="0"/>
          <c:showBubbleSize val="0"/>
        </c:dLbls>
        <c:axId val="442565184"/>
        <c:axId val="442565968"/>
      </c:scatterChart>
      <c:valAx>
        <c:axId val="442565184"/>
        <c:scaling>
          <c:orientation val="minMax"/>
          <c:max val="1.5"/>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Field Value </a:t>
                </a:r>
                <a:r>
                  <a:rPr lang="en-US" sz="1200" b="0" i="0" u="none" strike="noStrike" baseline="0">
                    <a:effectLst/>
                  </a:rPr>
                  <a:t>(K)</a:t>
                </a:r>
                <a:endParaRPr lang="en-US"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2565968"/>
        <c:crosses val="autoZero"/>
        <c:crossBetween val="midCat"/>
      </c:valAx>
      <c:valAx>
        <c:axId val="44256596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25651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Riparian</a:t>
            </a:r>
            <a:r>
              <a:rPr lang="en-US" sz="1600" baseline="0"/>
              <a:t> </a:t>
            </a:r>
            <a:r>
              <a:rPr lang="en-US" sz="1600"/>
              <a:t>Width</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42834733565546"/>
          <c:y val="0.11560316588269008"/>
          <c:w val="0.81793949177608627"/>
          <c:h val="0.74265882848407794"/>
        </c:manualLayout>
      </c:layout>
      <c:scatterChart>
        <c:scatterStyle val="lineMarker"/>
        <c:varyColors val="0"/>
        <c:ser>
          <c:idx val="0"/>
          <c:order val="0"/>
          <c:tx>
            <c:strRef>
              <c:f>'Reference Curves'!$J$662</c:f>
              <c:strCache>
                <c:ptCount val="1"/>
                <c:pt idx="0">
                  <c:v>Unconfined Alluvial Valleys</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20"/>
            <c:dispRSqr val="0"/>
            <c:dispEq val="1"/>
            <c:trendlineLbl>
              <c:layout>
                <c:manualLayout>
                  <c:x val="-0.16496183537325845"/>
                  <c:y val="0.21473230613062377"/>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Curves'!$K$662:$P$662</c:f>
              <c:numCache>
                <c:formatCode>General</c:formatCode>
                <c:ptCount val="6"/>
                <c:pt idx="0">
                  <c:v>30</c:v>
                </c:pt>
                <c:pt idx="5">
                  <c:v>100</c:v>
                </c:pt>
              </c:numCache>
            </c:numRef>
          </c:xVal>
          <c:yVal>
            <c:numRef>
              <c:f>'Reference Curves'!$K$664:$P$664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5-7F5E-43A3-B121-15C2F36C966D}"/>
            </c:ext>
          </c:extLst>
        </c:ser>
        <c:ser>
          <c:idx val="2"/>
          <c:order val="1"/>
          <c:tx>
            <c:strRef>
              <c:f>'Reference Curves'!$J$663</c:f>
              <c:strCache>
                <c:ptCount val="1"/>
                <c:pt idx="0">
                  <c:v>Confined Alluvial or Colluvial/V-Shaped Valleys</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backward val="17"/>
            <c:dispRSqr val="0"/>
            <c:dispEq val="1"/>
            <c:trendlineLbl>
              <c:layout>
                <c:manualLayout>
                  <c:x val="0.11526418964374473"/>
                  <c:y val="0.50560210129536809"/>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50000"/>
                        </a:schemeClr>
                      </a:solidFill>
                      <a:latin typeface="+mn-lt"/>
                      <a:ea typeface="+mn-ea"/>
                      <a:cs typeface="+mn-cs"/>
                    </a:defRPr>
                  </a:pPr>
                  <a:endParaRPr lang="en-US"/>
                </a:p>
              </c:txPr>
            </c:trendlineLbl>
          </c:trendline>
          <c:xVal>
            <c:numRef>
              <c:f>'Reference Curves'!$K$663:$P$663</c:f>
              <c:numCache>
                <c:formatCode>General</c:formatCode>
                <c:ptCount val="6"/>
                <c:pt idx="0">
                  <c:v>60</c:v>
                </c:pt>
                <c:pt idx="5">
                  <c:v>100</c:v>
                </c:pt>
              </c:numCache>
            </c:numRef>
          </c:xVal>
          <c:yVal>
            <c:numRef>
              <c:f>'Reference Curves'!$K$664:$P$664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7-7F5E-43A3-B121-15C2F36C966D}"/>
            </c:ext>
          </c:extLst>
        </c:ser>
        <c:dLbls>
          <c:showLegendKey val="0"/>
          <c:showVal val="0"/>
          <c:showCatName val="0"/>
          <c:showSerName val="0"/>
          <c:showPercent val="0"/>
          <c:showBubbleSize val="0"/>
        </c:dLbls>
        <c:axId val="443218312"/>
        <c:axId val="443214392"/>
      </c:scatterChart>
      <c:valAx>
        <c:axId val="443218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layout>
            <c:manualLayout>
              <c:xMode val="edge"/>
              <c:yMode val="edge"/>
              <c:x val="0.31084857432243473"/>
              <c:y val="0.920981320427104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214392"/>
        <c:crosses val="autoZero"/>
        <c:crossBetween val="midCat"/>
      </c:valAx>
      <c:valAx>
        <c:axId val="44321439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218312"/>
        <c:crosses val="autoZero"/>
        <c:crossBetween val="midCat"/>
      </c:valAx>
      <c:spPr>
        <a:noFill/>
        <a:ln>
          <a:noFill/>
        </a:ln>
        <a:effectLst/>
      </c:spPr>
    </c:plotArea>
    <c:legend>
      <c:legendPos val="r"/>
      <c:legendEntry>
        <c:idx val="2"/>
        <c:delete val="1"/>
      </c:legendEntry>
      <c:legendEntry>
        <c:idx val="3"/>
        <c:delete val="1"/>
      </c:legendEntry>
      <c:layout>
        <c:manualLayout>
          <c:xMode val="edge"/>
          <c:yMode val="edge"/>
          <c:x val="0.1377434331278683"/>
          <c:y val="0.136133498504839"/>
          <c:w val="0.30073443163735031"/>
          <c:h val="0.17388357127816192"/>
        </c:manualLayout>
      </c:layout>
      <c:overlay val="0"/>
      <c:spPr>
        <a:solidFill>
          <a:schemeClr val="bg1"/>
        </a:solid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Big Four Parameters -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4"/>
          <c:order val="0"/>
          <c:tx>
            <c:strRef>
              <c:f>'Data Summary'!$B$7</c:f>
              <c:strCache>
                <c:ptCount val="1"/>
                <c:pt idx="0">
                  <c:v>Floodplain Connectivity</c:v>
                </c:pt>
              </c:strCache>
            </c:strRef>
          </c:tx>
          <c:spPr>
            <a:ln w="19050" cap="rnd">
              <a:solidFill>
                <a:schemeClr val="accent5"/>
              </a:solidFill>
              <a:prstDash val="dash"/>
              <a:round/>
            </a:ln>
            <a:effectLst/>
          </c:spPr>
          <c:marker>
            <c:symbol val="none"/>
          </c:marker>
          <c:xVal>
            <c:strRef>
              <c:f>'Data Summary'!$F$4:$O$4</c:f>
              <c:strCache>
                <c:ptCount val="10"/>
                <c:pt idx="0">
                  <c:v>#N/A</c:v>
                </c:pt>
                <c:pt idx="1">
                  <c:v>#N/A</c:v>
                </c:pt>
                <c:pt idx="2">
                  <c:v>#N/A</c:v>
                </c:pt>
                <c:pt idx="3">
                  <c:v>#N/A</c:v>
                </c:pt>
                <c:pt idx="4">
                  <c:v>#N/A</c:v>
                </c:pt>
                <c:pt idx="5">
                  <c:v>#N/A</c:v>
                </c:pt>
                <c:pt idx="6">
                  <c:v>#N/A</c:v>
                </c:pt>
                <c:pt idx="7">
                  <c:v>#N/A</c:v>
                </c:pt>
                <c:pt idx="8">
                  <c:v>#N/A</c:v>
                </c:pt>
                <c:pt idx="9">
                  <c:v>#N/A</c:v>
                </c:pt>
              </c:strCache>
            </c:strRef>
          </c:xVal>
          <c:yVal>
            <c:numRef>
              <c:f>'Data Summary'!$F$7:$O$7</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4-92C8-4EBD-977B-3E233368AC59}"/>
            </c:ext>
          </c:extLst>
        </c:ser>
        <c:ser>
          <c:idx val="5"/>
          <c:order val="1"/>
          <c:tx>
            <c:strRef>
              <c:f>'Data Summary'!$B$9</c:f>
              <c:strCache>
                <c:ptCount val="1"/>
                <c:pt idx="0">
                  <c:v>Lateral Migration</c:v>
                </c:pt>
              </c:strCache>
            </c:strRef>
          </c:tx>
          <c:spPr>
            <a:ln w="19050" cap="rnd">
              <a:solidFill>
                <a:srgbClr val="FF0000"/>
              </a:solidFill>
              <a:prstDash val="dash"/>
              <a:round/>
            </a:ln>
            <a:effectLst/>
          </c:spPr>
          <c:marker>
            <c:symbol val="none"/>
          </c:marker>
          <c:xVal>
            <c:strRef>
              <c:f>'Data Summary'!$F$4:$O$4</c:f>
              <c:strCache>
                <c:ptCount val="10"/>
                <c:pt idx="0">
                  <c:v>#N/A</c:v>
                </c:pt>
                <c:pt idx="1">
                  <c:v>#N/A</c:v>
                </c:pt>
                <c:pt idx="2">
                  <c:v>#N/A</c:v>
                </c:pt>
                <c:pt idx="3">
                  <c:v>#N/A</c:v>
                </c:pt>
                <c:pt idx="4">
                  <c:v>#N/A</c:v>
                </c:pt>
                <c:pt idx="5">
                  <c:v>#N/A</c:v>
                </c:pt>
                <c:pt idx="6">
                  <c:v>#N/A</c:v>
                </c:pt>
                <c:pt idx="7">
                  <c:v>#N/A</c:v>
                </c:pt>
                <c:pt idx="8">
                  <c:v>#N/A</c:v>
                </c:pt>
                <c:pt idx="9">
                  <c:v>#N/A</c:v>
                </c:pt>
              </c:strCache>
            </c:strRef>
          </c:xVal>
          <c:yVal>
            <c:numRef>
              <c:f>'Data Summary'!$F$9:$O$9</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5-92C8-4EBD-977B-3E233368AC59}"/>
            </c:ext>
          </c:extLst>
        </c:ser>
        <c:ser>
          <c:idx val="6"/>
          <c:order val="2"/>
          <c:tx>
            <c:strRef>
              <c:f>'Data Summary'!$B$13</c:f>
              <c:strCache>
                <c:ptCount val="1"/>
                <c:pt idx="0">
                  <c:v>Riparian Vegetation</c:v>
                </c:pt>
              </c:strCache>
            </c:strRef>
          </c:tx>
          <c:spPr>
            <a:ln w="19050" cap="rnd">
              <a:solidFill>
                <a:srgbClr val="92D050"/>
              </a:solidFill>
              <a:prstDash val="dash"/>
              <a:round/>
            </a:ln>
            <a:effectLst/>
          </c:spPr>
          <c:marker>
            <c:symbol val="none"/>
          </c:marker>
          <c:xVal>
            <c:strRef>
              <c:f>'Data Summary'!$F$4:$O$4</c:f>
              <c:strCache>
                <c:ptCount val="10"/>
                <c:pt idx="0">
                  <c:v>#N/A</c:v>
                </c:pt>
                <c:pt idx="1">
                  <c:v>#N/A</c:v>
                </c:pt>
                <c:pt idx="2">
                  <c:v>#N/A</c:v>
                </c:pt>
                <c:pt idx="3">
                  <c:v>#N/A</c:v>
                </c:pt>
                <c:pt idx="4">
                  <c:v>#N/A</c:v>
                </c:pt>
                <c:pt idx="5">
                  <c:v>#N/A</c:v>
                </c:pt>
                <c:pt idx="6">
                  <c:v>#N/A</c:v>
                </c:pt>
                <c:pt idx="7">
                  <c:v>#N/A</c:v>
                </c:pt>
                <c:pt idx="8">
                  <c:v>#N/A</c:v>
                </c:pt>
                <c:pt idx="9">
                  <c:v>#N/A</c:v>
                </c:pt>
              </c:strCache>
            </c:strRef>
          </c:xVal>
          <c:yVal>
            <c:numRef>
              <c:f>'Data Summary'!$F$13:$O$13</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6-92C8-4EBD-977B-3E233368AC59}"/>
            </c:ext>
          </c:extLst>
        </c:ser>
        <c:ser>
          <c:idx val="7"/>
          <c:order val="3"/>
          <c:tx>
            <c:strRef>
              <c:f>'Data Summary'!$B$11</c:f>
              <c:strCache>
                <c:ptCount val="1"/>
                <c:pt idx="0">
                  <c:v>Bed Form Diversity</c:v>
                </c:pt>
              </c:strCache>
            </c:strRef>
          </c:tx>
          <c:spPr>
            <a:ln w="19050" cap="rnd">
              <a:solidFill>
                <a:srgbClr val="FFC000"/>
              </a:solidFill>
              <a:prstDash val="dash"/>
              <a:round/>
            </a:ln>
            <a:effectLst/>
          </c:spPr>
          <c:marker>
            <c:symbol val="none"/>
          </c:marker>
          <c:xVal>
            <c:strRef>
              <c:f>'Data Summary'!$F$4:$O$4</c:f>
              <c:strCache>
                <c:ptCount val="10"/>
                <c:pt idx="0">
                  <c:v>#N/A</c:v>
                </c:pt>
                <c:pt idx="1">
                  <c:v>#N/A</c:v>
                </c:pt>
                <c:pt idx="2">
                  <c:v>#N/A</c:v>
                </c:pt>
                <c:pt idx="3">
                  <c:v>#N/A</c:v>
                </c:pt>
                <c:pt idx="4">
                  <c:v>#N/A</c:v>
                </c:pt>
                <c:pt idx="5">
                  <c:v>#N/A</c:v>
                </c:pt>
                <c:pt idx="6">
                  <c:v>#N/A</c:v>
                </c:pt>
                <c:pt idx="7">
                  <c:v>#N/A</c:v>
                </c:pt>
                <c:pt idx="8">
                  <c:v>#N/A</c:v>
                </c:pt>
                <c:pt idx="9">
                  <c:v>#N/A</c:v>
                </c:pt>
              </c:strCache>
            </c:strRef>
          </c:xVal>
          <c:yVal>
            <c:numRef>
              <c:f>'Data Summary'!$F$11:$O$11</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7-92C8-4EBD-977B-3E233368AC59}"/>
            </c:ext>
          </c:extLst>
        </c:ser>
        <c:ser>
          <c:idx val="0"/>
          <c:order val="4"/>
          <c:tx>
            <c:v>Monitoring Data</c:v>
          </c:tx>
          <c:spPr>
            <a:ln w="28575" cap="rnd">
              <a:solidFill>
                <a:schemeClr val="tx1"/>
              </a:solidFill>
              <a:round/>
            </a:ln>
            <a:effectLst/>
          </c:spPr>
          <c:marker>
            <c:symbol val="none"/>
          </c:marker>
          <c:xVal>
            <c:strRef>
              <c:f>'Data Summary'!$F$22:$O$22</c:f>
              <c:strCache>
                <c:ptCount val="10"/>
                <c:pt idx="0">
                  <c:v>#N/A</c:v>
                </c:pt>
                <c:pt idx="1">
                  <c:v>#N/A</c:v>
                </c:pt>
                <c:pt idx="2">
                  <c:v>#N/A</c:v>
                </c:pt>
                <c:pt idx="3">
                  <c:v>#N/A</c:v>
                </c:pt>
                <c:pt idx="4">
                  <c:v>#N/A</c:v>
                </c:pt>
                <c:pt idx="5">
                  <c:v>#N/A</c:v>
                </c:pt>
                <c:pt idx="6">
                  <c:v>#N/A</c:v>
                </c:pt>
                <c:pt idx="7">
                  <c:v>#N/A</c:v>
                </c:pt>
                <c:pt idx="8">
                  <c:v>#N/A</c:v>
                </c:pt>
                <c:pt idx="9">
                  <c:v>#N/A</c:v>
                </c:pt>
              </c:strCache>
            </c:strRef>
          </c:xVal>
          <c:yVal>
            <c:numRef>
              <c:f>'Data Summary'!$F$27:$O$27</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3-92C8-4EBD-977B-3E233368AC59}"/>
            </c:ext>
          </c:extLst>
        </c:ser>
        <c:dLbls>
          <c:showLegendKey val="0"/>
          <c:showVal val="0"/>
          <c:showCatName val="0"/>
          <c:showSerName val="0"/>
          <c:showPercent val="0"/>
          <c:showBubbleSize val="0"/>
        </c:dLbls>
        <c:axId val="419250024"/>
        <c:axId val="419254336"/>
      </c:scatterChart>
      <c:valAx>
        <c:axId val="419250024"/>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54336"/>
        <c:crosses val="autoZero"/>
        <c:crossBetween val="midCat"/>
      </c:valAx>
      <c:valAx>
        <c:axId val="41925433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5002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WSII Plot 3: Granitic Mountains, Southern Foothills &amp; Laramie Range, Volcanic</a:t>
            </a:r>
            <a:r>
              <a:rPr lang="en-US" baseline="0"/>
              <a:t> </a:t>
            </a:r>
            <a:r>
              <a:rPr lang="en-US"/>
              <a:t>Mountains&amp; Valleys</a:t>
            </a:r>
          </a:p>
        </c:rich>
      </c:tx>
      <c:layout>
        <c:manualLayout>
          <c:xMode val="edge"/>
          <c:yMode val="edge"/>
          <c:x val="4.7380201545914866E-2"/>
          <c:y val="7.0537518385188338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492674965009187E-2"/>
          <c:y val="0.11567234367118853"/>
          <c:w val="0.52200293465227632"/>
          <c:h val="0.78133228891565898"/>
        </c:manualLayout>
      </c:layout>
      <c:scatterChart>
        <c:scatterStyle val="lineMarker"/>
        <c:varyColors val="0"/>
        <c:ser>
          <c:idx val="0"/>
          <c:order val="0"/>
          <c:tx>
            <c:v>Granitic Mountains - NF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4700802735833032"/>
                  <c:y val="0.1992398048618511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Curves'!$AB$84:$AD$84</c:f>
              <c:numCache>
                <c:formatCode>General</c:formatCode>
                <c:ptCount val="3"/>
                <c:pt idx="0">
                  <c:v>32.6</c:v>
                </c:pt>
                <c:pt idx="2">
                  <c:v>40.200000000000003</c:v>
                </c:pt>
              </c:numCache>
            </c:numRef>
          </c:xVal>
          <c:yVal>
            <c:numRef>
              <c:f>'Reference Curves'!$AB$87:$AD$87</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0-3220-4B15-9F7A-7763D44DA4C2}"/>
            </c:ext>
          </c:extLst>
        </c:ser>
        <c:ser>
          <c:idx val="1"/>
          <c:order val="1"/>
          <c:tx>
            <c:v>Granitic Mountains - FAR &amp; F</c:v>
          </c:tx>
          <c:spPr>
            <a:ln w="25400" cap="rnd">
              <a:noFill/>
              <a:round/>
            </a:ln>
            <a:effectLst/>
          </c:spPr>
          <c:marker>
            <c:symbol val="circle"/>
            <c:size val="5"/>
            <c:spPr>
              <a:solidFill>
                <a:schemeClr val="accent1">
                  <a:lumMod val="75000"/>
                </a:schemeClr>
              </a:solidFill>
              <a:ln w="9525">
                <a:solidFill>
                  <a:schemeClr val="accent1">
                    <a:lumMod val="75000"/>
                  </a:schemeClr>
                </a:solidFill>
              </a:ln>
              <a:effectLst/>
            </c:spPr>
          </c:marker>
          <c:trendline>
            <c:spPr>
              <a:ln w="19050" cap="rnd">
                <a:solidFill>
                  <a:schemeClr val="accent5">
                    <a:lumMod val="75000"/>
                  </a:schemeClr>
                </a:solidFill>
                <a:prstDash val="sysDot"/>
              </a:ln>
              <a:effectLst/>
            </c:spPr>
            <c:trendlineType val="linear"/>
            <c:dispRSqr val="0"/>
            <c:dispEq val="1"/>
            <c:trendlineLbl>
              <c:layout>
                <c:manualLayout>
                  <c:x val="-3.6919455014638787E-2"/>
                  <c:y val="3.8516521490679391E-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lumMod val="75000"/>
                        </a:schemeClr>
                      </a:solidFill>
                      <a:latin typeface="+mn-lt"/>
                      <a:ea typeface="+mn-ea"/>
                      <a:cs typeface="+mn-cs"/>
                    </a:defRPr>
                  </a:pPr>
                  <a:endParaRPr lang="en-US"/>
                </a:p>
              </c:txPr>
            </c:trendlineLbl>
          </c:trendline>
          <c:xVal>
            <c:numRef>
              <c:f>'Reference Curves'!$AD$84:$AG$84</c:f>
              <c:numCache>
                <c:formatCode>General</c:formatCode>
                <c:ptCount val="4"/>
                <c:pt idx="0">
                  <c:v>40.200000000000003</c:v>
                </c:pt>
                <c:pt idx="2">
                  <c:v>60.3</c:v>
                </c:pt>
                <c:pt idx="3">
                  <c:v>74.900000000000006</c:v>
                </c:pt>
              </c:numCache>
            </c:numRef>
          </c:xVal>
          <c:yVal>
            <c:numRef>
              <c:f>'Reference Curves'!$AD$87:$AG$87</c:f>
              <c:numCache>
                <c:formatCode>General</c:formatCode>
                <c:ptCount val="4"/>
                <c:pt idx="0">
                  <c:v>0.3</c:v>
                </c:pt>
                <c:pt idx="1">
                  <c:v>0.69</c:v>
                </c:pt>
                <c:pt idx="2">
                  <c:v>0.7</c:v>
                </c:pt>
                <c:pt idx="3">
                  <c:v>1</c:v>
                </c:pt>
              </c:numCache>
            </c:numRef>
          </c:yVal>
          <c:smooth val="0"/>
          <c:extLst>
            <c:ext xmlns:c16="http://schemas.microsoft.com/office/drawing/2014/chart" uri="{C3380CC4-5D6E-409C-BE32-E72D297353CC}">
              <c16:uniqueId val="{00000004-6269-4493-AD99-2184E0F10235}"/>
            </c:ext>
          </c:extLst>
        </c:ser>
        <c:ser>
          <c:idx val="4"/>
          <c:order val="2"/>
          <c:tx>
            <c:v>Southern Foothills and Laramie Range - NF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5042643970016653"/>
                  <c:y val="0.1164923879133268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Curves'!$AB$85:$AD$85</c:f>
              <c:numCache>
                <c:formatCode>General</c:formatCode>
                <c:ptCount val="3"/>
                <c:pt idx="0">
                  <c:v>30.7</c:v>
                </c:pt>
                <c:pt idx="2">
                  <c:v>44.5</c:v>
                </c:pt>
              </c:numCache>
            </c:numRef>
          </c:xVal>
          <c:yVal>
            <c:numRef>
              <c:f>'Reference Curves'!$AB$87:$AD$87</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4-C5C5-4AF3-901E-08457B6CB38C}"/>
            </c:ext>
          </c:extLst>
        </c:ser>
        <c:ser>
          <c:idx val="5"/>
          <c:order val="3"/>
          <c:tx>
            <c:v>Southern Foothills and Laramie Range - FAR &amp; 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4533774513152972"/>
                  <c:y val="0.154022890314908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Curves'!$AD$85:$AG$85</c:f>
              <c:numCache>
                <c:formatCode>General</c:formatCode>
                <c:ptCount val="4"/>
                <c:pt idx="0">
                  <c:v>44.5</c:v>
                </c:pt>
                <c:pt idx="2">
                  <c:v>66.7</c:v>
                </c:pt>
                <c:pt idx="3">
                  <c:v>85.3</c:v>
                </c:pt>
              </c:numCache>
            </c:numRef>
          </c:xVal>
          <c:yVal>
            <c:numRef>
              <c:f>'Reference Curves'!$AD$87:$AG$87</c:f>
              <c:numCache>
                <c:formatCode>General</c:formatCode>
                <c:ptCount val="4"/>
                <c:pt idx="0">
                  <c:v>0.3</c:v>
                </c:pt>
                <c:pt idx="1">
                  <c:v>0.69</c:v>
                </c:pt>
                <c:pt idx="2">
                  <c:v>0.7</c:v>
                </c:pt>
                <c:pt idx="3">
                  <c:v>1</c:v>
                </c:pt>
              </c:numCache>
            </c:numRef>
          </c:yVal>
          <c:smooth val="0"/>
          <c:extLst>
            <c:ext xmlns:c16="http://schemas.microsoft.com/office/drawing/2014/chart" uri="{C3380CC4-5D6E-409C-BE32-E72D297353CC}">
              <c16:uniqueId val="{00000008-6269-4493-AD99-2184E0F10235}"/>
            </c:ext>
          </c:extLst>
        </c:ser>
        <c:ser>
          <c:idx val="6"/>
          <c:order val="4"/>
          <c:tx>
            <c:strRef>
              <c:f>'Reference Curves'!$AF$89</c:f>
              <c:strCache>
                <c:ptCount val="1"/>
                <c:pt idx="0">
                  <c:v>Volcanic Mountains &amp; Valleys </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26821380464943689"/>
                  <c:y val="0.53711278359511339"/>
                </c:manualLayout>
              </c:layout>
              <c:numFmt formatCode="#,##0.0000;[Red]#,##0.0000"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Curves'!$AB$86:$AG$86</c:f>
              <c:numCache>
                <c:formatCode>General</c:formatCode>
                <c:ptCount val="6"/>
                <c:pt idx="0">
                  <c:v>24.9</c:v>
                </c:pt>
                <c:pt idx="2">
                  <c:v>46.2</c:v>
                </c:pt>
                <c:pt idx="4">
                  <c:v>69.3</c:v>
                </c:pt>
                <c:pt idx="5">
                  <c:v>88.1</c:v>
                </c:pt>
              </c:numCache>
            </c:numRef>
          </c:xVal>
          <c:yVal>
            <c:numRef>
              <c:f>'Reference Curves'!$AB$87:$AG$87</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6-C5C5-4AF3-901E-08457B6CB38C}"/>
            </c:ext>
          </c:extLst>
        </c:ser>
        <c:dLbls>
          <c:showLegendKey val="0"/>
          <c:showVal val="0"/>
          <c:showCatName val="0"/>
          <c:showSerName val="0"/>
          <c:showPercent val="0"/>
          <c:showBubbleSize val="0"/>
        </c:dLbls>
        <c:axId val="443218704"/>
        <c:axId val="443219096"/>
      </c:scatterChart>
      <c:valAx>
        <c:axId val="4432187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(Index Score)</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219096"/>
        <c:crosses val="autoZero"/>
        <c:crossBetween val="midCat"/>
      </c:valAx>
      <c:valAx>
        <c:axId val="44321909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218704"/>
        <c:crosses val="autoZero"/>
        <c:crossBetween val="midCat"/>
      </c:valAx>
      <c:spPr>
        <a:noFill/>
        <a:ln>
          <a:noFill/>
        </a:ln>
        <a:effectLst/>
      </c:spPr>
    </c:plotArea>
    <c:legend>
      <c:legendPos val="r"/>
      <c:layout>
        <c:manualLayout>
          <c:xMode val="edge"/>
          <c:yMode val="edge"/>
          <c:x val="0.61691605778795411"/>
          <c:y val="0.2687420848198428"/>
          <c:w val="0.37244274942053063"/>
          <c:h val="0.3591305464177053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RIVPACS Plot 1: Wyoming Basin, Black Hills, High Valleys, </a:t>
            </a:r>
          </a:p>
          <a:p>
            <a:pPr>
              <a:defRPr/>
            </a:pPr>
            <a:r>
              <a:rPr lang="en-US"/>
              <a:t>Sedimentary Mountains</a:t>
            </a:r>
          </a:p>
        </c:rich>
      </c:tx>
      <c:layout>
        <c:manualLayout>
          <c:xMode val="edge"/>
          <c:yMode val="edge"/>
          <c:x val="5.4064794866173355E-2"/>
          <c:y val="2.57480043043995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Wyoming Basin - NF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4685878909133207"/>
                  <c:y val="0.12164681802648643"/>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Curves'!$AB$157:$AD$157</c:f>
              <c:numCache>
                <c:formatCode>General</c:formatCode>
                <c:ptCount val="3"/>
                <c:pt idx="0">
                  <c:v>0.15</c:v>
                </c:pt>
                <c:pt idx="2">
                  <c:v>0.64</c:v>
                </c:pt>
              </c:numCache>
            </c:numRef>
          </c:xVal>
          <c:yVal>
            <c:numRef>
              <c:f>'Reference Curves'!$AB$161:$AD$161</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0-784E-4900-84E9-4CE0490071DA}"/>
            </c:ext>
          </c:extLst>
        </c:ser>
        <c:ser>
          <c:idx val="4"/>
          <c:order val="1"/>
          <c:tx>
            <c:v>Wyoming Basin - FAR</c:v>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17517519410050167"/>
                  <c:y val="0.12412227576315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Curves'!$AD$157:$AF$157</c:f>
              <c:numCache>
                <c:formatCode>General</c:formatCode>
                <c:ptCount val="3"/>
                <c:pt idx="0">
                  <c:v>0.64</c:v>
                </c:pt>
                <c:pt idx="2">
                  <c:v>0.82</c:v>
                </c:pt>
              </c:numCache>
            </c:numRef>
          </c:xVal>
          <c:yVal>
            <c:numRef>
              <c:f>'Reference Curves'!$AD$161:$AF$161</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4-B6AD-43DD-8EC7-D7781DE5B353}"/>
            </c:ext>
          </c:extLst>
        </c:ser>
        <c:ser>
          <c:idx val="5"/>
          <c:order val="2"/>
          <c:tx>
            <c:v>Wyoming Basin - 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6"/>
                </a:solidFill>
                <a:prstDash val="sysDot"/>
              </a:ln>
              <a:effectLst/>
            </c:spPr>
            <c:trendlineType val="linear"/>
            <c:dispRSqr val="0"/>
            <c:dispEq val="1"/>
            <c:trendlineLbl>
              <c:layout>
                <c:manualLayout>
                  <c:x val="-0.15760138119399056"/>
                  <c:y val="-5.1496008608799065E-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Curves'!$AF$157:$AG$157</c:f>
              <c:numCache>
                <c:formatCode>General</c:formatCode>
                <c:ptCount val="2"/>
                <c:pt idx="0">
                  <c:v>0.82</c:v>
                </c:pt>
                <c:pt idx="1">
                  <c:v>1.18</c:v>
                </c:pt>
              </c:numCache>
            </c:numRef>
          </c:xVal>
          <c:yVal>
            <c:numRef>
              <c:f>'Reference Curves'!$AF$161:$AG$161</c:f>
              <c:numCache>
                <c:formatCode>General</c:formatCode>
                <c:ptCount val="2"/>
                <c:pt idx="0">
                  <c:v>0.7</c:v>
                </c:pt>
                <c:pt idx="1">
                  <c:v>1</c:v>
                </c:pt>
              </c:numCache>
            </c:numRef>
          </c:yVal>
          <c:smooth val="0"/>
          <c:extLst>
            <c:ext xmlns:c16="http://schemas.microsoft.com/office/drawing/2014/chart" uri="{C3380CC4-5D6E-409C-BE32-E72D297353CC}">
              <c16:uniqueId val="{00000005-B6AD-43DD-8EC7-D7781DE5B353}"/>
            </c:ext>
          </c:extLst>
        </c:ser>
        <c:ser>
          <c:idx val="1"/>
          <c:order val="3"/>
          <c:tx>
            <c:strRef>
              <c:f>'Reference Curves'!$AE$163</c:f>
              <c:strCache>
                <c:ptCount val="1"/>
                <c:pt idx="0">
                  <c:v>Black Hills</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33640898327008872"/>
                  <c:y val="0.2483824148564407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Curves'!$AB$158:$AG$158</c:f>
              <c:numCache>
                <c:formatCode>General</c:formatCode>
                <c:ptCount val="6"/>
                <c:pt idx="0">
                  <c:v>0.37</c:v>
                </c:pt>
                <c:pt idx="2">
                  <c:v>0.59</c:v>
                </c:pt>
                <c:pt idx="4">
                  <c:v>0.88</c:v>
                </c:pt>
                <c:pt idx="5">
                  <c:v>1.08</c:v>
                </c:pt>
              </c:numCache>
            </c:numRef>
          </c:xVal>
          <c:yVal>
            <c:numRef>
              <c:f>'Reference Curves'!$AB$161:$AG$161</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D82B-4DD7-9DEA-3F53FAB37650}"/>
            </c:ext>
          </c:extLst>
        </c:ser>
        <c:ser>
          <c:idx val="2"/>
          <c:order val="4"/>
          <c:tx>
            <c:v>High Valleys &amp; Sedimentary Mountains - NF</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12735564680989539"/>
                  <c:y val="0.196029941572529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Curves'!$AB$159:$AD$159</c:f>
              <c:numCache>
                <c:formatCode>General</c:formatCode>
                <c:ptCount val="3"/>
                <c:pt idx="0">
                  <c:v>0.42</c:v>
                </c:pt>
                <c:pt idx="2">
                  <c:v>0.68</c:v>
                </c:pt>
              </c:numCache>
            </c:numRef>
          </c:xVal>
          <c:yVal>
            <c:numRef>
              <c:f>'Reference Curves'!$AB$161:$AD$161</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2-D82B-4DD7-9DEA-3F53FAB37650}"/>
            </c:ext>
          </c:extLst>
        </c:ser>
        <c:ser>
          <c:idx val="6"/>
          <c:order val="5"/>
          <c:tx>
            <c:v>High Valleys - FAR</c:v>
          </c:tx>
          <c:spPr>
            <a:ln w="25400" cap="rnd">
              <a:noFill/>
              <a:round/>
            </a:ln>
            <a:effectLst/>
          </c:spPr>
          <c:marker>
            <c:symbol val="circle"/>
            <c:size val="5"/>
            <c:spPr>
              <a:solidFill>
                <a:schemeClr val="bg2">
                  <a:lumMod val="50000"/>
                </a:schemeClr>
              </a:solidFill>
              <a:ln w="9525">
                <a:solidFill>
                  <a:schemeClr val="bg2">
                    <a:lumMod val="50000"/>
                  </a:schemeClr>
                </a:solidFill>
              </a:ln>
              <a:effectLst/>
            </c:spPr>
          </c:marker>
          <c:trendline>
            <c:spPr>
              <a:ln w="19050" cap="rnd">
                <a:solidFill>
                  <a:schemeClr val="bg2">
                    <a:lumMod val="50000"/>
                  </a:schemeClr>
                </a:solidFill>
                <a:prstDash val="sysDot"/>
              </a:ln>
              <a:effectLst/>
            </c:spPr>
            <c:trendlineType val="linear"/>
            <c:dispRSqr val="0"/>
            <c:dispEq val="1"/>
            <c:trendlineLbl>
              <c:layout>
                <c:manualLayout>
                  <c:x val="0.15002391783255825"/>
                  <c:y val="0.19564450994204108"/>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Curves'!$AD$159:$AF$159</c:f>
              <c:numCache>
                <c:formatCode>General</c:formatCode>
                <c:ptCount val="3"/>
                <c:pt idx="0">
                  <c:v>0.68</c:v>
                </c:pt>
                <c:pt idx="2">
                  <c:v>0.86</c:v>
                </c:pt>
              </c:numCache>
            </c:numRef>
          </c:xVal>
          <c:yVal>
            <c:numRef>
              <c:f>'Reference Curves'!$AD$161:$AF$161</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8-B6AD-43DD-8EC7-D7781DE5B353}"/>
            </c:ext>
          </c:extLst>
        </c:ser>
        <c:ser>
          <c:idx val="7"/>
          <c:order val="6"/>
          <c:tx>
            <c:v>High Valleys - F</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14463396894316849"/>
                  <c:y val="7.6729052827110594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Curves'!$AF$159:$AG$159</c:f>
              <c:numCache>
                <c:formatCode>General</c:formatCode>
                <c:ptCount val="2"/>
                <c:pt idx="0">
                  <c:v>0.86</c:v>
                </c:pt>
                <c:pt idx="1">
                  <c:v>1.1399999999999999</c:v>
                </c:pt>
              </c:numCache>
            </c:numRef>
          </c:xVal>
          <c:yVal>
            <c:numRef>
              <c:f>'Reference Curves'!$AF$161:$AG$161</c:f>
              <c:numCache>
                <c:formatCode>General</c:formatCode>
                <c:ptCount val="2"/>
                <c:pt idx="0">
                  <c:v>0.7</c:v>
                </c:pt>
                <c:pt idx="1">
                  <c:v>1</c:v>
                </c:pt>
              </c:numCache>
            </c:numRef>
          </c:yVal>
          <c:smooth val="0"/>
          <c:extLst>
            <c:ext xmlns:c16="http://schemas.microsoft.com/office/drawing/2014/chart" uri="{C3380CC4-5D6E-409C-BE32-E72D297353CC}">
              <c16:uniqueId val="{00000009-B6AD-43DD-8EC7-D7781DE5B353}"/>
            </c:ext>
          </c:extLst>
        </c:ser>
        <c:ser>
          <c:idx val="3"/>
          <c:order val="7"/>
          <c:tx>
            <c:v>Sedimentary Mountains - FAR</c:v>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6128129132342758"/>
                  <c:y val="0.2614449653866176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Curves'!$AD$160:$AF$160</c:f>
              <c:numCache>
                <c:formatCode>General</c:formatCode>
                <c:ptCount val="3"/>
                <c:pt idx="0">
                  <c:v>0.68</c:v>
                </c:pt>
                <c:pt idx="2">
                  <c:v>0.82</c:v>
                </c:pt>
              </c:numCache>
            </c:numRef>
          </c:xVal>
          <c:yVal>
            <c:numRef>
              <c:f>'Reference Curves'!$AD$161:$AF$161</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3-D82B-4DD7-9DEA-3F53FAB37650}"/>
            </c:ext>
          </c:extLst>
        </c:ser>
        <c:ser>
          <c:idx val="8"/>
          <c:order val="8"/>
          <c:tx>
            <c:v>Sedimentary Mountains - F</c:v>
          </c:tx>
          <c:spPr>
            <a:ln w="25400" cap="rnd">
              <a:noFill/>
              <a:round/>
            </a:ln>
            <a:effectLst/>
          </c:spPr>
          <c:marker>
            <c:symbol val="circle"/>
            <c:size val="5"/>
            <c:spPr>
              <a:solidFill>
                <a:schemeClr val="accent4">
                  <a:lumMod val="75000"/>
                </a:schemeClr>
              </a:solidFill>
              <a:ln w="9525">
                <a:solidFill>
                  <a:schemeClr val="accent4">
                    <a:lumMod val="75000"/>
                  </a:schemeClr>
                </a:solidFill>
              </a:ln>
              <a:effectLst/>
            </c:spPr>
          </c:marker>
          <c:trendline>
            <c:spPr>
              <a:ln w="19050" cap="rnd">
                <a:solidFill>
                  <a:schemeClr val="accent4">
                    <a:lumMod val="75000"/>
                  </a:schemeClr>
                </a:solidFill>
                <a:prstDash val="sysDot"/>
              </a:ln>
              <a:effectLst/>
            </c:spPr>
            <c:trendlineType val="linear"/>
            <c:dispRSqr val="0"/>
            <c:dispEq val="1"/>
            <c:trendlineLbl>
              <c:layout>
                <c:manualLayout>
                  <c:x val="-0.15608098099931725"/>
                  <c:y val="0.1425295082716871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4">
                          <a:lumMod val="75000"/>
                        </a:schemeClr>
                      </a:solidFill>
                      <a:latin typeface="+mn-lt"/>
                      <a:ea typeface="+mn-ea"/>
                      <a:cs typeface="+mn-cs"/>
                    </a:defRPr>
                  </a:pPr>
                  <a:endParaRPr lang="en-US"/>
                </a:p>
              </c:txPr>
            </c:trendlineLbl>
          </c:trendline>
          <c:xVal>
            <c:numRef>
              <c:f>'Reference Curves'!$AF$160:$AG$160</c:f>
              <c:numCache>
                <c:formatCode>General</c:formatCode>
                <c:ptCount val="2"/>
                <c:pt idx="0">
                  <c:v>0.82</c:v>
                </c:pt>
                <c:pt idx="1">
                  <c:v>1.17</c:v>
                </c:pt>
              </c:numCache>
            </c:numRef>
          </c:xVal>
          <c:yVal>
            <c:numRef>
              <c:f>'Reference Curves'!$AF$161:$AG$161</c:f>
              <c:numCache>
                <c:formatCode>General</c:formatCode>
                <c:ptCount val="2"/>
                <c:pt idx="0">
                  <c:v>0.7</c:v>
                </c:pt>
                <c:pt idx="1">
                  <c:v>1</c:v>
                </c:pt>
              </c:numCache>
            </c:numRef>
          </c:yVal>
          <c:smooth val="0"/>
          <c:extLst>
            <c:ext xmlns:c16="http://schemas.microsoft.com/office/drawing/2014/chart" uri="{C3380CC4-5D6E-409C-BE32-E72D297353CC}">
              <c16:uniqueId val="{0000000C-B6AD-43DD-8EC7-D7781DE5B353}"/>
            </c:ext>
          </c:extLst>
        </c:ser>
        <c:dLbls>
          <c:showLegendKey val="0"/>
          <c:showVal val="0"/>
          <c:showCatName val="0"/>
          <c:showSerName val="0"/>
          <c:showPercent val="0"/>
          <c:showBubbleSize val="0"/>
        </c:dLbls>
        <c:axId val="443215960"/>
        <c:axId val="443216352"/>
      </c:scatterChart>
      <c:valAx>
        <c:axId val="443215960"/>
        <c:scaling>
          <c:orientation val="minMax"/>
          <c:max val="1.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(Ratio)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216352"/>
        <c:crosses val="autoZero"/>
        <c:crossBetween val="midCat"/>
      </c:valAx>
      <c:valAx>
        <c:axId val="44321635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Index Value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215960"/>
        <c:crosses val="autoZero"/>
        <c:crossBetween val="midCat"/>
      </c:valAx>
      <c:spPr>
        <a:noFill/>
        <a:ln>
          <a:noFill/>
        </a:ln>
        <a:effectLst/>
      </c:spPr>
    </c:plotArea>
    <c:legend>
      <c:legendPos val="r"/>
      <c:layout>
        <c:manualLayout>
          <c:xMode val="edge"/>
          <c:yMode val="edge"/>
          <c:x val="0.64084303294332912"/>
          <c:y val="0.16489446325849902"/>
          <c:w val="0.35643618180011305"/>
          <c:h val="0.632366408942736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RIVPACS Plot 2: Southern Rockies, SE Plains, NE Plains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Southern Rockies - NF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6175508111302273"/>
                  <c:y val="0.1377409557536669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Curves'!$AB$196:$AD$196</c:f>
              <c:numCache>
                <c:formatCode>General</c:formatCode>
                <c:ptCount val="3"/>
                <c:pt idx="0">
                  <c:v>0.27</c:v>
                </c:pt>
                <c:pt idx="2">
                  <c:v>0.62</c:v>
                </c:pt>
              </c:numCache>
            </c:numRef>
          </c:xVal>
          <c:yVal>
            <c:numRef>
              <c:f>'Reference Curves'!$AB$199:$AD$199</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0-486C-43FC-98E8-B7BE00F686B9}"/>
            </c:ext>
          </c:extLst>
        </c:ser>
        <c:ser>
          <c:idx val="3"/>
          <c:order val="1"/>
          <c:tx>
            <c:v>Southern Rockies - FAR</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4"/>
                </a:solidFill>
                <a:prstDash val="sysDot"/>
              </a:ln>
              <a:effectLst/>
            </c:spPr>
            <c:trendlineType val="linear"/>
            <c:dispRSqr val="0"/>
            <c:dispEq val="1"/>
            <c:trendlineLbl>
              <c:layout>
                <c:manualLayout>
                  <c:x val="0.15415847858131876"/>
                  <c:y val="0.1205140672795151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Curves'!$AD$196:$AF$196</c:f>
              <c:numCache>
                <c:formatCode>General</c:formatCode>
                <c:ptCount val="3"/>
                <c:pt idx="0">
                  <c:v>0.62</c:v>
                </c:pt>
                <c:pt idx="2">
                  <c:v>0.89</c:v>
                </c:pt>
              </c:numCache>
            </c:numRef>
          </c:xVal>
          <c:yVal>
            <c:numRef>
              <c:f>'Reference Curves'!$AD$199:$AF$199</c:f>
              <c:numCache>
                <c:formatCode>General</c:formatCode>
                <c:ptCount val="3"/>
                <c:pt idx="0">
                  <c:v>0.3</c:v>
                </c:pt>
                <c:pt idx="1">
                  <c:v>0.69</c:v>
                </c:pt>
                <c:pt idx="2">
                  <c:v>0.7</c:v>
                </c:pt>
              </c:numCache>
            </c:numRef>
          </c:yVal>
          <c:smooth val="0"/>
          <c:extLst>
            <c:ext xmlns:c16="http://schemas.microsoft.com/office/drawing/2014/chart" uri="{C3380CC4-5D6E-409C-BE32-E72D297353CC}">
              <c16:uniqueId val="{00000003-1AE8-4337-8293-59D5BB720FBC}"/>
            </c:ext>
          </c:extLst>
        </c:ser>
        <c:ser>
          <c:idx val="4"/>
          <c:order val="2"/>
          <c:tx>
            <c:v>Southern Rockies - F</c:v>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10464454264645365"/>
                  <c:y val="0.1561620942725426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Curves'!$AF$196:$AG$196</c:f>
              <c:numCache>
                <c:formatCode>General</c:formatCode>
                <c:ptCount val="2"/>
                <c:pt idx="0">
                  <c:v>0.89</c:v>
                </c:pt>
                <c:pt idx="1">
                  <c:v>1.18</c:v>
                </c:pt>
              </c:numCache>
            </c:numRef>
          </c:xVal>
          <c:yVal>
            <c:numRef>
              <c:f>'Reference Curves'!$AF$199:$AG$199</c:f>
              <c:numCache>
                <c:formatCode>General</c:formatCode>
                <c:ptCount val="2"/>
                <c:pt idx="0">
                  <c:v>0.7</c:v>
                </c:pt>
                <c:pt idx="1">
                  <c:v>1</c:v>
                </c:pt>
              </c:numCache>
            </c:numRef>
          </c:yVal>
          <c:smooth val="0"/>
          <c:extLst>
            <c:ext xmlns:c16="http://schemas.microsoft.com/office/drawing/2014/chart" uri="{C3380CC4-5D6E-409C-BE32-E72D297353CC}">
              <c16:uniqueId val="{00000004-1AE8-4337-8293-59D5BB720FBC}"/>
            </c:ext>
          </c:extLst>
        </c:ser>
        <c:ser>
          <c:idx val="1"/>
          <c:order val="3"/>
          <c:tx>
            <c:v>SE Plains - NF &amp; FAR</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9.7281766607012127E-2"/>
                  <c:y val="0.1347855010564303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Curves'!$AB$197:$AF$197</c:f>
              <c:numCache>
                <c:formatCode>General</c:formatCode>
                <c:ptCount val="5"/>
                <c:pt idx="0">
                  <c:v>0.34</c:v>
                </c:pt>
                <c:pt idx="2">
                  <c:v>0.51</c:v>
                </c:pt>
                <c:pt idx="4">
                  <c:v>0.78</c:v>
                </c:pt>
              </c:numCache>
            </c:numRef>
          </c:xVal>
          <c:yVal>
            <c:numRef>
              <c:f>'Reference Curves'!$AB$199:$AF$199</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444E-44C4-BF88-73232FBA3354}"/>
            </c:ext>
          </c:extLst>
        </c:ser>
        <c:ser>
          <c:idx val="5"/>
          <c:order val="4"/>
          <c:tx>
            <c:v>SE Plains - F</c:v>
          </c:tx>
          <c:spPr>
            <a:ln w="25400" cap="rnd">
              <a:noFill/>
              <a:round/>
            </a:ln>
            <a:effectLst/>
          </c:spPr>
          <c:marker>
            <c:symbol val="circle"/>
            <c:size val="5"/>
            <c:spPr>
              <a:solidFill>
                <a:schemeClr val="accent2">
                  <a:lumMod val="75000"/>
                </a:schemeClr>
              </a:solidFill>
              <a:ln w="9525">
                <a:solidFill>
                  <a:schemeClr val="accent2">
                    <a:lumMod val="75000"/>
                  </a:schemeClr>
                </a:solidFill>
              </a:ln>
              <a:effectLst/>
            </c:spPr>
          </c:marker>
          <c:trendline>
            <c:spPr>
              <a:ln w="19050" cap="rnd">
                <a:solidFill>
                  <a:schemeClr val="accent2">
                    <a:lumMod val="75000"/>
                  </a:schemeClr>
                </a:solidFill>
                <a:prstDash val="sysDot"/>
              </a:ln>
              <a:effectLst/>
            </c:spPr>
            <c:trendlineType val="linear"/>
            <c:dispRSqr val="0"/>
            <c:dispEq val="1"/>
            <c:trendlineLbl>
              <c:layout>
                <c:manualLayout>
                  <c:x val="-0.11888846794137824"/>
                  <c:y val="-3.2690658708625702E-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lumMod val="75000"/>
                        </a:schemeClr>
                      </a:solidFill>
                      <a:latin typeface="+mn-lt"/>
                      <a:ea typeface="+mn-ea"/>
                      <a:cs typeface="+mn-cs"/>
                    </a:defRPr>
                  </a:pPr>
                  <a:endParaRPr lang="en-US"/>
                </a:p>
              </c:txPr>
            </c:trendlineLbl>
          </c:trendline>
          <c:xVal>
            <c:numRef>
              <c:f>'Reference Curves'!$AF$197:$AG$197</c:f>
              <c:numCache>
                <c:formatCode>General</c:formatCode>
                <c:ptCount val="2"/>
                <c:pt idx="0">
                  <c:v>0.78</c:v>
                </c:pt>
                <c:pt idx="1">
                  <c:v>1.1200000000000001</c:v>
                </c:pt>
              </c:numCache>
            </c:numRef>
          </c:xVal>
          <c:yVal>
            <c:numRef>
              <c:f>'Reference Curves'!$AF$199:$AG$199</c:f>
              <c:numCache>
                <c:formatCode>General</c:formatCode>
                <c:ptCount val="2"/>
                <c:pt idx="0">
                  <c:v>0.7</c:v>
                </c:pt>
                <c:pt idx="1">
                  <c:v>1</c:v>
                </c:pt>
              </c:numCache>
            </c:numRef>
          </c:yVal>
          <c:smooth val="0"/>
          <c:extLst>
            <c:ext xmlns:c16="http://schemas.microsoft.com/office/drawing/2014/chart" uri="{C3380CC4-5D6E-409C-BE32-E72D297353CC}">
              <c16:uniqueId val="{00000007-1AE8-4337-8293-59D5BB720FBC}"/>
            </c:ext>
          </c:extLst>
        </c:ser>
        <c:ser>
          <c:idx val="2"/>
          <c:order val="5"/>
          <c:tx>
            <c:v>NE Plains - NF</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2.7199611284369426E-2"/>
                  <c:y val="3.3328817731274968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65000"/>
                        </a:schemeClr>
                      </a:solidFill>
                      <a:latin typeface="+mn-lt"/>
                      <a:ea typeface="+mn-ea"/>
                      <a:cs typeface="+mn-cs"/>
                    </a:defRPr>
                  </a:pPr>
                  <a:endParaRPr lang="en-US"/>
                </a:p>
              </c:txPr>
            </c:trendlineLbl>
          </c:trendline>
          <c:xVal>
            <c:numRef>
              <c:f>'Reference Curves'!$AB$198:$AD$198</c:f>
              <c:numCache>
                <c:formatCode>General</c:formatCode>
                <c:ptCount val="3"/>
                <c:pt idx="0">
                  <c:v>0.11</c:v>
                </c:pt>
                <c:pt idx="2">
                  <c:v>0.52</c:v>
                </c:pt>
              </c:numCache>
            </c:numRef>
          </c:xVal>
          <c:yVal>
            <c:numRef>
              <c:f>'Reference Curves'!$AB$199:$AD$199</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2-444E-44C4-BF88-73232FBA3354}"/>
            </c:ext>
          </c:extLst>
        </c:ser>
        <c:ser>
          <c:idx val="6"/>
          <c:order val="6"/>
          <c:tx>
            <c:v>NE Plains - FAR &amp; F</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14782303104145694"/>
                  <c:y val="0.1376906551663308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3"/>
                      </a:solidFill>
                      <a:latin typeface="+mn-lt"/>
                      <a:ea typeface="+mn-ea"/>
                      <a:cs typeface="+mn-cs"/>
                    </a:defRPr>
                  </a:pPr>
                  <a:endParaRPr lang="en-US"/>
                </a:p>
              </c:txPr>
            </c:trendlineLbl>
          </c:trendline>
          <c:xVal>
            <c:numRef>
              <c:f>'Reference Curves'!$AD$198:$AG$198</c:f>
              <c:numCache>
                <c:formatCode>General</c:formatCode>
                <c:ptCount val="4"/>
                <c:pt idx="0">
                  <c:v>0.52</c:v>
                </c:pt>
                <c:pt idx="2">
                  <c:v>0.75</c:v>
                </c:pt>
                <c:pt idx="3">
                  <c:v>0.98</c:v>
                </c:pt>
              </c:numCache>
            </c:numRef>
          </c:xVal>
          <c:yVal>
            <c:numRef>
              <c:f>'Reference Curves'!$AD$199:$AG$199</c:f>
              <c:numCache>
                <c:formatCode>General</c:formatCode>
                <c:ptCount val="4"/>
                <c:pt idx="0">
                  <c:v>0.3</c:v>
                </c:pt>
                <c:pt idx="1">
                  <c:v>0.69</c:v>
                </c:pt>
                <c:pt idx="2">
                  <c:v>0.7</c:v>
                </c:pt>
                <c:pt idx="3">
                  <c:v>1</c:v>
                </c:pt>
              </c:numCache>
            </c:numRef>
          </c:yVal>
          <c:smooth val="0"/>
          <c:extLst>
            <c:ext xmlns:c16="http://schemas.microsoft.com/office/drawing/2014/chart" uri="{C3380CC4-5D6E-409C-BE32-E72D297353CC}">
              <c16:uniqueId val="{00000009-1AE8-4337-8293-59D5BB720FBC}"/>
            </c:ext>
          </c:extLst>
        </c:ser>
        <c:dLbls>
          <c:showLegendKey val="0"/>
          <c:showVal val="0"/>
          <c:showCatName val="0"/>
          <c:showSerName val="0"/>
          <c:showPercent val="0"/>
          <c:showBubbleSize val="0"/>
        </c:dLbls>
        <c:axId val="443219488"/>
        <c:axId val="443219880"/>
      </c:scatterChart>
      <c:valAx>
        <c:axId val="4432194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a:t>
                </a:r>
                <a:r>
                  <a:rPr lang="en-US" baseline="0"/>
                  <a:t> Value (Ratio)</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219880"/>
        <c:crosses val="autoZero"/>
        <c:crossBetween val="midCat"/>
      </c:valAx>
      <c:valAx>
        <c:axId val="44321988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219488"/>
        <c:crosses val="autoZero"/>
        <c:crossBetween val="midCat"/>
      </c:valAx>
      <c:spPr>
        <a:noFill/>
        <a:ln>
          <a:noFill/>
        </a:ln>
        <a:effectLst/>
      </c:spPr>
    </c:plotArea>
    <c:legend>
      <c:legendPos val="r"/>
      <c:layout>
        <c:manualLayout>
          <c:xMode val="edge"/>
          <c:yMode val="edge"/>
          <c:x val="0.66842726704154687"/>
          <c:y val="0.16904968787227692"/>
          <c:w val="0.29199286882476561"/>
          <c:h val="0.5252914951779005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Land</a:t>
            </a:r>
            <a:r>
              <a:rPr lang="en-US" baseline="0"/>
              <a:t> Use Coefficient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Curves'!$C$12</c:f>
              <c:strCache>
                <c:ptCount val="1"/>
                <c:pt idx="0">
                  <c:v>NF/FAR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7810420903224289"/>
                  <c:y val="-0.3053686543031629"/>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Curves'!$C$9:$G$9</c:f>
              <c:numCache>
                <c:formatCode>General</c:formatCode>
                <c:ptCount val="5"/>
                <c:pt idx="0">
                  <c:v>80</c:v>
                </c:pt>
                <c:pt idx="4">
                  <c:v>68</c:v>
                </c:pt>
              </c:numCache>
            </c:numRef>
          </c:xVal>
          <c:yVal>
            <c:numRef>
              <c:f>'Reference Curves'!$C$10:$G$10</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7AC5-45EF-9405-04BE8E1983D1}"/>
            </c:ext>
          </c:extLst>
        </c:ser>
        <c:ser>
          <c:idx val="1"/>
          <c:order val="1"/>
          <c:tx>
            <c:strRef>
              <c:f>'Reference Curves'!$D$12</c:f>
              <c:strCache>
                <c:ptCount val="1"/>
                <c:pt idx="0">
                  <c:v>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1667294210790384"/>
                  <c:y val="-2.55843045708763E-2"/>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accent2"/>
                      </a:solidFill>
                      <a:latin typeface="+mn-lt"/>
                      <a:ea typeface="+mn-ea"/>
                      <a:cs typeface="+mn-cs"/>
                    </a:defRPr>
                  </a:pPr>
                  <a:endParaRPr lang="en-US"/>
                </a:p>
              </c:txPr>
            </c:trendlineLbl>
          </c:trendline>
          <c:xVal>
            <c:numRef>
              <c:f>'Reference Curves'!$G$9:$H$9</c:f>
              <c:numCache>
                <c:formatCode>General</c:formatCode>
                <c:ptCount val="2"/>
                <c:pt idx="0">
                  <c:v>68</c:v>
                </c:pt>
                <c:pt idx="1">
                  <c:v>40</c:v>
                </c:pt>
              </c:numCache>
            </c:numRef>
          </c:xVal>
          <c:yVal>
            <c:numRef>
              <c:f>'Reference Curves'!$G$10:$H$10</c:f>
              <c:numCache>
                <c:formatCode>General</c:formatCode>
                <c:ptCount val="2"/>
                <c:pt idx="0">
                  <c:v>0.7</c:v>
                </c:pt>
                <c:pt idx="1">
                  <c:v>1</c:v>
                </c:pt>
              </c:numCache>
            </c:numRef>
          </c:yVal>
          <c:smooth val="0"/>
          <c:extLst>
            <c:ext xmlns:c16="http://schemas.microsoft.com/office/drawing/2014/chart" uri="{C3380CC4-5D6E-409C-BE32-E72D297353CC}">
              <c16:uniqueId val="{00000001-CDCB-4533-8969-F472DF24AC45}"/>
            </c:ext>
          </c:extLst>
        </c:ser>
        <c:dLbls>
          <c:showLegendKey val="0"/>
          <c:showVal val="0"/>
          <c:showCatName val="0"/>
          <c:showSerName val="0"/>
          <c:showPercent val="0"/>
          <c:showBubbleSize val="0"/>
        </c:dLbls>
        <c:axId val="443217136"/>
        <c:axId val="443220664"/>
      </c:scatterChart>
      <c:valAx>
        <c:axId val="443217136"/>
        <c:scaling>
          <c:orientation val="minMax"/>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(Land Use Coefficient</a:t>
                </a:r>
                <a:r>
                  <a:rPr lang="en-US" baseline="0"/>
                  <a: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220664"/>
        <c:crosses val="autoZero"/>
        <c:crossBetween val="midCat"/>
      </c:valAx>
      <c:valAx>
        <c:axId val="44322066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0" i="0" baseline="0">
                    <a:effectLst/>
                  </a:rPr>
                  <a:t>Index Value</a:t>
                </a:r>
                <a:endParaRPr lang="en-US" sz="1100">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2171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Native Fish Species Richness (% of expected)</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2503334826966561"/>
                  <c:y val="0.1790812262246238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Curves'!$AB$275:$AE$275</c:f>
              <c:numCache>
                <c:formatCode>General</c:formatCode>
                <c:ptCount val="4"/>
                <c:pt idx="0" formatCode="0">
                  <c:v>58.158823529411762</c:v>
                </c:pt>
                <c:pt idx="2">
                  <c:v>76</c:v>
                </c:pt>
                <c:pt idx="3">
                  <c:v>99</c:v>
                </c:pt>
              </c:numCache>
            </c:numRef>
          </c:xVal>
          <c:yVal>
            <c:numRef>
              <c:f>'Reference Curves'!$AB$276:$AE$276</c:f>
              <c:numCache>
                <c:formatCode>General</c:formatCode>
                <c:ptCount val="4"/>
                <c:pt idx="0">
                  <c:v>0</c:v>
                </c:pt>
                <c:pt idx="1">
                  <c:v>0.28999999999999998</c:v>
                </c:pt>
                <c:pt idx="2">
                  <c:v>0.3</c:v>
                </c:pt>
                <c:pt idx="3">
                  <c:v>0.69</c:v>
                </c:pt>
              </c:numCache>
            </c:numRef>
          </c:yVal>
          <c:smooth val="0"/>
          <c:extLst>
            <c:ext xmlns:c16="http://schemas.microsoft.com/office/drawing/2014/chart" uri="{C3380CC4-5D6E-409C-BE32-E72D297353CC}">
              <c16:uniqueId val="{00000001-F17A-4CDB-BB96-C1EDB41CACF2}"/>
            </c:ext>
          </c:extLst>
        </c:ser>
        <c:ser>
          <c:idx val="1"/>
          <c:order val="1"/>
          <c:spPr>
            <a:ln w="25400" cap="rnd">
              <a:solidFill>
                <a:srgbClr val="FF0000"/>
              </a:solidFill>
              <a:round/>
            </a:ln>
            <a:effectLst/>
          </c:spPr>
          <c:marker>
            <c:symbol val="circle"/>
            <c:size val="5"/>
            <c:spPr>
              <a:solidFill>
                <a:schemeClr val="accent2"/>
              </a:solidFill>
              <a:ln w="9525">
                <a:solidFill>
                  <a:schemeClr val="accent2"/>
                </a:solidFill>
              </a:ln>
              <a:effectLst/>
            </c:spPr>
          </c:marker>
          <c:xVal>
            <c:numRef>
              <c:f>'Reference Curves'!$AG$275</c:f>
              <c:numCache>
                <c:formatCode>General</c:formatCode>
                <c:ptCount val="1"/>
                <c:pt idx="0">
                  <c:v>100</c:v>
                </c:pt>
              </c:numCache>
            </c:numRef>
          </c:xVal>
          <c:yVal>
            <c:numRef>
              <c:f>'Reference Curves'!$AG$276</c:f>
              <c:numCache>
                <c:formatCode>General</c:formatCode>
                <c:ptCount val="1"/>
                <c:pt idx="0">
                  <c:v>1</c:v>
                </c:pt>
              </c:numCache>
            </c:numRef>
          </c:yVal>
          <c:smooth val="0"/>
          <c:extLst>
            <c:ext xmlns:c16="http://schemas.microsoft.com/office/drawing/2014/chart" uri="{C3380CC4-5D6E-409C-BE32-E72D297353CC}">
              <c16:uniqueId val="{00000003-F17A-4CDB-BB96-C1EDB41CACF2}"/>
            </c:ext>
          </c:extLst>
        </c:ser>
        <c:dLbls>
          <c:showLegendKey val="0"/>
          <c:showVal val="0"/>
          <c:showCatName val="0"/>
          <c:showSerName val="0"/>
          <c:showPercent val="0"/>
          <c:showBubbleSize val="0"/>
        </c:dLbls>
        <c:axId val="443890096"/>
        <c:axId val="443886960"/>
      </c:scatterChart>
      <c:valAx>
        <c:axId val="443890096"/>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86960"/>
        <c:crosses val="autoZero"/>
        <c:crossBetween val="midCat"/>
      </c:valAx>
      <c:valAx>
        <c:axId val="4438869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900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Maximum Weekly Average Temperature (MWAT)</a:t>
            </a:r>
          </a:p>
        </c:rich>
      </c:tx>
      <c:layout>
        <c:manualLayout>
          <c:xMode val="edge"/>
          <c:yMode val="edge"/>
          <c:x val="0.11007366611583166"/>
          <c:y val="1.8495219961480475E-2"/>
        </c:manualLayout>
      </c:layout>
      <c:overlay val="0"/>
      <c:spPr>
        <a:solidFill>
          <a:sysClr val="window" lastClr="FFFFFF"/>
        </a:solid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197240542752902E-2"/>
          <c:y val="9.3141937954091245E-2"/>
          <c:w val="0.59150597095815016"/>
          <c:h val="0.7791487548364594"/>
        </c:manualLayout>
      </c:layout>
      <c:scatterChart>
        <c:scatterStyle val="lineMarker"/>
        <c:varyColors val="0"/>
        <c:ser>
          <c:idx val="0"/>
          <c:order val="0"/>
          <c:tx>
            <c:strRef>
              <c:f>'Reference Curves'!$R$9</c:f>
              <c:strCache>
                <c:ptCount val="1"/>
                <c:pt idx="0">
                  <c:v>Tier I (Cold)</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58170012148302863"/>
                  <c:y val="-0.2690143279706125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trendlineLbl>
          </c:trendline>
          <c:xVal>
            <c:numRef>
              <c:f>'Reference Curves'!$S$9:$X$9</c:f>
              <c:numCache>
                <c:formatCode>General</c:formatCode>
                <c:ptCount val="6"/>
                <c:pt idx="0">
                  <c:v>20.100000000000001</c:v>
                </c:pt>
                <c:pt idx="2">
                  <c:v>18.100000000000001</c:v>
                </c:pt>
                <c:pt idx="4">
                  <c:v>15.4</c:v>
                </c:pt>
                <c:pt idx="5">
                  <c:v>13.5</c:v>
                </c:pt>
              </c:numCache>
            </c:numRef>
          </c:xVal>
          <c:yVal>
            <c:numRef>
              <c:f>'Reference Curves'!$S$14:$X$14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CDE3-4C06-8410-8D7E48799058}"/>
            </c:ext>
          </c:extLst>
        </c:ser>
        <c:ser>
          <c:idx val="1"/>
          <c:order val="1"/>
          <c:tx>
            <c:strRef>
              <c:f>'Reference Curves'!$R$10</c:f>
              <c:strCache>
                <c:ptCount val="1"/>
                <c:pt idx="0">
                  <c:v>Tier II (Cold-Cool)</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55449847936287977"/>
                  <c:y val="-0.2031250479017895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lumMod val="75000"/>
                        </a:schemeClr>
                      </a:solidFill>
                      <a:latin typeface="+mn-lt"/>
                      <a:ea typeface="+mn-ea"/>
                      <a:cs typeface="+mn-cs"/>
                    </a:defRPr>
                  </a:pPr>
                  <a:endParaRPr lang="en-US"/>
                </a:p>
              </c:txPr>
            </c:trendlineLbl>
          </c:trendline>
          <c:xVal>
            <c:numRef>
              <c:f>'Reference Curves'!$S$10:$X$10</c:f>
              <c:numCache>
                <c:formatCode>General</c:formatCode>
                <c:ptCount val="6"/>
                <c:pt idx="0">
                  <c:v>20.5</c:v>
                </c:pt>
                <c:pt idx="2">
                  <c:v>19.3</c:v>
                </c:pt>
                <c:pt idx="4">
                  <c:v>17.7</c:v>
                </c:pt>
                <c:pt idx="5">
                  <c:v>16.5</c:v>
                </c:pt>
              </c:numCache>
            </c:numRef>
          </c:xVal>
          <c:yVal>
            <c:numRef>
              <c:f>'Reference Curves'!$S$14:$X$14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5-CDE3-4C06-8410-8D7E48799058}"/>
            </c:ext>
          </c:extLst>
        </c:ser>
        <c:ser>
          <c:idx val="2"/>
          <c:order val="2"/>
          <c:tx>
            <c:strRef>
              <c:f>'Reference Curves'!$R$11</c:f>
              <c:strCache>
                <c:ptCount val="1"/>
                <c:pt idx="0">
                  <c:v>Tier III (Cool)</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51102249843754899"/>
                  <c:y val="-0.1492156369363890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65000"/>
                        </a:schemeClr>
                      </a:solidFill>
                      <a:latin typeface="+mn-lt"/>
                      <a:ea typeface="+mn-ea"/>
                      <a:cs typeface="+mn-cs"/>
                    </a:defRPr>
                  </a:pPr>
                  <a:endParaRPr lang="en-US"/>
                </a:p>
              </c:txPr>
            </c:trendlineLbl>
          </c:trendline>
          <c:xVal>
            <c:numRef>
              <c:f>'Reference Curves'!$S$11:$X$11</c:f>
              <c:numCache>
                <c:formatCode>General</c:formatCode>
                <c:ptCount val="6"/>
                <c:pt idx="0">
                  <c:v>23.6</c:v>
                </c:pt>
                <c:pt idx="2">
                  <c:v>22</c:v>
                </c:pt>
                <c:pt idx="4">
                  <c:v>19.899999999999999</c:v>
                </c:pt>
                <c:pt idx="5">
                  <c:v>18.3</c:v>
                </c:pt>
              </c:numCache>
            </c:numRef>
          </c:xVal>
          <c:yVal>
            <c:numRef>
              <c:f>'Reference Curves'!$S$14:$X$14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7-CDE3-4C06-8410-8D7E48799058}"/>
            </c:ext>
          </c:extLst>
        </c:ser>
        <c:ser>
          <c:idx val="3"/>
          <c:order val="3"/>
          <c:tx>
            <c:strRef>
              <c:f>'Reference Curves'!$R$12</c:f>
              <c:strCache>
                <c:ptCount val="1"/>
                <c:pt idx="0">
                  <c:v>Tier IV (Cool-Warm)</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36953187134417742"/>
                  <c:y val="-8.9316291419277258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4">
                          <a:lumMod val="75000"/>
                        </a:schemeClr>
                      </a:solidFill>
                      <a:latin typeface="+mn-lt"/>
                      <a:ea typeface="+mn-ea"/>
                      <a:cs typeface="+mn-cs"/>
                    </a:defRPr>
                  </a:pPr>
                  <a:endParaRPr lang="en-US"/>
                </a:p>
              </c:txPr>
            </c:trendlineLbl>
          </c:trendline>
          <c:xVal>
            <c:numRef>
              <c:f>'Reference Curves'!$S$12:$X$12</c:f>
              <c:numCache>
                <c:formatCode>General</c:formatCode>
                <c:ptCount val="6"/>
                <c:pt idx="0">
                  <c:v>27.2</c:v>
                </c:pt>
                <c:pt idx="2">
                  <c:v>26</c:v>
                </c:pt>
                <c:pt idx="4">
                  <c:v>24.4</c:v>
                </c:pt>
                <c:pt idx="5">
                  <c:v>23.2</c:v>
                </c:pt>
              </c:numCache>
            </c:numRef>
          </c:xVal>
          <c:yVal>
            <c:numRef>
              <c:f>'Reference Curves'!$S$14:$X$14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9-CDE3-4C06-8410-8D7E48799058}"/>
            </c:ext>
          </c:extLst>
        </c:ser>
        <c:ser>
          <c:idx val="4"/>
          <c:order val="4"/>
          <c:tx>
            <c:strRef>
              <c:f>'Reference Curves'!$R$13</c:f>
              <c:strCache>
                <c:ptCount val="1"/>
                <c:pt idx="0">
                  <c:v>Tier V (Warm)</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36120439738060039"/>
                  <c:y val="-3.2411913178021091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lumMod val="75000"/>
                        </a:schemeClr>
                      </a:solidFill>
                      <a:latin typeface="+mn-lt"/>
                      <a:ea typeface="+mn-ea"/>
                      <a:cs typeface="+mn-cs"/>
                    </a:defRPr>
                  </a:pPr>
                  <a:endParaRPr lang="en-US"/>
                </a:p>
              </c:txPr>
            </c:trendlineLbl>
          </c:trendline>
          <c:xVal>
            <c:numRef>
              <c:f>'Reference Curves'!$S$13:$X$13</c:f>
              <c:numCache>
                <c:formatCode>General</c:formatCode>
                <c:ptCount val="6"/>
                <c:pt idx="0">
                  <c:v>30.3</c:v>
                </c:pt>
                <c:pt idx="2">
                  <c:v>29</c:v>
                </c:pt>
                <c:pt idx="4">
                  <c:v>27.3</c:v>
                </c:pt>
                <c:pt idx="5">
                  <c:v>26</c:v>
                </c:pt>
              </c:numCache>
            </c:numRef>
          </c:xVal>
          <c:yVal>
            <c:numRef>
              <c:f>'Reference Curves'!$S$14:$X$14</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B-CDE3-4C06-8410-8D7E48799058}"/>
            </c:ext>
          </c:extLst>
        </c:ser>
        <c:dLbls>
          <c:showLegendKey val="0"/>
          <c:showVal val="0"/>
          <c:showCatName val="0"/>
          <c:showSerName val="0"/>
          <c:showPercent val="0"/>
          <c:showBubbleSize val="0"/>
        </c:dLbls>
        <c:axId val="443890488"/>
        <c:axId val="443892840"/>
      </c:scatterChart>
      <c:valAx>
        <c:axId val="443890488"/>
        <c:scaling>
          <c:orientation val="minMax"/>
          <c:max val="35"/>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(⁰C)</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92840"/>
        <c:crosses val="autoZero"/>
        <c:crossBetween val="midCat"/>
      </c:valAx>
      <c:valAx>
        <c:axId val="4438928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90488"/>
        <c:crosses val="autoZero"/>
        <c:crossBetween val="midCat"/>
      </c:valAx>
      <c:spPr>
        <a:noFill/>
        <a:ln>
          <a:noFill/>
        </a:ln>
        <a:effectLst/>
      </c:spPr>
    </c:plotArea>
    <c:legend>
      <c:legendPos val="r"/>
      <c:layout>
        <c:manualLayout>
          <c:xMode val="edge"/>
          <c:yMode val="edge"/>
          <c:x val="0.67606089338963493"/>
          <c:y val="0.16043715215783791"/>
          <c:w val="0.32138309112186003"/>
          <c:h val="0.3644965196456068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Game Species Biomass (% Change)</a:t>
            </a:r>
          </a:p>
        </c:rich>
      </c:tx>
      <c:layout>
        <c:manualLayout>
          <c:xMode val="edge"/>
          <c:yMode val="edge"/>
          <c:x val="0.30493202923637203"/>
          <c:y val="1.5704750687082842E-2"/>
        </c:manualLayout>
      </c:layout>
      <c:overlay val="0"/>
      <c:spPr>
        <a:solidFill>
          <a:sysClr val="window" lastClr="FFFFFF"/>
        </a:solid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531742446002603"/>
          <c:y val="9.0176808467000574E-2"/>
          <c:w val="0.80294045715217399"/>
          <c:h val="0.78214745884037218"/>
        </c:manualLayout>
      </c:layout>
      <c:scatterChart>
        <c:scatterStyle val="lineMarker"/>
        <c:varyColors val="0"/>
        <c:ser>
          <c:idx val="0"/>
          <c:order val="0"/>
          <c:tx>
            <c:strRef>
              <c:f>'Reference Curves'!$AA$312</c:f>
              <c:strCache>
                <c:ptCount val="1"/>
                <c:pt idx="0">
                  <c:v>Blue Ribbon and non-trout game fish</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8.1090080377734408E-2"/>
                  <c:y val="-5.5038593333232855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trendlineLbl>
          </c:trendline>
          <c:xVal>
            <c:numRef>
              <c:f>'Reference Curves'!$AB$312:$AG$312</c:f>
              <c:numCache>
                <c:formatCode>General</c:formatCode>
                <c:ptCount val="6"/>
                <c:pt idx="2">
                  <c:v>5</c:v>
                </c:pt>
                <c:pt idx="4">
                  <c:v>25</c:v>
                </c:pt>
                <c:pt idx="5">
                  <c:v>40</c:v>
                </c:pt>
              </c:numCache>
            </c:numRef>
          </c:xVal>
          <c:yVal>
            <c:numRef>
              <c:f>'Reference Curves'!$AB$315:$AG$315</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B474-4013-BC78-4D06A7011F8D}"/>
            </c:ext>
          </c:extLst>
        </c:ser>
        <c:ser>
          <c:idx val="1"/>
          <c:order val="1"/>
          <c:tx>
            <c:strRef>
              <c:f>'Reference Curves'!$AA$313</c:f>
              <c:strCache>
                <c:ptCount val="1"/>
                <c:pt idx="0">
                  <c:v>Red Ribbon</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2044651264345856"/>
                  <c:y val="-4.5923470770720697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lumMod val="75000"/>
                        </a:schemeClr>
                      </a:solidFill>
                      <a:latin typeface="+mn-lt"/>
                      <a:ea typeface="+mn-ea"/>
                      <a:cs typeface="+mn-cs"/>
                    </a:defRPr>
                  </a:pPr>
                  <a:endParaRPr lang="en-US"/>
                </a:p>
              </c:txPr>
            </c:trendlineLbl>
          </c:trendline>
          <c:xVal>
            <c:numRef>
              <c:f>'Reference Curves'!$AB$313:$AG$313</c:f>
              <c:numCache>
                <c:formatCode>General</c:formatCode>
                <c:ptCount val="6"/>
                <c:pt idx="2">
                  <c:v>10</c:v>
                </c:pt>
                <c:pt idx="4">
                  <c:v>50</c:v>
                </c:pt>
                <c:pt idx="5">
                  <c:v>80</c:v>
                </c:pt>
              </c:numCache>
            </c:numRef>
          </c:xVal>
          <c:yVal>
            <c:numRef>
              <c:f>'Reference Curves'!$AB$315:$AG$315</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3-B474-4013-BC78-4D06A7011F8D}"/>
            </c:ext>
          </c:extLst>
        </c:ser>
        <c:ser>
          <c:idx val="2"/>
          <c:order val="2"/>
          <c:tx>
            <c:strRef>
              <c:f>'Reference Curves'!$AA$314</c:f>
              <c:strCache>
                <c:ptCount val="1"/>
                <c:pt idx="0">
                  <c:v>Yellow/Green Ribbon</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21936198183199371"/>
                  <c:y val="-4.6941206502503552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lumMod val="65000"/>
                        </a:schemeClr>
                      </a:solidFill>
                      <a:latin typeface="+mn-lt"/>
                      <a:ea typeface="+mn-ea"/>
                      <a:cs typeface="+mn-cs"/>
                    </a:defRPr>
                  </a:pPr>
                  <a:endParaRPr lang="en-US"/>
                </a:p>
              </c:txPr>
            </c:trendlineLbl>
          </c:trendline>
          <c:xVal>
            <c:numRef>
              <c:f>'Reference Curves'!$AB$314:$AG$314</c:f>
              <c:numCache>
                <c:formatCode>General</c:formatCode>
                <c:ptCount val="6"/>
                <c:pt idx="2">
                  <c:v>15</c:v>
                </c:pt>
                <c:pt idx="4">
                  <c:v>75</c:v>
                </c:pt>
                <c:pt idx="5">
                  <c:v>119</c:v>
                </c:pt>
              </c:numCache>
            </c:numRef>
          </c:xVal>
          <c:yVal>
            <c:numRef>
              <c:f>'Reference Curves'!$AB$315:$AG$315</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5-B474-4013-BC78-4D06A7011F8D}"/>
            </c:ext>
          </c:extLst>
        </c:ser>
        <c:dLbls>
          <c:showLegendKey val="0"/>
          <c:showVal val="0"/>
          <c:showCatName val="0"/>
          <c:showSerName val="0"/>
          <c:showPercent val="0"/>
          <c:showBubbleSize val="0"/>
        </c:dLbls>
        <c:axId val="443891272"/>
        <c:axId val="443891664"/>
      </c:scatterChart>
      <c:valAx>
        <c:axId val="443891272"/>
        <c:scaling>
          <c:orientation val="minMax"/>
          <c:max val="18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layout>
            <c:manualLayout>
              <c:xMode val="edge"/>
              <c:yMode val="edge"/>
              <c:x val="0.41197790200050743"/>
              <c:y val="0.940660437734675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91664"/>
        <c:crosses val="autoZero"/>
        <c:crossBetween val="midCat"/>
        <c:majorUnit val="20"/>
      </c:valAx>
      <c:valAx>
        <c:axId val="443891664"/>
        <c:scaling>
          <c:orientation val="minMax"/>
          <c:max val="1.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layout>
            <c:manualLayout>
              <c:xMode val="edge"/>
              <c:yMode val="edge"/>
              <c:x val="6.2695914447886778E-3"/>
              <c:y val="0.4419154917888228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91272"/>
        <c:crosses val="autoZero"/>
        <c:crossBetween val="midCat"/>
      </c:valAx>
      <c:spPr>
        <a:noFill/>
        <a:ln>
          <a:noFill/>
        </a:ln>
        <a:effectLst/>
      </c:spPr>
    </c:plotArea>
    <c:legend>
      <c:legendPos val="r"/>
      <c:layout>
        <c:manualLayout>
          <c:xMode val="edge"/>
          <c:yMode val="edge"/>
          <c:x val="0.60229479114070883"/>
          <c:y val="0.4750663119185371"/>
          <c:w val="0.35388455992394363"/>
          <c:h val="0.21855984138614004"/>
        </c:manualLayout>
      </c:layout>
      <c:overlay val="0"/>
      <c:spPr>
        <a:solidFill>
          <a:schemeClr val="bg1"/>
        </a:solidFill>
        <a:ln>
          <a:solidFill>
            <a:schemeClr val="bg1">
              <a:lumMod val="85000"/>
            </a:schemeClr>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Observed Q Low / Expected Q Low</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88566788026699"/>
          <c:y val="0.10411228070175439"/>
          <c:w val="0.8270692968211919"/>
          <c:h val="0.75217328360270752"/>
        </c:manualLayout>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7.4141561109209178E-2"/>
                  <c:y val="0.1710651184576368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Curves'!$C$69:$H$69</c:f>
              <c:numCache>
                <c:formatCode>General</c:formatCode>
                <c:ptCount val="6"/>
                <c:pt idx="0">
                  <c:v>0.26</c:v>
                </c:pt>
                <c:pt idx="5">
                  <c:v>0.9</c:v>
                </c:pt>
              </c:numCache>
            </c:numRef>
          </c:xVal>
          <c:yVal>
            <c:numRef>
              <c:f>'Reference Curves'!$C$71:$H$71</c:f>
              <c:numCache>
                <c:formatCode>General</c:formatCode>
                <c:ptCount val="6"/>
                <c:pt idx="0">
                  <c:v>0</c:v>
                </c:pt>
                <c:pt idx="1">
                  <c:v>0.28999999999999998</c:v>
                </c:pt>
                <c:pt idx="2">
                  <c:v>0.3</c:v>
                </c:pt>
                <c:pt idx="3">
                  <c:v>0.5</c:v>
                </c:pt>
                <c:pt idx="4">
                  <c:v>0.7</c:v>
                </c:pt>
                <c:pt idx="5">
                  <c:v>1</c:v>
                </c:pt>
              </c:numCache>
            </c:numRef>
          </c:yVal>
          <c:smooth val="0"/>
          <c:extLst>
            <c:ext xmlns:c16="http://schemas.microsoft.com/office/drawing/2014/chart" uri="{C3380CC4-5D6E-409C-BE32-E72D297353CC}">
              <c16:uniqueId val="{00000001-EF21-48F4-9435-9B107BA97BB8}"/>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5.0613488531324809E-2"/>
                  <c:y val="-0.5708147503926226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Curves'!$C$70:$H$70</c:f>
              <c:numCache>
                <c:formatCode>General</c:formatCode>
                <c:ptCount val="6"/>
                <c:pt idx="0">
                  <c:v>2</c:v>
                </c:pt>
                <c:pt idx="5">
                  <c:v>1.1000000000000001</c:v>
                </c:pt>
              </c:numCache>
            </c:numRef>
          </c:xVal>
          <c:yVal>
            <c:numRef>
              <c:f>'Reference Curves'!$C$71:$H$71</c:f>
              <c:numCache>
                <c:formatCode>General</c:formatCode>
                <c:ptCount val="6"/>
                <c:pt idx="0">
                  <c:v>0</c:v>
                </c:pt>
                <c:pt idx="1">
                  <c:v>0.28999999999999998</c:v>
                </c:pt>
                <c:pt idx="2">
                  <c:v>0.3</c:v>
                </c:pt>
                <c:pt idx="3">
                  <c:v>0.5</c:v>
                </c:pt>
                <c:pt idx="4">
                  <c:v>0.7</c:v>
                </c:pt>
                <c:pt idx="5">
                  <c:v>1</c:v>
                </c:pt>
              </c:numCache>
            </c:numRef>
          </c:yVal>
          <c:smooth val="0"/>
          <c:extLst>
            <c:ext xmlns:c16="http://schemas.microsoft.com/office/drawing/2014/chart" uri="{C3380CC4-5D6E-409C-BE32-E72D297353CC}">
              <c16:uniqueId val="{00000003-EF21-48F4-9435-9B107BA97BB8}"/>
            </c:ext>
          </c:extLst>
        </c:ser>
        <c:ser>
          <c:idx val="2"/>
          <c:order val="2"/>
          <c:tx>
            <c:v>Crest</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tx1"/>
                </a:solidFill>
                <a:prstDash val="solid"/>
              </a:ln>
              <a:effectLst/>
            </c:spPr>
            <c:trendlineType val="linear"/>
            <c:dispRSqr val="0"/>
            <c:dispEq val="0"/>
          </c:trendline>
          <c:xVal>
            <c:numRef>
              <c:f>'Reference Curves'!$H$69:$H$70</c:f>
              <c:numCache>
                <c:formatCode>General</c:formatCode>
                <c:ptCount val="2"/>
                <c:pt idx="0">
                  <c:v>0.9</c:v>
                </c:pt>
                <c:pt idx="1">
                  <c:v>1.1000000000000001</c:v>
                </c:pt>
              </c:numCache>
            </c:numRef>
          </c:xVal>
          <c:yVal>
            <c:numRef>
              <c:f>('Reference Curves'!$H$71,'Reference Curves'!$H$71)</c:f>
              <c:numCache>
                <c:formatCode>General</c:formatCode>
                <c:ptCount val="2"/>
                <c:pt idx="0">
                  <c:v>1</c:v>
                </c:pt>
                <c:pt idx="1">
                  <c:v>1</c:v>
                </c:pt>
              </c:numCache>
            </c:numRef>
          </c:yVal>
          <c:smooth val="0"/>
          <c:extLst>
            <c:ext xmlns:c16="http://schemas.microsoft.com/office/drawing/2014/chart" uri="{C3380CC4-5D6E-409C-BE32-E72D297353CC}">
              <c16:uniqueId val="{00000004-EF21-48F4-9435-9B107BA97BB8}"/>
            </c:ext>
          </c:extLst>
        </c:ser>
        <c:dLbls>
          <c:showLegendKey val="0"/>
          <c:showVal val="0"/>
          <c:showCatName val="0"/>
          <c:showSerName val="0"/>
          <c:showPercent val="0"/>
          <c:showBubbleSize val="0"/>
        </c:dLbls>
        <c:axId val="443893232"/>
        <c:axId val="443893624"/>
        <c:extLst/>
      </c:scatterChart>
      <c:valAx>
        <c:axId val="443893232"/>
        <c:scaling>
          <c:orientation val="minMax"/>
          <c:max val="2.2000000000000002"/>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a:t>
                </a:r>
                <a:r>
                  <a:rPr lang="en-US" sz="1100" baseline="0"/>
                  <a:t> Value (Ratio)</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893624"/>
        <c:crosses val="autoZero"/>
        <c:crossBetween val="midCat"/>
      </c:valAx>
      <c:valAx>
        <c:axId val="443893624"/>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893232"/>
        <c:crosses val="autoZero"/>
        <c:crossBetween val="midCat"/>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Herbaceous Vegetation Cover</a:t>
            </a:r>
            <a:r>
              <a:rPr lang="en-US" baseline="0"/>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28084387367101"/>
          <c:y val="0.11383995627777838"/>
          <c:w val="0.80456466777792335"/>
          <c:h val="0.73757538467374906"/>
        </c:manualLayout>
      </c:layout>
      <c:scatterChart>
        <c:scatterStyle val="lineMarker"/>
        <c:varyColors val="0"/>
        <c:ser>
          <c:idx val="0"/>
          <c:order val="0"/>
          <c:tx>
            <c:strRef>
              <c:f>'Reference Curves'!$J$761</c:f>
              <c:strCache>
                <c:ptCount val="1"/>
                <c:pt idx="0">
                  <c:v>Herbaceous Reference Vegetation Cover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0825167809350311"/>
                  <c:y val="0.22040741807714695"/>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Curves'!$K$761:$P$761</c:f>
              <c:numCache>
                <c:formatCode>General</c:formatCode>
                <c:ptCount val="6"/>
                <c:pt idx="0">
                  <c:v>30</c:v>
                </c:pt>
                <c:pt idx="4">
                  <c:v>94</c:v>
                </c:pt>
                <c:pt idx="5">
                  <c:v>117</c:v>
                </c:pt>
              </c:numCache>
            </c:numRef>
          </c:xVal>
          <c:yVal>
            <c:numRef>
              <c:f>'Reference Curves'!$K$763:$P$763</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10D3-4C59-8971-E3636C93B379}"/>
            </c:ext>
          </c:extLst>
        </c:ser>
        <c:ser>
          <c:idx val="1"/>
          <c:order val="1"/>
          <c:tx>
            <c:strRef>
              <c:f>'Reference Curves'!$J$762</c:f>
              <c:strCache>
                <c:ptCount val="1"/>
                <c:pt idx="0">
                  <c:v>Forested or Scrub-Shrub Reference Vegetation Cover</c:v>
                </c:pt>
              </c:strCache>
            </c:strRef>
          </c:tx>
          <c:spPr>
            <a:ln w="25400" cap="rnd">
              <a:noFill/>
              <a:round/>
            </a:ln>
            <a:effectLst/>
          </c:spPr>
          <c:marker>
            <c:symbol val="circle"/>
            <c:size val="5"/>
            <c:spPr>
              <a:solidFill>
                <a:schemeClr val="accent2"/>
              </a:solidFill>
              <a:ln w="9525">
                <a:noFill/>
              </a:ln>
              <a:effectLst/>
            </c:spPr>
          </c:marker>
          <c:trendline>
            <c:spPr>
              <a:ln w="19050" cap="rnd">
                <a:solidFill>
                  <a:schemeClr val="accent2"/>
                </a:solidFill>
                <a:prstDash val="sysDot"/>
              </a:ln>
              <a:effectLst/>
            </c:spPr>
            <c:trendlineType val="linear"/>
            <c:intercept val="0"/>
            <c:dispRSqr val="0"/>
            <c:dispEq val="1"/>
            <c:trendlineLbl>
              <c:layout>
                <c:manualLayout>
                  <c:x val="-0.13057891729328774"/>
                  <c:y val="0.12922191505124897"/>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Curves'!$K$762:$P$762</c:f>
              <c:numCache>
                <c:formatCode>General</c:formatCode>
                <c:ptCount val="6"/>
                <c:pt idx="0">
                  <c:v>0</c:v>
                </c:pt>
                <c:pt idx="4">
                  <c:v>54</c:v>
                </c:pt>
                <c:pt idx="5">
                  <c:v>77</c:v>
                </c:pt>
              </c:numCache>
            </c:numRef>
          </c:xVal>
          <c:yVal>
            <c:numRef>
              <c:f>'Reference Curves'!$K$763:$P$763</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18DC-4DB2-8A54-80B9761BB235}"/>
            </c:ext>
          </c:extLst>
        </c:ser>
        <c:dLbls>
          <c:showLegendKey val="0"/>
          <c:showVal val="0"/>
          <c:showCatName val="0"/>
          <c:showSerName val="0"/>
          <c:showPercent val="0"/>
          <c:showBubbleSize val="0"/>
        </c:dLbls>
        <c:axId val="443886568"/>
        <c:axId val="443820440"/>
      </c:scatterChart>
      <c:valAx>
        <c:axId val="443886568"/>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20440"/>
        <c:crosses val="autoZero"/>
        <c:crossBetween val="midCat"/>
      </c:valAx>
      <c:valAx>
        <c:axId val="4438204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86568"/>
        <c:crosses val="autoZero"/>
        <c:crossBetween val="midCat"/>
      </c:valAx>
      <c:spPr>
        <a:noFill/>
        <a:ln>
          <a:noFill/>
        </a:ln>
        <a:effectLst/>
      </c:spPr>
    </c:plotArea>
    <c:legend>
      <c:legendPos val="r"/>
      <c:layout>
        <c:manualLayout>
          <c:xMode val="edge"/>
          <c:yMode val="edge"/>
          <c:x val="0.64536978477182305"/>
          <c:y val="0.6037789846438737"/>
          <c:w val="0.27024825890333182"/>
          <c:h val="0.23186970757535996"/>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Woody Vegetation Cover</a:t>
            </a:r>
            <a:r>
              <a:rPr lang="en-US" sz="1400" baseline="0"/>
              <a:t> (%) </a:t>
            </a:r>
          </a:p>
          <a:p>
            <a:pPr>
              <a:defRPr/>
            </a:pPr>
            <a:r>
              <a:rPr lang="en-US" sz="1400" baseline="0"/>
              <a:t>Mountains and Basins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488152952420112"/>
          <c:y val="0.13953577969898315"/>
          <c:w val="0.84596459290663495"/>
          <c:h val="0.73259244779879329"/>
        </c:manualLayout>
      </c:layout>
      <c:scatterChart>
        <c:scatterStyle val="lineMarker"/>
        <c:varyColors val="0"/>
        <c:ser>
          <c:idx val="0"/>
          <c:order val="0"/>
          <c:tx>
            <c:strRef>
              <c:f>'Reference Curves'!$J$696</c:f>
              <c:strCache>
                <c:ptCount val="1"/>
                <c:pt idx="0">
                  <c:v>Mountains &amp; Basins</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1"/>
                </a:solidFill>
                <a:prstDash val="sysDot"/>
              </a:ln>
              <a:effectLst/>
            </c:spPr>
            <c:trendlineType val="poly"/>
            <c:order val="3"/>
            <c:dispRSqr val="0"/>
            <c:dispEq val="1"/>
            <c:trendlineLbl>
              <c:layout>
                <c:manualLayout>
                  <c:x val="0.10544174680279271"/>
                  <c:y val="0.40906863876294125"/>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Curves'!$K$696:$P$696</c:f>
              <c:numCache>
                <c:formatCode>General</c:formatCode>
                <c:ptCount val="6"/>
                <c:pt idx="0">
                  <c:v>0</c:v>
                </c:pt>
                <c:pt idx="4">
                  <c:v>69</c:v>
                </c:pt>
                <c:pt idx="5">
                  <c:v>122</c:v>
                </c:pt>
              </c:numCache>
            </c:numRef>
          </c:xVal>
          <c:yVal>
            <c:numRef>
              <c:f>'Reference Curves'!$K$697:$P$697</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7CDC-4922-9C91-A89B7E2D2440}"/>
            </c:ext>
          </c:extLst>
        </c:ser>
        <c:dLbls>
          <c:showLegendKey val="0"/>
          <c:showVal val="0"/>
          <c:showCatName val="0"/>
          <c:showSerName val="0"/>
          <c:showPercent val="0"/>
          <c:showBubbleSize val="0"/>
        </c:dLbls>
        <c:axId val="443821224"/>
        <c:axId val="443823576"/>
      </c:scatterChart>
      <c:valAx>
        <c:axId val="443821224"/>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23576"/>
        <c:crosses val="autoZero"/>
        <c:crossBetween val="midCat"/>
      </c:valAx>
      <c:valAx>
        <c:axId val="44382357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212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Functional Category -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5"/>
          <c:order val="0"/>
          <c:tx>
            <c:strRef>
              <c:f>'Data Summary'!$A$23</c:f>
              <c:strCache>
                <c:ptCount val="1"/>
                <c:pt idx="0">
                  <c:v>Reach Hydrology &amp; Hydraulics</c:v>
                </c:pt>
              </c:strCache>
            </c:strRef>
          </c:tx>
          <c:spPr>
            <a:ln w="19050" cap="rnd">
              <a:solidFill>
                <a:srgbClr val="00B0F0"/>
              </a:solidFill>
              <a:prstDash val="dash"/>
              <a:round/>
            </a:ln>
            <a:effectLst/>
          </c:spPr>
          <c:marker>
            <c:symbol val="none"/>
          </c:marker>
          <c:xVal>
            <c:strRef>
              <c:f>'Data Summary'!$F$22:$O$22</c:f>
              <c:strCache>
                <c:ptCount val="10"/>
                <c:pt idx="0">
                  <c:v>#N/A</c:v>
                </c:pt>
                <c:pt idx="1">
                  <c:v>#N/A</c:v>
                </c:pt>
                <c:pt idx="2">
                  <c:v>#N/A</c:v>
                </c:pt>
                <c:pt idx="3">
                  <c:v>#N/A</c:v>
                </c:pt>
                <c:pt idx="4">
                  <c:v>#N/A</c:v>
                </c:pt>
                <c:pt idx="5">
                  <c:v>#N/A</c:v>
                </c:pt>
                <c:pt idx="6">
                  <c:v>#N/A</c:v>
                </c:pt>
                <c:pt idx="7">
                  <c:v>#N/A</c:v>
                </c:pt>
                <c:pt idx="8">
                  <c:v>#N/A</c:v>
                </c:pt>
                <c:pt idx="9">
                  <c:v>#N/A</c:v>
                </c:pt>
              </c:strCache>
            </c:strRef>
          </c:xVal>
          <c:yVal>
            <c:numRef>
              <c:f>'Data Summary'!$F$23:$O$23</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1-53E5-43F6-935D-28E090B64FB7}"/>
            </c:ext>
          </c:extLst>
        </c:ser>
        <c:ser>
          <c:idx val="4"/>
          <c:order val="1"/>
          <c:tx>
            <c:strRef>
              <c:f>'Data Summary'!$A$24:$B$24</c:f>
              <c:strCache>
                <c:ptCount val="2"/>
                <c:pt idx="0">
                  <c:v>Geomorphology</c:v>
                </c:pt>
              </c:strCache>
            </c:strRef>
          </c:tx>
          <c:spPr>
            <a:ln w="19050" cap="rnd">
              <a:solidFill>
                <a:schemeClr val="accent2"/>
              </a:solidFill>
              <a:prstDash val="dash"/>
              <a:round/>
            </a:ln>
            <a:effectLst/>
          </c:spPr>
          <c:marker>
            <c:symbol val="none"/>
          </c:marker>
          <c:xVal>
            <c:strRef>
              <c:f>'Data Summary'!$F$22:$O$22</c:f>
              <c:strCache>
                <c:ptCount val="10"/>
                <c:pt idx="0">
                  <c:v>#N/A</c:v>
                </c:pt>
                <c:pt idx="1">
                  <c:v>#N/A</c:v>
                </c:pt>
                <c:pt idx="2">
                  <c:v>#N/A</c:v>
                </c:pt>
                <c:pt idx="3">
                  <c:v>#N/A</c:v>
                </c:pt>
                <c:pt idx="4">
                  <c:v>#N/A</c:v>
                </c:pt>
                <c:pt idx="5">
                  <c:v>#N/A</c:v>
                </c:pt>
                <c:pt idx="6">
                  <c:v>#N/A</c:v>
                </c:pt>
                <c:pt idx="7">
                  <c:v>#N/A</c:v>
                </c:pt>
                <c:pt idx="8">
                  <c:v>#N/A</c:v>
                </c:pt>
                <c:pt idx="9">
                  <c:v>#N/A</c:v>
                </c:pt>
              </c:strCache>
            </c:strRef>
          </c:xVal>
          <c:yVal>
            <c:numRef>
              <c:f>'Data Summary'!$F$24:$O$24</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53E5-43F6-935D-28E090B64FB7}"/>
            </c:ext>
          </c:extLst>
        </c:ser>
        <c:ser>
          <c:idx val="7"/>
          <c:order val="2"/>
          <c:tx>
            <c:strRef>
              <c:f>'Data Summary'!$A$25</c:f>
              <c:strCache>
                <c:ptCount val="1"/>
                <c:pt idx="0">
                  <c:v>Physicochemical</c:v>
                </c:pt>
              </c:strCache>
            </c:strRef>
          </c:tx>
          <c:spPr>
            <a:ln w="19050" cap="rnd">
              <a:solidFill>
                <a:schemeClr val="accent4"/>
              </a:solidFill>
              <a:prstDash val="dash"/>
              <a:round/>
            </a:ln>
            <a:effectLst/>
          </c:spPr>
          <c:marker>
            <c:symbol val="none"/>
          </c:marker>
          <c:xVal>
            <c:strRef>
              <c:f>'Data Summary'!$F$22:$O$22</c:f>
              <c:strCache>
                <c:ptCount val="10"/>
                <c:pt idx="0">
                  <c:v>#N/A</c:v>
                </c:pt>
                <c:pt idx="1">
                  <c:v>#N/A</c:v>
                </c:pt>
                <c:pt idx="2">
                  <c:v>#N/A</c:v>
                </c:pt>
                <c:pt idx="3">
                  <c:v>#N/A</c:v>
                </c:pt>
                <c:pt idx="4">
                  <c:v>#N/A</c:v>
                </c:pt>
                <c:pt idx="5">
                  <c:v>#N/A</c:v>
                </c:pt>
                <c:pt idx="6">
                  <c:v>#N/A</c:v>
                </c:pt>
                <c:pt idx="7">
                  <c:v>#N/A</c:v>
                </c:pt>
                <c:pt idx="8">
                  <c:v>#N/A</c:v>
                </c:pt>
                <c:pt idx="9">
                  <c:v>#N/A</c:v>
                </c:pt>
              </c:strCache>
            </c:strRef>
          </c:xVal>
          <c:yVal>
            <c:numRef>
              <c:f>'Data Summary'!$F$25:$O$25</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3-53E5-43F6-935D-28E090B64FB7}"/>
            </c:ext>
          </c:extLst>
        </c:ser>
        <c:ser>
          <c:idx val="1"/>
          <c:order val="3"/>
          <c:tx>
            <c:strRef>
              <c:f>'Data Summary'!$A$26:$B$26</c:f>
              <c:strCache>
                <c:ptCount val="2"/>
                <c:pt idx="0">
                  <c:v>Biology</c:v>
                </c:pt>
              </c:strCache>
            </c:strRef>
          </c:tx>
          <c:spPr>
            <a:ln w="19050" cap="rnd">
              <a:solidFill>
                <a:srgbClr val="92D050"/>
              </a:solidFill>
              <a:prstDash val="dash"/>
              <a:round/>
            </a:ln>
            <a:effectLst/>
          </c:spPr>
          <c:marker>
            <c:symbol val="none"/>
          </c:marker>
          <c:xVal>
            <c:strRef>
              <c:f>'Data Summary'!$F$22:$O$22</c:f>
              <c:strCache>
                <c:ptCount val="10"/>
                <c:pt idx="0">
                  <c:v>#N/A</c:v>
                </c:pt>
                <c:pt idx="1">
                  <c:v>#N/A</c:v>
                </c:pt>
                <c:pt idx="2">
                  <c:v>#N/A</c:v>
                </c:pt>
                <c:pt idx="3">
                  <c:v>#N/A</c:v>
                </c:pt>
                <c:pt idx="4">
                  <c:v>#N/A</c:v>
                </c:pt>
                <c:pt idx="5">
                  <c:v>#N/A</c:v>
                </c:pt>
                <c:pt idx="6">
                  <c:v>#N/A</c:v>
                </c:pt>
                <c:pt idx="7">
                  <c:v>#N/A</c:v>
                </c:pt>
                <c:pt idx="8">
                  <c:v>#N/A</c:v>
                </c:pt>
                <c:pt idx="9">
                  <c:v>#N/A</c:v>
                </c:pt>
              </c:strCache>
            </c:strRef>
          </c:xVal>
          <c:yVal>
            <c:numRef>
              <c:f>'Data Summary'!$F$26:$O$26</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5-53E5-43F6-935D-28E090B64FB7}"/>
            </c:ext>
          </c:extLst>
        </c:ser>
        <c:ser>
          <c:idx val="0"/>
          <c:order val="4"/>
          <c:tx>
            <c:v>Monitoring Data</c:v>
          </c:tx>
          <c:spPr>
            <a:ln w="28575" cap="rnd">
              <a:solidFill>
                <a:schemeClr val="tx1"/>
              </a:solidFill>
              <a:round/>
            </a:ln>
            <a:effectLst/>
          </c:spPr>
          <c:marker>
            <c:symbol val="none"/>
          </c:marker>
          <c:xVal>
            <c:strRef>
              <c:f>'Data Summary'!$F$22:$O$22</c:f>
              <c:strCache>
                <c:ptCount val="10"/>
                <c:pt idx="0">
                  <c:v>#N/A</c:v>
                </c:pt>
                <c:pt idx="1">
                  <c:v>#N/A</c:v>
                </c:pt>
                <c:pt idx="2">
                  <c:v>#N/A</c:v>
                </c:pt>
                <c:pt idx="3">
                  <c:v>#N/A</c:v>
                </c:pt>
                <c:pt idx="4">
                  <c:v>#N/A</c:v>
                </c:pt>
                <c:pt idx="5">
                  <c:v>#N/A</c:v>
                </c:pt>
                <c:pt idx="6">
                  <c:v>#N/A</c:v>
                </c:pt>
                <c:pt idx="7">
                  <c:v>#N/A</c:v>
                </c:pt>
                <c:pt idx="8">
                  <c:v>#N/A</c:v>
                </c:pt>
                <c:pt idx="9">
                  <c:v>#N/A</c:v>
                </c:pt>
              </c:strCache>
            </c:strRef>
          </c:xVal>
          <c:yVal>
            <c:numRef>
              <c:f>'Data Summary'!$F$27:$O$27</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4-53E5-43F6-935D-28E090B64FB7}"/>
            </c:ext>
          </c:extLst>
        </c:ser>
        <c:dLbls>
          <c:showLegendKey val="0"/>
          <c:showVal val="0"/>
          <c:showCatName val="0"/>
          <c:showSerName val="0"/>
          <c:showPercent val="0"/>
          <c:showBubbleSize val="0"/>
        </c:dLbls>
        <c:axId val="419252376"/>
        <c:axId val="419253160"/>
      </c:scatterChart>
      <c:valAx>
        <c:axId val="419252376"/>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53160"/>
        <c:crosses val="autoZero"/>
        <c:crossBetween val="midCat"/>
      </c:valAx>
      <c:valAx>
        <c:axId val="41925316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1925237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 of LWD </a:t>
            </a:r>
            <a:r>
              <a:rPr lang="en-US" baseline="0"/>
              <a:t>Pieces / 100 Meters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6704454114581895E-2"/>
          <c:y val="0.11420882693026213"/>
          <c:w val="0.85243221218007825"/>
          <c:h val="0.75293799341135759"/>
        </c:manualLayout>
      </c:layout>
      <c:scatterChart>
        <c:scatterStyle val="lineMarker"/>
        <c:varyColors val="0"/>
        <c:ser>
          <c:idx val="0"/>
          <c:order val="0"/>
          <c:tx>
            <c:strRef>
              <c:f>'Reference Curves'!$K$45</c:f>
              <c:strCache>
                <c:ptCount val="1"/>
                <c:pt idx="0">
                  <c:v>NF/FAR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0.22107202955992905"/>
                  <c:y val="0.2349470574383119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Curves'!$K$42:$O$42</c:f>
              <c:numCache>
                <c:formatCode>General</c:formatCode>
                <c:ptCount val="5"/>
                <c:pt idx="0">
                  <c:v>0</c:v>
                </c:pt>
                <c:pt idx="4">
                  <c:v>13</c:v>
                </c:pt>
              </c:numCache>
            </c:numRef>
          </c:xVal>
          <c:yVal>
            <c:numRef>
              <c:f>'Reference Curves'!$K$43:$O$43</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87EE-4953-ABFC-8573E61609C8}"/>
            </c:ext>
          </c:extLst>
        </c:ser>
        <c:ser>
          <c:idx val="1"/>
          <c:order val="1"/>
          <c:tx>
            <c:strRef>
              <c:f>'Reference Curves'!$L$45</c:f>
              <c:strCache>
                <c:ptCount val="1"/>
                <c:pt idx="0">
                  <c:v>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8.1758207761892035E-2"/>
                  <c:y val="-4.0125508286610143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Curves'!$O$42:$P$42</c:f>
              <c:numCache>
                <c:formatCode>General</c:formatCode>
                <c:ptCount val="2"/>
                <c:pt idx="0">
                  <c:v>13</c:v>
                </c:pt>
                <c:pt idx="1">
                  <c:v>28</c:v>
                </c:pt>
              </c:numCache>
            </c:numRef>
          </c:xVal>
          <c:yVal>
            <c:numRef>
              <c:f>'Reference Curves'!$O$43:$P$43</c:f>
              <c:numCache>
                <c:formatCode>General</c:formatCode>
                <c:ptCount val="2"/>
                <c:pt idx="0">
                  <c:v>0.7</c:v>
                </c:pt>
                <c:pt idx="1">
                  <c:v>1</c:v>
                </c:pt>
              </c:numCache>
            </c:numRef>
          </c:yVal>
          <c:smooth val="0"/>
          <c:extLst>
            <c:ext xmlns:c16="http://schemas.microsoft.com/office/drawing/2014/chart" uri="{C3380CC4-5D6E-409C-BE32-E72D297353CC}">
              <c16:uniqueId val="{00000003-87EE-4953-ABFC-8573E61609C8}"/>
            </c:ext>
          </c:extLst>
        </c:ser>
        <c:dLbls>
          <c:showLegendKey val="0"/>
          <c:showVal val="0"/>
          <c:showCatName val="0"/>
          <c:showSerName val="0"/>
          <c:showPercent val="0"/>
          <c:showBubbleSize val="0"/>
        </c:dLbls>
        <c:axId val="443819656"/>
        <c:axId val="443819264"/>
      </c:scatterChart>
      <c:valAx>
        <c:axId val="443819656"/>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a:t>
                </a:r>
                <a:r>
                  <a:rPr lang="en-US" sz="1100" baseline="0"/>
                  <a:t> Value (Pieces per 100 m)</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819264"/>
        <c:crosses val="autoZero"/>
        <c:crossBetween val="midCat"/>
      </c:valAx>
      <c:valAx>
        <c:axId val="443819264"/>
        <c:scaling>
          <c:orientation val="minMax"/>
          <c:max val="1.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8196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Bed</a:t>
            </a:r>
            <a:r>
              <a:rPr lang="en-US" baseline="0"/>
              <a:t> Material Characterization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063505165107918"/>
          <c:y val="9.5665548030281988E-2"/>
          <c:w val="0.84451230561846091"/>
          <c:h val="0.78980582682014"/>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1934860365603056"/>
                  <c:y val="8.3089081834286094E-2"/>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Curves'!$K$173:$O$173</c:f>
              <c:numCache>
                <c:formatCode>General</c:formatCode>
                <c:ptCount val="5"/>
                <c:pt idx="0">
                  <c:v>0.01</c:v>
                </c:pt>
                <c:pt idx="1">
                  <c:v>0.05</c:v>
                </c:pt>
                <c:pt idx="3">
                  <c:v>0.1</c:v>
                </c:pt>
              </c:numCache>
            </c:numRef>
          </c:xVal>
          <c:yVal>
            <c:numRef>
              <c:f>'Reference Curves'!$K$174:$O$174</c:f>
              <c:numCache>
                <c:formatCode>General</c:formatCode>
                <c:ptCount val="5"/>
                <c:pt idx="0">
                  <c:v>0</c:v>
                </c:pt>
                <c:pt idx="1">
                  <c:v>0.28999999999999998</c:v>
                </c:pt>
                <c:pt idx="2">
                  <c:v>0.3</c:v>
                </c:pt>
                <c:pt idx="3" formatCode="0.00">
                  <c:v>0.65200000000000002</c:v>
                </c:pt>
                <c:pt idx="4">
                  <c:v>0.7</c:v>
                </c:pt>
              </c:numCache>
            </c:numRef>
          </c:yVal>
          <c:smooth val="0"/>
          <c:extLst>
            <c:ext xmlns:c16="http://schemas.microsoft.com/office/drawing/2014/chart" uri="{C3380CC4-5D6E-409C-BE32-E72D297353CC}">
              <c16:uniqueId val="{00000001-C2FC-48C4-8C75-FA129180E940}"/>
            </c:ext>
          </c:extLst>
        </c:ser>
        <c:ser>
          <c:idx val="1"/>
          <c:order val="1"/>
          <c:spPr>
            <a:ln w="25400" cap="rnd">
              <a:solidFill>
                <a:srgbClr val="FF0000"/>
              </a:solidFill>
              <a:round/>
            </a:ln>
            <a:effectLst/>
          </c:spPr>
          <c:marker>
            <c:symbol val="none"/>
          </c:marker>
          <c:xVal>
            <c:numLit>
              <c:formatCode>General</c:formatCode>
              <c:ptCount val="2"/>
              <c:pt idx="0">
                <c:v>0.10100000000000001</c:v>
              </c:pt>
              <c:pt idx="1">
                <c:v>0.12</c:v>
              </c:pt>
            </c:numLit>
          </c:xVal>
          <c:yVal>
            <c:numLit>
              <c:formatCode>General</c:formatCode>
              <c:ptCount val="2"/>
              <c:pt idx="0">
                <c:v>1</c:v>
              </c:pt>
              <c:pt idx="1">
                <c:v>1</c:v>
              </c:pt>
            </c:numLit>
          </c:yVal>
          <c:smooth val="0"/>
          <c:extLst>
            <c:ext xmlns:c16="http://schemas.microsoft.com/office/drawing/2014/chart" uri="{C3380CC4-5D6E-409C-BE32-E72D297353CC}">
              <c16:uniqueId val="{00000002-C2FC-48C4-8C75-FA129180E940}"/>
            </c:ext>
          </c:extLst>
        </c:ser>
        <c:dLbls>
          <c:showLegendKey val="0"/>
          <c:showVal val="0"/>
          <c:showCatName val="0"/>
          <c:showSerName val="0"/>
          <c:showPercent val="0"/>
          <c:showBubbleSize val="0"/>
        </c:dLbls>
        <c:axId val="443823968"/>
        <c:axId val="443824360"/>
      </c:scatterChart>
      <c:valAx>
        <c:axId val="443823968"/>
        <c:scaling>
          <c:orientation val="minMax"/>
          <c:max val="0.120000000000000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(p-value)</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824360"/>
        <c:crosses val="autoZero"/>
        <c:crossBetween val="midCat"/>
      </c:valAx>
      <c:valAx>
        <c:axId val="4438243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8239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Greenline</a:t>
            </a:r>
            <a:r>
              <a:rPr lang="en-US" sz="1600" baseline="0"/>
              <a:t> Stability Rating</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0.17365394150588354"/>
                  <c:y val="8.1609108219992899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Curves'!$K$77:$P$77</c:f>
              <c:numCache>
                <c:formatCode>General</c:formatCode>
                <c:ptCount val="6"/>
                <c:pt idx="0">
                  <c:v>2</c:v>
                </c:pt>
                <c:pt idx="2">
                  <c:v>5</c:v>
                </c:pt>
                <c:pt idx="4">
                  <c:v>7</c:v>
                </c:pt>
                <c:pt idx="5">
                  <c:v>9</c:v>
                </c:pt>
              </c:numCache>
            </c:numRef>
          </c:xVal>
          <c:yVal>
            <c:numRef>
              <c:f>'Reference Curves'!$K$78:$P$78</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D27E-4F7D-9FC4-79B9E1465D8E}"/>
            </c:ext>
          </c:extLst>
        </c:ser>
        <c:dLbls>
          <c:showLegendKey val="0"/>
          <c:showVal val="0"/>
          <c:showCatName val="0"/>
          <c:showSerName val="0"/>
          <c:showPercent val="0"/>
          <c:showBubbleSize val="0"/>
        </c:dLbls>
        <c:axId val="443818480"/>
        <c:axId val="443818872"/>
      </c:scatterChart>
      <c:valAx>
        <c:axId val="443818480"/>
        <c:scaling>
          <c:orientation val="minMax"/>
          <c:max val="1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(Stability Rating)</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18872"/>
        <c:crosses val="autoZero"/>
        <c:crossBetween val="midCat"/>
      </c:valAx>
      <c:valAx>
        <c:axId val="44381887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18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WSII Plot 4: Sedimentary Mountains</a:t>
            </a:r>
            <a:r>
              <a:rPr lang="en-US" baseline="0"/>
              <a:t> and</a:t>
            </a:r>
            <a:r>
              <a:rPr lang="en-US"/>
              <a:t> Bighorn Basin Foothills</a:t>
            </a:r>
          </a:p>
        </c:rich>
      </c:tx>
      <c:layout>
        <c:manualLayout>
          <c:xMode val="edge"/>
          <c:yMode val="edge"/>
          <c:x val="4.7380201545914866E-2"/>
          <c:y val="2.19008480885274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351195696524296E-2"/>
          <c:y val="0.11567234367118853"/>
          <c:w val="0.52697791748544953"/>
          <c:h val="0.75384741029013158"/>
        </c:manualLayout>
      </c:layout>
      <c:scatterChart>
        <c:scatterStyle val="lineMarker"/>
        <c:varyColors val="0"/>
        <c:ser>
          <c:idx val="1"/>
          <c:order val="0"/>
          <c:tx>
            <c:strRef>
              <c:f>'Reference Curves'!$AB$124:$AB$124</c:f>
              <c:strCache>
                <c:ptCount val="1"/>
                <c:pt idx="0">
                  <c:v>Sedimentary Mountains</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0.19375317091610875"/>
                  <c:y val="0.1396989229612393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Curves'!$AB$120:$AG$120</c:f>
              <c:numCache>
                <c:formatCode>General</c:formatCode>
                <c:ptCount val="6"/>
                <c:pt idx="0">
                  <c:v>16.600000000000001</c:v>
                </c:pt>
                <c:pt idx="2">
                  <c:v>34.799999999999997</c:v>
                </c:pt>
                <c:pt idx="4">
                  <c:v>52.3</c:v>
                </c:pt>
                <c:pt idx="5" formatCode="0.00">
                  <c:v>70.8</c:v>
                </c:pt>
              </c:numCache>
            </c:numRef>
          </c:xVal>
          <c:yVal>
            <c:numRef>
              <c:f>'Reference Curves'!$AB$122:$AG$122</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3-F21F-4B72-A146-9218DC5B9A5E}"/>
            </c:ext>
          </c:extLst>
        </c:ser>
        <c:ser>
          <c:idx val="4"/>
          <c:order val="1"/>
          <c:tx>
            <c:v>Bighorn Basin Foothills - NF</c:v>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12503496397710348"/>
                  <c:y val="0.121296627099178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Curves'!$AB$121:$AD$121</c:f>
              <c:numCache>
                <c:formatCode>General</c:formatCode>
                <c:ptCount val="3"/>
                <c:pt idx="0">
                  <c:v>3.9</c:v>
                </c:pt>
                <c:pt idx="2">
                  <c:v>40.6</c:v>
                </c:pt>
              </c:numCache>
            </c:numRef>
          </c:xVal>
          <c:yVal>
            <c:numRef>
              <c:f>'Reference Curves'!$AB$122:$AD$122</c:f>
              <c:numCache>
                <c:formatCode>General</c:formatCode>
                <c:ptCount val="3"/>
                <c:pt idx="0">
                  <c:v>0</c:v>
                </c:pt>
                <c:pt idx="1">
                  <c:v>0.28999999999999998</c:v>
                </c:pt>
                <c:pt idx="2">
                  <c:v>0.3</c:v>
                </c:pt>
              </c:numCache>
            </c:numRef>
          </c:yVal>
          <c:smooth val="0"/>
          <c:extLst>
            <c:ext xmlns:c16="http://schemas.microsoft.com/office/drawing/2014/chart" uri="{C3380CC4-5D6E-409C-BE32-E72D297353CC}">
              <c16:uniqueId val="{00000005-F21F-4B72-A146-9218DC5B9A5E}"/>
            </c:ext>
          </c:extLst>
        </c:ser>
        <c:ser>
          <c:idx val="5"/>
          <c:order val="2"/>
          <c:tx>
            <c:v>Bighorn Basin Foothills - FAR &amp; 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6"/>
                </a:solidFill>
                <a:prstDash val="sysDot"/>
              </a:ln>
              <a:effectLst/>
            </c:spPr>
            <c:trendlineType val="linear"/>
            <c:dispRSqr val="1"/>
            <c:dispEq val="1"/>
            <c:trendlineLbl>
              <c:layout>
                <c:manualLayout>
                  <c:x val="7.5962340287534444E-2"/>
                  <c:y val="0.2584762090031312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Curves'!$AD$121:$AG$121</c:f>
              <c:numCache>
                <c:formatCode>General</c:formatCode>
                <c:ptCount val="4"/>
                <c:pt idx="0">
                  <c:v>40.6</c:v>
                </c:pt>
                <c:pt idx="2">
                  <c:v>60.9</c:v>
                </c:pt>
                <c:pt idx="3">
                  <c:v>80.8</c:v>
                </c:pt>
              </c:numCache>
            </c:numRef>
          </c:xVal>
          <c:yVal>
            <c:numRef>
              <c:f>'Reference Curves'!$AD$122:$AG$122</c:f>
              <c:numCache>
                <c:formatCode>General</c:formatCode>
                <c:ptCount val="4"/>
                <c:pt idx="0">
                  <c:v>0.3</c:v>
                </c:pt>
                <c:pt idx="1">
                  <c:v>0.69</c:v>
                </c:pt>
                <c:pt idx="2">
                  <c:v>0.7</c:v>
                </c:pt>
                <c:pt idx="3">
                  <c:v>1</c:v>
                </c:pt>
              </c:numCache>
            </c:numRef>
          </c:yVal>
          <c:smooth val="0"/>
          <c:extLst>
            <c:ext xmlns:c16="http://schemas.microsoft.com/office/drawing/2014/chart" uri="{C3380CC4-5D6E-409C-BE32-E72D297353CC}">
              <c16:uniqueId val="{00000007-F21F-4B72-A146-9218DC5B9A5E}"/>
            </c:ext>
          </c:extLst>
        </c:ser>
        <c:dLbls>
          <c:showLegendKey val="0"/>
          <c:showVal val="0"/>
          <c:showCatName val="0"/>
          <c:showSerName val="0"/>
          <c:showPercent val="0"/>
          <c:showBubbleSize val="0"/>
        </c:dLbls>
        <c:axId val="443218704"/>
        <c:axId val="443219096"/>
      </c:scatterChart>
      <c:valAx>
        <c:axId val="4432187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(Index Score)</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219096"/>
        <c:crosses val="autoZero"/>
        <c:crossBetween val="midCat"/>
      </c:valAx>
      <c:valAx>
        <c:axId val="44321909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218704"/>
        <c:crosses val="autoZero"/>
        <c:crossBetween val="midCat"/>
      </c:valAx>
      <c:spPr>
        <a:noFill/>
        <a:ln>
          <a:noFill/>
        </a:ln>
        <a:effectLst/>
      </c:spPr>
    </c:plotArea>
    <c:legend>
      <c:legendPos val="r"/>
      <c:layout>
        <c:manualLayout>
          <c:xMode val="edge"/>
          <c:yMode val="edge"/>
          <c:x val="0.61691603391754168"/>
          <c:y val="0.35321010410008991"/>
          <c:w val="0.37244274942053063"/>
          <c:h val="0.2460417706097628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Sinuosity</a:t>
            </a:r>
            <a:r>
              <a:rPr lang="en-US" sz="1600" baseline="0"/>
              <a:t> for Colluvial/V-Shaped Valleys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9942055822278257"/>
                  <c:y val="0.1192110725441549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Curves'!$K$631:$N$631</c:f>
              <c:numCache>
                <c:formatCode>General</c:formatCode>
                <c:ptCount val="4"/>
                <c:pt idx="2">
                  <c:v>1</c:v>
                </c:pt>
                <c:pt idx="3">
                  <c:v>1.0900000000000001</c:v>
                </c:pt>
              </c:numCache>
            </c:numRef>
          </c:xVal>
          <c:yVal>
            <c:numRef>
              <c:f>'Reference Curves'!$K$633:$N$633</c:f>
              <c:numCache>
                <c:formatCode>General</c:formatCode>
                <c:ptCount val="4"/>
                <c:pt idx="0">
                  <c:v>0</c:v>
                </c:pt>
                <c:pt idx="1">
                  <c:v>0.28999999999999998</c:v>
                </c:pt>
                <c:pt idx="2">
                  <c:v>0.3</c:v>
                </c:pt>
                <c:pt idx="3">
                  <c:v>0.69</c:v>
                </c:pt>
              </c:numCache>
            </c:numRef>
          </c:yVal>
          <c:smooth val="0"/>
          <c:extLst>
            <c:ext xmlns:c16="http://schemas.microsoft.com/office/drawing/2014/chart" uri="{C3380CC4-5D6E-409C-BE32-E72D297353CC}">
              <c16:uniqueId val="{00000001-280D-4C47-949C-2E71E8DBBA5F}"/>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6.6000000000000017E-2"/>
            <c:dispRSqr val="0"/>
            <c:dispEq val="1"/>
            <c:trendlineLbl>
              <c:layout>
                <c:manualLayout>
                  <c:x val="0.19467864761272238"/>
                  <c:y val="-0.1827739838057383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Curves'!$K$632:$N$632</c:f>
              <c:numCache>
                <c:formatCode>General</c:formatCode>
                <c:ptCount val="4"/>
                <c:pt idx="2">
                  <c:v>1.4</c:v>
                </c:pt>
                <c:pt idx="3">
                  <c:v>1.31</c:v>
                </c:pt>
              </c:numCache>
            </c:numRef>
          </c:xVal>
          <c:yVal>
            <c:numRef>
              <c:f>'Reference Curves'!$K$633:$N$633</c:f>
              <c:numCache>
                <c:formatCode>General</c:formatCode>
                <c:ptCount val="4"/>
                <c:pt idx="0">
                  <c:v>0</c:v>
                </c:pt>
                <c:pt idx="1">
                  <c:v>0.28999999999999998</c:v>
                </c:pt>
                <c:pt idx="2">
                  <c:v>0.3</c:v>
                </c:pt>
                <c:pt idx="3">
                  <c:v>0.69</c:v>
                </c:pt>
              </c:numCache>
            </c:numRef>
          </c:yVal>
          <c:smooth val="0"/>
          <c:extLst>
            <c:ext xmlns:c16="http://schemas.microsoft.com/office/drawing/2014/chart" uri="{C3380CC4-5D6E-409C-BE32-E72D297353CC}">
              <c16:uniqueId val="{00000003-280D-4C47-949C-2E71E8DBBA5F}"/>
            </c:ext>
          </c:extLst>
        </c:ser>
        <c:ser>
          <c:idx val="4"/>
          <c:order val="2"/>
          <c:tx>
            <c:v>Crest</c:v>
          </c:tx>
          <c:spPr>
            <a:ln w="25400" cap="rnd">
              <a:solidFill>
                <a:sysClr val="windowText" lastClr="000000"/>
              </a:solidFill>
              <a:prstDash val="dash"/>
              <a:round/>
            </a:ln>
            <a:effectLst/>
          </c:spPr>
          <c:marker>
            <c:symbol val="none"/>
          </c:marker>
          <c:xVal>
            <c:numRef>
              <c:f>'Reference Curves'!$P$631:$P$632</c:f>
              <c:numCache>
                <c:formatCode>General</c:formatCode>
                <c:ptCount val="2"/>
                <c:pt idx="0">
                  <c:v>1.1000000000000001</c:v>
                </c:pt>
                <c:pt idx="1">
                  <c:v>1.3</c:v>
                </c:pt>
              </c:numCache>
            </c:numRef>
          </c:xVal>
          <c:yVal>
            <c:numLit>
              <c:formatCode>General</c:formatCode>
              <c:ptCount val="2"/>
              <c:pt idx="0">
                <c:v>1</c:v>
              </c:pt>
              <c:pt idx="1">
                <c:v>1</c:v>
              </c:pt>
            </c:numLit>
          </c:yVal>
          <c:smooth val="0"/>
          <c:extLst>
            <c:ext xmlns:c16="http://schemas.microsoft.com/office/drawing/2014/chart" uri="{C3380CC4-5D6E-409C-BE32-E72D297353CC}">
              <c16:uniqueId val="{00000006-280D-4C47-949C-2E71E8DBBA5F}"/>
            </c:ext>
          </c:extLst>
        </c:ser>
        <c:dLbls>
          <c:showLegendKey val="0"/>
          <c:showVal val="0"/>
          <c:showCatName val="0"/>
          <c:showSerName val="0"/>
          <c:showPercent val="0"/>
          <c:showBubbleSize val="0"/>
        </c:dLbls>
        <c:axId val="441609264"/>
        <c:axId val="441609656"/>
      </c:scatterChart>
      <c:valAx>
        <c:axId val="441609264"/>
        <c:scaling>
          <c:orientation val="minMax"/>
          <c:max val="1.6"/>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r>
                  <a:rPr lang="en-US" sz="1100" b="0" i="0" u="none" strike="noStrike" baseline="0">
                    <a:effectLst/>
                  </a:rPr>
                  <a:t>(K)</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09656"/>
        <c:crosses val="autoZero"/>
        <c:crossBetween val="midCat"/>
      </c:valAx>
      <c:valAx>
        <c:axId val="44160965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16092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Woody Vegetation Cover</a:t>
            </a:r>
            <a:r>
              <a:rPr lang="en-US" sz="1400" baseline="0"/>
              <a:t> (%) </a:t>
            </a:r>
          </a:p>
          <a:p>
            <a:pPr>
              <a:defRPr/>
            </a:pPr>
            <a:r>
              <a:rPr lang="en-US" sz="1400" baseline="0"/>
              <a:t>Plains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488152952420112"/>
          <c:y val="0.13953577969898315"/>
          <c:w val="0.84596459290663495"/>
          <c:h val="0.73259244779879329"/>
        </c:manualLayout>
      </c:layout>
      <c:scatterChart>
        <c:scatterStyle val="lineMarker"/>
        <c:varyColors val="0"/>
        <c:ser>
          <c:idx val="0"/>
          <c:order val="0"/>
          <c:tx>
            <c:v>Plains - 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9.7374876146293352E-2"/>
                  <c:y val="0.13104261984834967"/>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Curves'!$K$729:$P$729</c:f>
              <c:numCache>
                <c:formatCode>0</c:formatCode>
                <c:ptCount val="6"/>
                <c:pt idx="0">
                  <c:v>0</c:v>
                </c:pt>
                <c:pt idx="5">
                  <c:v>59</c:v>
                </c:pt>
              </c:numCache>
            </c:numRef>
          </c:xVal>
          <c:yVal>
            <c:numRef>
              <c:f>'Reference Curves'!$K$731:$P$731</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3992-4638-8CCB-E5B1E32B562F}"/>
            </c:ext>
          </c:extLst>
        </c:ser>
        <c:ser>
          <c:idx val="1"/>
          <c:order val="1"/>
          <c:tx>
            <c:v>Plains - 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forward val="13"/>
            <c:dispRSqr val="0"/>
            <c:dispEq val="1"/>
            <c:trendlineLbl>
              <c:layout>
                <c:manualLayout>
                  <c:x val="2.68992498264959E-2"/>
                  <c:y val="-0.5076777152657771"/>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Curves'!$K$730:$P$730</c:f>
              <c:numCache>
                <c:formatCode>0</c:formatCode>
                <c:ptCount val="6"/>
                <c:pt idx="2">
                  <c:v>101</c:v>
                </c:pt>
                <c:pt idx="5">
                  <c:v>69</c:v>
                </c:pt>
              </c:numCache>
            </c:numRef>
          </c:xVal>
          <c:yVal>
            <c:numRef>
              <c:f>'Reference Curves'!$K$731:$P$731</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3-3992-4638-8CCB-E5B1E32B562F}"/>
            </c:ext>
          </c:extLst>
        </c:ser>
        <c:ser>
          <c:idx val="2"/>
          <c:order val="2"/>
          <c:tx>
            <c:v>Crest</c:v>
          </c:tx>
          <c:spPr>
            <a:ln w="31750" cap="rnd">
              <a:solidFill>
                <a:schemeClr val="tx1"/>
              </a:solidFill>
              <a:prstDash val="sysDash"/>
              <a:round/>
            </a:ln>
            <a:effectLst/>
          </c:spPr>
          <c:marker>
            <c:symbol val="none"/>
          </c:marker>
          <c:xVal>
            <c:numRef>
              <c:f>'Reference Curves'!$P$729:$P$730</c:f>
              <c:numCache>
                <c:formatCode>0</c:formatCode>
                <c:ptCount val="2"/>
                <c:pt idx="0">
                  <c:v>59</c:v>
                </c:pt>
                <c:pt idx="1">
                  <c:v>69</c:v>
                </c:pt>
              </c:numCache>
            </c:numRef>
          </c:xVal>
          <c:yVal>
            <c:numRef>
              <c:f>('Reference Curves'!$P$731,'Reference Curves'!$P$731)</c:f>
              <c:numCache>
                <c:formatCode>General</c:formatCode>
                <c:ptCount val="2"/>
                <c:pt idx="0">
                  <c:v>1</c:v>
                </c:pt>
                <c:pt idx="1">
                  <c:v>1</c:v>
                </c:pt>
              </c:numCache>
            </c:numRef>
          </c:yVal>
          <c:smooth val="0"/>
          <c:extLst>
            <c:ext xmlns:c16="http://schemas.microsoft.com/office/drawing/2014/chart" uri="{C3380CC4-5D6E-409C-BE32-E72D297353CC}">
              <c16:uniqueId val="{00000007-3992-4638-8CCB-E5B1E32B562F}"/>
            </c:ext>
          </c:extLst>
        </c:ser>
        <c:dLbls>
          <c:showLegendKey val="0"/>
          <c:showVal val="0"/>
          <c:showCatName val="0"/>
          <c:showSerName val="0"/>
          <c:showPercent val="0"/>
          <c:showBubbleSize val="0"/>
        </c:dLbls>
        <c:axId val="443821224"/>
        <c:axId val="443823576"/>
        <c:extLst/>
      </c:scatterChart>
      <c:valAx>
        <c:axId val="443821224"/>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23576"/>
        <c:crosses val="autoZero"/>
        <c:crossBetween val="midCat"/>
      </c:valAx>
      <c:valAx>
        <c:axId val="44382357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212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Concentrated</a:t>
            </a:r>
            <a:r>
              <a:rPr lang="en-US" baseline="0"/>
              <a:t> Flow Points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Curves'!$B$40</c:f>
              <c:strCache>
                <c:ptCount val="1"/>
                <c:pt idx="0">
                  <c:v>Field Value</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2.2000000000000002"/>
            <c:dispRSqr val="0"/>
            <c:dispEq val="1"/>
            <c:trendlineLbl>
              <c:layout>
                <c:manualLayout>
                  <c:x val="-5.8426109047523891E-2"/>
                  <c:y val="-0.32205122564154565"/>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Curves'!$E$40:$H$40</c:f>
              <c:numCache>
                <c:formatCode>General</c:formatCode>
                <c:ptCount val="4"/>
                <c:pt idx="1">
                  <c:v>1</c:v>
                </c:pt>
                <c:pt idx="3">
                  <c:v>0</c:v>
                </c:pt>
              </c:numCache>
            </c:numRef>
          </c:xVal>
          <c:yVal>
            <c:numRef>
              <c:f>'Reference Curves'!$E$41:$H$41</c:f>
              <c:numCache>
                <c:formatCode>General</c:formatCode>
                <c:ptCount val="4"/>
                <c:pt idx="0">
                  <c:v>0.3</c:v>
                </c:pt>
                <c:pt idx="1">
                  <c:v>0.69</c:v>
                </c:pt>
                <c:pt idx="2">
                  <c:v>0.7</c:v>
                </c:pt>
                <c:pt idx="3">
                  <c:v>1</c:v>
                </c:pt>
              </c:numCache>
            </c:numRef>
          </c:yVal>
          <c:smooth val="0"/>
          <c:extLst>
            <c:ext xmlns:c16="http://schemas.microsoft.com/office/drawing/2014/chart" uri="{C3380CC4-5D6E-409C-BE32-E72D297353CC}">
              <c16:uniqueId val="{00000001-8253-4875-A358-B5F720F62AFA}"/>
            </c:ext>
          </c:extLst>
        </c:ser>
        <c:dLbls>
          <c:showLegendKey val="0"/>
          <c:showVal val="0"/>
          <c:showCatName val="0"/>
          <c:showSerName val="0"/>
          <c:showPercent val="0"/>
          <c:showBubbleSize val="0"/>
        </c:dLbls>
        <c:axId val="443217136"/>
        <c:axId val="443220664"/>
      </c:scatterChart>
      <c:valAx>
        <c:axId val="443217136"/>
        <c:scaling>
          <c:orientation val="minMax"/>
          <c:max val="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 Points per 1,000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220664"/>
        <c:crosses val="autoZero"/>
        <c:crossBetween val="midCat"/>
      </c:valAx>
      <c:valAx>
        <c:axId val="44322066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0" i="0" baseline="0">
                    <a:effectLst/>
                  </a:rPr>
                  <a:t>Index Value</a:t>
                </a:r>
                <a:endParaRPr lang="en-US" sz="1100">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2171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Percent Native Cover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28084387367101"/>
          <c:y val="0.11383995627777838"/>
          <c:w val="0.78710276152185865"/>
          <c:h val="0.73757538467374906"/>
        </c:manualLayout>
      </c:layout>
      <c:scatterChart>
        <c:scatterStyle val="lineMarker"/>
        <c:varyColors val="0"/>
        <c:ser>
          <c:idx val="0"/>
          <c:order val="0"/>
          <c:tx>
            <c:v>F</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4.9479552942650815E-2"/>
                  <c:y val="8.1890488164295019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Curves'!$O$794:$P$794</c:f>
              <c:numCache>
                <c:formatCode>General</c:formatCode>
                <c:ptCount val="2"/>
                <c:pt idx="0">
                  <c:v>91</c:v>
                </c:pt>
                <c:pt idx="1">
                  <c:v>100</c:v>
                </c:pt>
              </c:numCache>
            </c:numRef>
          </c:xVal>
          <c:yVal>
            <c:numRef>
              <c:f>'Reference Curves'!$O$795:$P$795</c:f>
              <c:numCache>
                <c:formatCode>General</c:formatCode>
                <c:ptCount val="2"/>
                <c:pt idx="0">
                  <c:v>0.7</c:v>
                </c:pt>
                <c:pt idx="1">
                  <c:v>1</c:v>
                </c:pt>
              </c:numCache>
            </c:numRef>
          </c:yVal>
          <c:smooth val="0"/>
          <c:extLst>
            <c:ext xmlns:c16="http://schemas.microsoft.com/office/drawing/2014/chart" uri="{C3380CC4-5D6E-409C-BE32-E72D297353CC}">
              <c16:uniqueId val="{00000001-5D7A-4BAE-B3C3-8F5CC5CA9B82}"/>
            </c:ext>
          </c:extLst>
        </c:ser>
        <c:ser>
          <c:idx val="1"/>
          <c:order val="1"/>
          <c:tx>
            <c:v>FAR/NF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backward val="19"/>
            <c:dispRSqr val="0"/>
            <c:dispEq val="1"/>
            <c:trendlineLbl>
              <c:layout>
                <c:manualLayout>
                  <c:x val="7.4687860979055734E-2"/>
                  <c:y val="0.2339888109997901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Curves'!$K$794:$O$794</c:f>
              <c:numCache>
                <c:formatCode>General</c:formatCode>
                <c:ptCount val="5"/>
                <c:pt idx="2">
                  <c:v>65</c:v>
                </c:pt>
                <c:pt idx="4">
                  <c:v>91</c:v>
                </c:pt>
              </c:numCache>
            </c:numRef>
          </c:xVal>
          <c:yVal>
            <c:numRef>
              <c:f>'Reference Curves'!$K$795:$O$795</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3-5D7A-4BAE-B3C3-8F5CC5CA9B82}"/>
            </c:ext>
          </c:extLst>
        </c:ser>
        <c:dLbls>
          <c:showLegendKey val="0"/>
          <c:showVal val="0"/>
          <c:showCatName val="0"/>
          <c:showSerName val="0"/>
          <c:showPercent val="0"/>
          <c:showBubbleSize val="0"/>
        </c:dLbls>
        <c:axId val="443886568"/>
        <c:axId val="443820440"/>
      </c:scatterChart>
      <c:valAx>
        <c:axId val="443886568"/>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20440"/>
        <c:crosses val="autoZero"/>
        <c:crossBetween val="midCat"/>
      </c:valAx>
      <c:valAx>
        <c:axId val="4438204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865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Percent Armoring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28084387367101"/>
          <c:y val="0.11383995627777838"/>
          <c:w val="0.78710276152185865"/>
          <c:h val="0.73757538467374906"/>
        </c:manualLayout>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backward val="19"/>
            <c:dispRSqr val="0"/>
            <c:dispEq val="1"/>
            <c:trendlineLbl>
              <c:layout>
                <c:manualLayout>
                  <c:x val="-9.067771678996811E-2"/>
                  <c:y val="-0.37865996676912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Curves'!$K$142:$P$142</c:f>
              <c:numCache>
                <c:formatCode>General</c:formatCode>
                <c:ptCount val="6"/>
                <c:pt idx="0">
                  <c:v>30</c:v>
                </c:pt>
                <c:pt idx="5">
                  <c:v>0</c:v>
                </c:pt>
              </c:numCache>
            </c:numRef>
          </c:xVal>
          <c:yVal>
            <c:numRef>
              <c:f>'Reference Curves'!$K$143:$P$143</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3-442D-4866-83CE-EAE769C24016}"/>
            </c:ext>
          </c:extLst>
        </c:ser>
        <c:dLbls>
          <c:showLegendKey val="0"/>
          <c:showVal val="0"/>
          <c:showCatName val="0"/>
          <c:showSerName val="0"/>
          <c:showPercent val="0"/>
          <c:showBubbleSize val="0"/>
        </c:dLbls>
        <c:axId val="443886568"/>
        <c:axId val="443820440"/>
      </c:scatterChart>
      <c:valAx>
        <c:axId val="443886568"/>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20440"/>
        <c:crosses val="autoZero"/>
        <c:crossBetween val="midCat"/>
      </c:valAx>
      <c:valAx>
        <c:axId val="4438204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38865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Pool Spacing Ratio for E Stream</a:t>
            </a:r>
            <a:r>
              <a:rPr lang="en-US" sz="1600" baseline="0"/>
              <a:t> Types</a:t>
            </a:r>
            <a:endParaRPr lang="en-US" sz="1600"/>
          </a:p>
        </c:rich>
      </c:tx>
      <c:layout>
        <c:manualLayout>
          <c:xMode val="edge"/>
          <c:yMode val="edge"/>
          <c:x val="0.26244273292895509"/>
          <c:y val="1.5928787533303082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rising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6"/>
            <c:dispRSqr val="0"/>
            <c:dispEq val="1"/>
            <c:trendlineLbl>
              <c:layout>
                <c:manualLayout>
                  <c:x val="-0.59690458398413804"/>
                  <c:y val="6.6120271627217203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Curves'!$K$337:$P$337</c:f>
              <c:numCache>
                <c:formatCode>General</c:formatCode>
                <c:ptCount val="6"/>
                <c:pt idx="0" formatCode="0.0">
                  <c:v>1.8333333333333335</c:v>
                </c:pt>
                <c:pt idx="4">
                  <c:v>3</c:v>
                </c:pt>
                <c:pt idx="5">
                  <c:v>3.5</c:v>
                </c:pt>
              </c:numCache>
            </c:numRef>
          </c:xVal>
          <c:yVal>
            <c:numRef>
              <c:f>'Reference Curves'!$K$339:$P$339</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87E5-4F46-B5F2-17E3C84A27E3}"/>
            </c:ext>
          </c:extLst>
        </c:ser>
        <c:ser>
          <c:idx val="0"/>
          <c:order val="1"/>
          <c:tx>
            <c:v>falling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1.5367538818587432E-2"/>
                  <c:y val="-0.5133010392844036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Curves'!$K$338:$P$338</c:f>
              <c:numCache>
                <c:formatCode>General</c:formatCode>
                <c:ptCount val="6"/>
                <c:pt idx="0" formatCode="0.0">
                  <c:v>8.3333333333333339</c:v>
                </c:pt>
                <c:pt idx="4">
                  <c:v>6</c:v>
                </c:pt>
                <c:pt idx="5">
                  <c:v>5</c:v>
                </c:pt>
              </c:numCache>
            </c:numRef>
          </c:xVal>
          <c:yVal>
            <c:numRef>
              <c:f>'Reference Curves'!$K$339:$P$339</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2-87E5-4F46-B5F2-17E3C84A27E3}"/>
            </c:ext>
          </c:extLst>
        </c:ser>
        <c:ser>
          <c:idx val="2"/>
          <c:order val="2"/>
          <c:tx>
            <c:v>crest</c:v>
          </c:tx>
          <c:spPr>
            <a:ln w="28575" cap="rnd">
              <a:solidFill>
                <a:schemeClr val="tx1"/>
              </a:solidFill>
              <a:prstDash val="dash"/>
              <a:round/>
            </a:ln>
            <a:effectLst/>
          </c:spPr>
          <c:marker>
            <c:symbol val="none"/>
          </c:marker>
          <c:xVal>
            <c:numRef>
              <c:f>('Reference Curves'!$P$337,'Reference Curves'!$P$338)</c:f>
              <c:numCache>
                <c:formatCode>General</c:formatCode>
                <c:ptCount val="2"/>
                <c:pt idx="0">
                  <c:v>3.5</c:v>
                </c:pt>
                <c:pt idx="1">
                  <c:v>5</c:v>
                </c:pt>
              </c:numCache>
            </c:numRef>
          </c:xVal>
          <c:yVal>
            <c:numRef>
              <c:f>('Reference Curves'!$P$339,'Reference Curves'!$P$339)</c:f>
              <c:numCache>
                <c:formatCode>General</c:formatCode>
                <c:ptCount val="2"/>
                <c:pt idx="0">
                  <c:v>1</c:v>
                </c:pt>
                <c:pt idx="1">
                  <c:v>1</c:v>
                </c:pt>
              </c:numCache>
            </c:numRef>
          </c:yVal>
          <c:smooth val="0"/>
          <c:extLst>
            <c:ext xmlns:c16="http://schemas.microsoft.com/office/drawing/2014/chart" uri="{C3380CC4-5D6E-409C-BE32-E72D297353CC}">
              <c16:uniqueId val="{00000003-87E5-4F46-B5F2-17E3C84A27E3}"/>
            </c:ext>
          </c:extLst>
        </c:ser>
        <c:dLbls>
          <c:showLegendKey val="0"/>
          <c:showVal val="0"/>
          <c:showCatName val="0"/>
          <c:showSerName val="0"/>
          <c:showPercent val="0"/>
          <c:showBubbleSize val="0"/>
        </c:dLbls>
        <c:axId val="440731696"/>
        <c:axId val="440736400"/>
      </c:scatterChart>
      <c:valAx>
        <c:axId val="4407316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6400"/>
        <c:crosses val="autoZero"/>
        <c:crossBetween val="midCat"/>
      </c:valAx>
      <c:valAx>
        <c:axId val="44073640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16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Bank Height Ratio (BHR)</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BHR</c:v>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0.21000000000000002"/>
            <c:dispRSqr val="0"/>
            <c:dispEq val="1"/>
            <c:trendlineLbl>
              <c:layout>
                <c:manualLayout>
                  <c:x val="-5.7337782229159515E-2"/>
                  <c:y val="-0.4574413109251120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Curves'!$C$103:$H$103</c:f>
              <c:numCache>
                <c:formatCode>General</c:formatCode>
                <c:ptCount val="6"/>
                <c:pt idx="2">
                  <c:v>1.5</c:v>
                </c:pt>
                <c:pt idx="4">
                  <c:v>1.2</c:v>
                </c:pt>
                <c:pt idx="5">
                  <c:v>1</c:v>
                </c:pt>
              </c:numCache>
            </c:numRef>
          </c:xVal>
          <c:yVal>
            <c:numRef>
              <c:f>'Reference Curves'!$C$104:$H$104</c:f>
              <c:numCache>
                <c:formatCode>General</c:formatCode>
                <c:ptCount val="6"/>
                <c:pt idx="0">
                  <c:v>0</c:v>
                </c:pt>
                <c:pt idx="1">
                  <c:v>0.2</c:v>
                </c:pt>
                <c:pt idx="2">
                  <c:v>0.3</c:v>
                </c:pt>
                <c:pt idx="3">
                  <c:v>0.69</c:v>
                </c:pt>
                <c:pt idx="4">
                  <c:v>0.7</c:v>
                </c:pt>
                <c:pt idx="5">
                  <c:v>1</c:v>
                </c:pt>
              </c:numCache>
            </c:numRef>
          </c:yVal>
          <c:smooth val="0"/>
          <c:extLst>
            <c:ext xmlns:c16="http://schemas.microsoft.com/office/drawing/2014/chart" uri="{C3380CC4-5D6E-409C-BE32-E72D297353CC}">
              <c16:uniqueId val="{00000000-C266-4796-88E9-230BE821F3E6}"/>
            </c:ext>
          </c:extLst>
        </c:ser>
        <c:dLbls>
          <c:showLegendKey val="0"/>
          <c:showVal val="0"/>
          <c:showCatName val="0"/>
          <c:showSerName val="0"/>
          <c:showPercent val="0"/>
          <c:showBubbleSize val="0"/>
        </c:dLbls>
        <c:axId val="419254728"/>
        <c:axId val="419247280"/>
      </c:scatterChart>
      <c:valAx>
        <c:axId val="419254728"/>
        <c:scaling>
          <c:orientation val="minMax"/>
          <c:max val="1.8"/>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9247280"/>
        <c:crosses val="autoZero"/>
        <c:crossBetween val="midCat"/>
      </c:valAx>
      <c:valAx>
        <c:axId val="41924728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layout>
            <c:manualLayout>
              <c:xMode val="edge"/>
              <c:yMode val="edge"/>
              <c:x val="2.5144911728220403E-2"/>
              <c:y val="0.395517818019514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92547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A</a:t>
            </a:r>
            <a:r>
              <a:rPr lang="en-US" baseline="0"/>
              <a:t> and B</a:t>
            </a:r>
            <a:r>
              <a:rPr lang="en-US"/>
              <a:t> Streams and Percent Riffle &gt;70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7622122197586678"/>
                  <c:y val="-7.639743340347382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1-3E46-45E7-A195-8897428E99E6}"/>
            </c:ext>
          </c:extLst>
        </c:ser>
        <c:dLbls>
          <c:showLegendKey val="0"/>
          <c:showVal val="0"/>
          <c:showCatName val="0"/>
          <c:showSerName val="0"/>
          <c:showPercent val="0"/>
          <c:showBubbleSize val="0"/>
        </c:dLbls>
        <c:axId val="441606912"/>
        <c:axId val="441607696"/>
      </c:scatterChart>
      <c:valAx>
        <c:axId val="441606912"/>
        <c:scaling>
          <c:orientation val="minMax"/>
          <c:min val="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607696"/>
        <c:crosses val="autoZero"/>
        <c:crossBetween val="midCat"/>
      </c:valAx>
      <c:valAx>
        <c:axId val="4416076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6069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ER</a:t>
            </a:r>
            <a:r>
              <a:rPr lang="en-US" sz="1600" baseline="0"/>
              <a:t> for C, Cb and E Streams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0.30000000000000004"/>
            <c:dispRSqr val="0"/>
            <c:dispEq val="1"/>
            <c:trendlineLbl>
              <c:layout>
                <c:manualLayout>
                  <c:x val="0.13601790980977305"/>
                  <c:y val="0.16682413040130759"/>
                </c:manualLayout>
              </c:layout>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aseline="0">
                        <a:solidFill>
                          <a:schemeClr val="accent1"/>
                        </a:solidFill>
                      </a:rPr>
                      <a:t>y = 1x - 1.7</a:t>
                    </a:r>
                    <a:endParaRPr lang="en-US" sz="1100">
                      <a:solidFill>
                        <a:schemeClr val="accent1"/>
                      </a:solidFill>
                    </a:endParaRPr>
                  </a:p>
                </c:rich>
              </c:tx>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Curves'!$C$136:$G$136</c:f>
              <c:numCache>
                <c:formatCode>General</c:formatCode>
                <c:ptCount val="5"/>
                <c:pt idx="2">
                  <c:v>2</c:v>
                </c:pt>
                <c:pt idx="4">
                  <c:v>2.4</c:v>
                </c:pt>
              </c:numCache>
            </c:numRef>
          </c:xVal>
          <c:yVal>
            <c:numRef>
              <c:f>'Reference Curves'!$C$137:$G$137</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1EEA-4BDA-8E2E-1D9F09529777}"/>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5779385800315841E-2"/>
                  <c:y val="0.1486441421635470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Curves'!$G$136:$H$136</c:f>
              <c:numCache>
                <c:formatCode>General</c:formatCode>
                <c:ptCount val="2"/>
                <c:pt idx="0">
                  <c:v>2.4</c:v>
                </c:pt>
                <c:pt idx="1">
                  <c:v>5</c:v>
                </c:pt>
              </c:numCache>
            </c:numRef>
          </c:xVal>
          <c:yVal>
            <c:numRef>
              <c:f>'Reference Curves'!$G$137:$H$137</c:f>
              <c:numCache>
                <c:formatCode>General</c:formatCode>
                <c:ptCount val="2"/>
                <c:pt idx="0">
                  <c:v>0.7</c:v>
                </c:pt>
                <c:pt idx="1">
                  <c:v>1</c:v>
                </c:pt>
              </c:numCache>
            </c:numRef>
          </c:yVal>
          <c:smooth val="0"/>
          <c:extLst>
            <c:ext xmlns:c16="http://schemas.microsoft.com/office/drawing/2014/chart" uri="{C3380CC4-5D6E-409C-BE32-E72D297353CC}">
              <c16:uniqueId val="{00000000-FBB7-4035-A17D-E0D766088381}"/>
            </c:ext>
          </c:extLst>
        </c:ser>
        <c:dLbls>
          <c:showLegendKey val="0"/>
          <c:showVal val="0"/>
          <c:showCatName val="0"/>
          <c:showSerName val="0"/>
          <c:showPercent val="0"/>
          <c:showBubbleSize val="0"/>
        </c:dLbls>
        <c:axId val="440736008"/>
        <c:axId val="440734048"/>
      </c:scatterChart>
      <c:valAx>
        <c:axId val="440736008"/>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4048"/>
        <c:crosses val="autoZero"/>
        <c:crossBetween val="midCat"/>
      </c:valAx>
      <c:valAx>
        <c:axId val="44073404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60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ER for A, B, Ba and Bc Streams</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backward val="0.15000000000000002"/>
            <c:dispRSqr val="0"/>
            <c:dispEq val="1"/>
            <c:trendlineLbl>
              <c:layout>
                <c:manualLayout>
                  <c:x val="0.13672139332899724"/>
                  <c:y val="0.11509035641721276"/>
                </c:manualLayout>
              </c:layout>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aseline="0">
                        <a:solidFill>
                          <a:schemeClr val="accent1"/>
                        </a:solidFill>
                      </a:rPr>
                      <a:t>y = 2x - 2.1</a:t>
                    </a:r>
                    <a:endParaRPr lang="en-US" sz="1100">
                      <a:solidFill>
                        <a:schemeClr val="accent1"/>
                      </a:solidFill>
                    </a:endParaRPr>
                  </a:p>
                </c:rich>
              </c:tx>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Curves'!$C$171:$G$171</c:f>
              <c:numCache>
                <c:formatCode>General</c:formatCode>
                <c:ptCount val="5"/>
                <c:pt idx="2">
                  <c:v>1.2</c:v>
                </c:pt>
                <c:pt idx="4">
                  <c:v>1.4</c:v>
                </c:pt>
              </c:numCache>
            </c:numRef>
          </c:xVal>
          <c:yVal>
            <c:numRef>
              <c:f>'Reference Curves'!$C$172:$G$172</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B511-473E-8345-F7FDAF1C4433}"/>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4651335609413541"/>
                  <c:y val="5.3232460432122049E-3"/>
                </c:manualLayout>
              </c:layout>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aseline="0">
                        <a:solidFill>
                          <a:schemeClr val="accent2"/>
                        </a:solidFill>
                      </a:rPr>
                      <a:t>y = 0.375x + 0.175</a:t>
                    </a:r>
                    <a:endParaRPr lang="en-US" sz="1100">
                      <a:solidFill>
                        <a:schemeClr val="accent2"/>
                      </a:solidFill>
                    </a:endParaRPr>
                  </a:p>
                </c:rich>
              </c:tx>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Curves'!$G$171:$H$171</c:f>
              <c:numCache>
                <c:formatCode>General</c:formatCode>
                <c:ptCount val="2"/>
                <c:pt idx="0">
                  <c:v>1.4</c:v>
                </c:pt>
                <c:pt idx="1">
                  <c:v>2.2000000000000002</c:v>
                </c:pt>
              </c:numCache>
            </c:numRef>
          </c:xVal>
          <c:yVal>
            <c:numRef>
              <c:f>'Reference Curves'!$G$172:$H$172</c:f>
              <c:numCache>
                <c:formatCode>General</c:formatCode>
                <c:ptCount val="2"/>
                <c:pt idx="0">
                  <c:v>0.7</c:v>
                </c:pt>
                <c:pt idx="1">
                  <c:v>1</c:v>
                </c:pt>
              </c:numCache>
            </c:numRef>
          </c:yVal>
          <c:smooth val="0"/>
          <c:extLst>
            <c:ext xmlns:c16="http://schemas.microsoft.com/office/drawing/2014/chart" uri="{C3380CC4-5D6E-409C-BE32-E72D297353CC}">
              <c16:uniqueId val="{00000000-EF40-4FA8-8C0D-00C8C3EA5E04}"/>
            </c:ext>
          </c:extLst>
        </c:ser>
        <c:dLbls>
          <c:showLegendKey val="0"/>
          <c:showVal val="0"/>
          <c:showCatName val="0"/>
          <c:showSerName val="0"/>
          <c:showPercent val="0"/>
          <c:showBubbleSize val="0"/>
        </c:dLbls>
        <c:axId val="440734832"/>
        <c:axId val="440733264"/>
      </c:scatterChart>
      <c:valAx>
        <c:axId val="440734832"/>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3264"/>
        <c:crosses val="autoZero"/>
        <c:crossBetween val="midCat"/>
      </c:valAx>
      <c:valAx>
        <c:axId val="44073326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48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LWDI</a:t>
            </a:r>
            <a:r>
              <a:rPr lang="en-US"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Curves'!$K$12</c:f>
              <c:strCache>
                <c:ptCount val="1"/>
                <c:pt idx="0">
                  <c:v>NF/FAR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7.4994042715032835E-2"/>
                  <c:y val="0.2701636452999294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Curves'!$K$9:$O$9</c:f>
              <c:numCache>
                <c:formatCode>General</c:formatCode>
                <c:ptCount val="5"/>
                <c:pt idx="0">
                  <c:v>0</c:v>
                </c:pt>
                <c:pt idx="4">
                  <c:v>430</c:v>
                </c:pt>
              </c:numCache>
            </c:numRef>
          </c:xVal>
          <c:yVal>
            <c:numRef>
              <c:f>'Reference Curves'!$K$10:$O$10</c:f>
              <c:numCache>
                <c:formatCode>General</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7D9C-4895-B98E-45CEF21B931D}"/>
            </c:ext>
          </c:extLst>
        </c:ser>
        <c:ser>
          <c:idx val="1"/>
          <c:order val="1"/>
          <c:tx>
            <c:strRef>
              <c:f>'Reference Curves'!$L$12</c:f>
              <c:strCache>
                <c:ptCount val="1"/>
                <c:pt idx="0">
                  <c:v>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5.6577018681140116E-2"/>
                  <c:y val="0.14952573005998884"/>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Curves'!$O$9:$P$9</c:f>
              <c:numCache>
                <c:formatCode>General</c:formatCode>
                <c:ptCount val="2"/>
                <c:pt idx="0">
                  <c:v>430</c:v>
                </c:pt>
                <c:pt idx="1">
                  <c:v>660</c:v>
                </c:pt>
              </c:numCache>
            </c:numRef>
          </c:xVal>
          <c:yVal>
            <c:numRef>
              <c:f>'Reference Curves'!$O$10:$P$10</c:f>
              <c:numCache>
                <c:formatCode>General</c:formatCode>
                <c:ptCount val="2"/>
                <c:pt idx="0">
                  <c:v>0.7</c:v>
                </c:pt>
                <c:pt idx="1">
                  <c:v>1</c:v>
                </c:pt>
              </c:numCache>
            </c:numRef>
          </c:yVal>
          <c:smooth val="0"/>
          <c:extLst>
            <c:ext xmlns:c16="http://schemas.microsoft.com/office/drawing/2014/chart" uri="{C3380CC4-5D6E-409C-BE32-E72D297353CC}">
              <c16:uniqueId val="{00000001-2777-4E45-B140-67A5ECEFF695}"/>
            </c:ext>
          </c:extLst>
        </c:ser>
        <c:dLbls>
          <c:showLegendKey val="0"/>
          <c:showVal val="0"/>
          <c:showCatName val="0"/>
          <c:showSerName val="0"/>
          <c:showPercent val="0"/>
          <c:showBubbleSize val="0"/>
        </c:dLbls>
        <c:axId val="440733656"/>
        <c:axId val="440730912"/>
      </c:scatterChart>
      <c:valAx>
        <c:axId val="440733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a:t>
                </a:r>
                <a:r>
                  <a:rPr lang="en-US" sz="1100" baseline="0"/>
                  <a:t> Value (Index Score)</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730912"/>
        <c:crosses val="autoZero"/>
        <c:crossBetween val="midCat"/>
      </c:valAx>
      <c:valAx>
        <c:axId val="44073091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7336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Pool Spacing Ratio for Bc Stream</a:t>
            </a:r>
            <a:r>
              <a:rPr lang="en-US" sz="1600" baseline="0"/>
              <a:t> Types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6"/>
            <c:dispRSqr val="0"/>
            <c:dispEq val="1"/>
            <c:trendlineLbl>
              <c:layout>
                <c:manualLayout>
                  <c:x val="-0.22445408719152712"/>
                  <c:y val="-0.11792910277204711"/>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Curves'!$K$306:$P$306</c:f>
              <c:numCache>
                <c:formatCode>General</c:formatCode>
                <c:ptCount val="6"/>
                <c:pt idx="4">
                  <c:v>6</c:v>
                </c:pt>
                <c:pt idx="5">
                  <c:v>3.4</c:v>
                </c:pt>
              </c:numCache>
            </c:numRef>
          </c:xVal>
          <c:yVal>
            <c:numRef>
              <c:f>'Reference Curves'!$K$307:$P$307</c:f>
              <c:numCache>
                <c:formatCode>General</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2D8B-439A-A86A-F9817A30EAA5}"/>
            </c:ext>
          </c:extLst>
        </c:ser>
        <c:dLbls>
          <c:showLegendKey val="0"/>
          <c:showVal val="0"/>
          <c:showCatName val="0"/>
          <c:showSerName val="0"/>
          <c:showPercent val="0"/>
          <c:showBubbleSize val="0"/>
        </c:dLbls>
        <c:axId val="440731696"/>
        <c:axId val="440736400"/>
      </c:scatterChart>
      <c:valAx>
        <c:axId val="4407316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6400"/>
        <c:crosses val="autoZero"/>
        <c:crossBetween val="midCat"/>
      </c:valAx>
      <c:valAx>
        <c:axId val="44073640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07316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26" Type="http://schemas.openxmlformats.org/officeDocument/2006/relationships/chart" Target="../charts/chart30.xml"/><Relationship Id="rId39" Type="http://schemas.openxmlformats.org/officeDocument/2006/relationships/chart" Target="../charts/chart43.xml"/><Relationship Id="rId3" Type="http://schemas.openxmlformats.org/officeDocument/2006/relationships/chart" Target="../charts/chart7.xml"/><Relationship Id="rId21" Type="http://schemas.openxmlformats.org/officeDocument/2006/relationships/chart" Target="../charts/chart25.xml"/><Relationship Id="rId34" Type="http://schemas.openxmlformats.org/officeDocument/2006/relationships/chart" Target="../charts/chart38.xml"/><Relationship Id="rId42" Type="http://schemas.openxmlformats.org/officeDocument/2006/relationships/chart" Target="../charts/chart46.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5" Type="http://schemas.openxmlformats.org/officeDocument/2006/relationships/chart" Target="../charts/chart29.xml"/><Relationship Id="rId33" Type="http://schemas.openxmlformats.org/officeDocument/2006/relationships/chart" Target="../charts/chart37.xml"/><Relationship Id="rId38" Type="http://schemas.openxmlformats.org/officeDocument/2006/relationships/chart" Target="../charts/chart42.xml"/><Relationship Id="rId46" Type="http://schemas.openxmlformats.org/officeDocument/2006/relationships/chart" Target="../charts/chart50.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29" Type="http://schemas.openxmlformats.org/officeDocument/2006/relationships/chart" Target="../charts/chart33.xml"/><Relationship Id="rId41" Type="http://schemas.openxmlformats.org/officeDocument/2006/relationships/chart" Target="../charts/chart45.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24" Type="http://schemas.openxmlformats.org/officeDocument/2006/relationships/chart" Target="../charts/chart28.xml"/><Relationship Id="rId32" Type="http://schemas.openxmlformats.org/officeDocument/2006/relationships/chart" Target="../charts/chart36.xml"/><Relationship Id="rId37" Type="http://schemas.openxmlformats.org/officeDocument/2006/relationships/chart" Target="../charts/chart41.xml"/><Relationship Id="rId40" Type="http://schemas.openxmlformats.org/officeDocument/2006/relationships/chart" Target="../charts/chart44.xml"/><Relationship Id="rId45" Type="http://schemas.openxmlformats.org/officeDocument/2006/relationships/chart" Target="../charts/chart49.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28" Type="http://schemas.openxmlformats.org/officeDocument/2006/relationships/chart" Target="../charts/chart32.xml"/><Relationship Id="rId36" Type="http://schemas.openxmlformats.org/officeDocument/2006/relationships/chart" Target="../charts/chart40.xml"/><Relationship Id="rId10" Type="http://schemas.openxmlformats.org/officeDocument/2006/relationships/chart" Target="../charts/chart14.xml"/><Relationship Id="rId19" Type="http://schemas.openxmlformats.org/officeDocument/2006/relationships/chart" Target="../charts/chart23.xml"/><Relationship Id="rId31" Type="http://schemas.openxmlformats.org/officeDocument/2006/relationships/chart" Target="../charts/chart35.xml"/><Relationship Id="rId44" Type="http://schemas.openxmlformats.org/officeDocument/2006/relationships/chart" Target="../charts/chart48.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 Id="rId27" Type="http://schemas.openxmlformats.org/officeDocument/2006/relationships/chart" Target="../charts/chart31.xml"/><Relationship Id="rId30" Type="http://schemas.openxmlformats.org/officeDocument/2006/relationships/chart" Target="../charts/chart34.xml"/><Relationship Id="rId35" Type="http://schemas.openxmlformats.org/officeDocument/2006/relationships/chart" Target="../charts/chart39.xml"/><Relationship Id="rId43" Type="http://schemas.openxmlformats.org/officeDocument/2006/relationships/chart" Target="../charts/chart47.xml"/></Relationships>
</file>

<file path=xl/drawings/drawing1.xml><?xml version="1.0" encoding="utf-8"?>
<xdr:wsDr xmlns:xdr="http://schemas.openxmlformats.org/drawingml/2006/spreadsheetDrawing" xmlns:a="http://schemas.openxmlformats.org/drawingml/2006/main">
  <xdr:twoCellAnchor>
    <xdr:from>
      <xdr:col>6</xdr:col>
      <xdr:colOff>38660</xdr:colOff>
      <xdr:row>8</xdr:row>
      <xdr:rowOff>7844</xdr:rowOff>
    </xdr:from>
    <xdr:to>
      <xdr:col>11</xdr:col>
      <xdr:colOff>571499</xdr:colOff>
      <xdr:row>17</xdr:row>
      <xdr:rowOff>177613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48260" y="1709644"/>
          <a:ext cx="4914339" cy="1414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Expand</a:t>
          </a:r>
          <a:r>
            <a:rPr lang="en-US" sz="1100" baseline="0"/>
            <a:t> on the programmatic goals of this project:</a:t>
          </a:r>
        </a:p>
        <a:p>
          <a:endParaRPr lang="en-US" sz="1100"/>
        </a:p>
      </xdr:txBody>
    </xdr:sp>
    <xdr:clientData/>
  </xdr:twoCellAnchor>
  <xdr:twoCellAnchor>
    <xdr:from>
      <xdr:col>6</xdr:col>
      <xdr:colOff>34924</xdr:colOff>
      <xdr:row>18</xdr:row>
      <xdr:rowOff>24092</xdr:rowOff>
    </xdr:from>
    <xdr:to>
      <xdr:col>11</xdr:col>
      <xdr:colOff>558799</xdr:colOff>
      <xdr:row>26</xdr:row>
      <xdr:rowOff>43142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44524" y="3148292"/>
          <a:ext cx="4905375" cy="144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Explain the restoration</a:t>
          </a:r>
          <a:r>
            <a:rPr lang="en-US" sz="1100" baseline="0"/>
            <a:t> potential of this project based on the programmatic goals (based on catchment assessment form):</a:t>
          </a:r>
        </a:p>
        <a:p>
          <a:endParaRPr lang="en-US" sz="1100"/>
        </a:p>
      </xdr:txBody>
    </xdr:sp>
    <xdr:clientData/>
  </xdr:twoCellAnchor>
  <xdr:twoCellAnchor>
    <xdr:from>
      <xdr:col>6</xdr:col>
      <xdr:colOff>47624</xdr:colOff>
      <xdr:row>26</xdr:row>
      <xdr:rowOff>95249</xdr:rowOff>
    </xdr:from>
    <xdr:to>
      <xdr:col>11</xdr:col>
      <xdr:colOff>571499</xdr:colOff>
      <xdr:row>34</xdr:row>
      <xdr:rowOff>85724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57224" y="4641849"/>
          <a:ext cx="4905375" cy="141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Explain </a:t>
          </a:r>
          <a:r>
            <a:rPr lang="en-US" sz="1100" baseline="0"/>
            <a:t>the goals and objectives for this project:</a:t>
          </a:r>
        </a:p>
        <a:p>
          <a:endParaRPr lang="en-US" sz="1100"/>
        </a:p>
        <a:p>
          <a:r>
            <a:rPr lang="en-US" sz="1100"/>
            <a:t>Goals:</a:t>
          </a:r>
          <a:r>
            <a:rPr lang="en-US" sz="1100" baseline="0"/>
            <a:t> </a:t>
          </a:r>
        </a:p>
        <a:p>
          <a:endParaRPr lang="en-US" sz="1100" baseline="0"/>
        </a:p>
        <a:p>
          <a:r>
            <a:rPr lang="en-US" sz="1100" baseline="0"/>
            <a:t>Objectives: </a:t>
          </a:r>
          <a:endParaRPr lang="en-US" sz="1100"/>
        </a:p>
      </xdr:txBody>
    </xdr:sp>
    <xdr:clientData/>
  </xdr:twoCellAnchor>
  <xdr:twoCellAnchor>
    <xdr:from>
      <xdr:col>0</xdr:col>
      <xdr:colOff>73996</xdr:colOff>
      <xdr:row>47</xdr:row>
      <xdr:rowOff>81878</xdr:rowOff>
    </xdr:from>
    <xdr:to>
      <xdr:col>7</xdr:col>
      <xdr:colOff>78442</xdr:colOff>
      <xdr:row>50</xdr:row>
      <xdr:rowOff>107577</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3996" y="7531549"/>
          <a:ext cx="5481881" cy="56358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t>NOTICE: </a:t>
          </a:r>
          <a:r>
            <a:rPr lang="en-US" sz="1100" baseline="0"/>
            <a:t>If you find errors or problems, please contact Julia McCarthy at </a:t>
          </a:r>
          <a:r>
            <a:rPr lang="en-US" sz="1100" u="sng" baseline="0">
              <a:solidFill>
                <a:schemeClr val="dk1"/>
              </a:solidFill>
              <a:effectLst/>
              <a:latin typeface="+mn-lt"/>
              <a:ea typeface="+mn-ea"/>
              <a:cs typeface="+mn-cs"/>
            </a:rPr>
            <a:t>mccarthy.julia@epa.gov</a:t>
          </a:r>
          <a:r>
            <a:rPr lang="en-US" sz="1100" u="none" baseline="0">
              <a:solidFill>
                <a:schemeClr val="dk1"/>
              </a:solidFill>
              <a:effectLst/>
              <a:latin typeface="+mn-lt"/>
              <a:ea typeface="+mn-ea"/>
              <a:cs typeface="+mn-cs"/>
            </a:rPr>
            <a:t> or Paul Dey at </a:t>
          </a:r>
          <a:r>
            <a:rPr lang="en-US" sz="1100" u="sng" baseline="0">
              <a:solidFill>
                <a:schemeClr val="dk1"/>
              </a:solidFill>
              <a:effectLst/>
              <a:latin typeface="+mn-lt"/>
              <a:ea typeface="+mn-ea"/>
              <a:cs typeface="+mn-cs"/>
            </a:rPr>
            <a:t>paul.dey@wyo.gov</a:t>
          </a:r>
          <a:endParaRPr lang="en-US" sz="1100" u="sng" baseline="0"/>
        </a:p>
      </xdr:txBody>
    </xdr:sp>
    <xdr:clientData/>
  </xdr:twoCellAnchor>
  <xdr:twoCellAnchor>
    <xdr:from>
      <xdr:col>0</xdr:col>
      <xdr:colOff>43890</xdr:colOff>
      <xdr:row>9</xdr:row>
      <xdr:rowOff>53787</xdr:rowOff>
    </xdr:from>
    <xdr:to>
      <xdr:col>4</xdr:col>
      <xdr:colOff>558800</xdr:colOff>
      <xdr:row>17</xdr:row>
      <xdr:rowOff>98611</xdr:rowOff>
    </xdr:to>
    <xdr:sp macro="" textlink="">
      <xdr:nvSpPr>
        <xdr:cNvPr id="7" name="TextBox 6">
          <a:extLst>
            <a:ext uri="{FF2B5EF4-FFF2-40B4-BE49-F238E27FC236}">
              <a16:creationId xmlns:a16="http://schemas.microsoft.com/office/drawing/2014/main" id="{22BE1E87-F535-49D8-A600-813440F7EB6D}"/>
            </a:ext>
          </a:extLst>
        </xdr:cNvPr>
        <xdr:cNvSpPr txBox="1"/>
      </xdr:nvSpPr>
      <xdr:spPr>
        <a:xfrm>
          <a:off x="43890" y="1730187"/>
          <a:ext cx="4450416" cy="1479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Describe this reach and </a:t>
          </a:r>
          <a:r>
            <a:rPr lang="en-US" sz="1100" baseline="0"/>
            <a:t>reach break criteria</a:t>
          </a:r>
          <a:r>
            <a:rPr lang="en-US" sz="1100"/>
            <a:t>:</a:t>
          </a:r>
        </a:p>
      </xdr:txBody>
    </xdr:sp>
    <xdr:clientData/>
  </xdr:twoCellAnchor>
  <xdr:twoCellAnchor>
    <xdr:from>
      <xdr:col>6</xdr:col>
      <xdr:colOff>56591</xdr:colOff>
      <xdr:row>38</xdr:row>
      <xdr:rowOff>20545</xdr:rowOff>
    </xdr:from>
    <xdr:to>
      <xdr:col>11</xdr:col>
      <xdr:colOff>582706</xdr:colOff>
      <xdr:row>46</xdr:row>
      <xdr:rowOff>165101</xdr:rowOff>
    </xdr:to>
    <xdr:sp macro="" textlink="">
      <xdr:nvSpPr>
        <xdr:cNvPr id="9" name="TextBox 8">
          <a:extLst>
            <a:ext uri="{FF2B5EF4-FFF2-40B4-BE49-F238E27FC236}">
              <a16:creationId xmlns:a16="http://schemas.microsoft.com/office/drawing/2014/main" id="{5AB35761-D32F-4605-8F9B-2C376AE914DB}"/>
            </a:ext>
          </a:extLst>
        </xdr:cNvPr>
        <xdr:cNvSpPr txBox="1"/>
      </xdr:nvSpPr>
      <xdr:spPr>
        <a:xfrm>
          <a:off x="4924426" y="6932333"/>
          <a:ext cx="4569198" cy="1578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Describe the proposed project and anticipated impacts to the stream:</a:t>
          </a:r>
        </a:p>
        <a:p>
          <a:endParaRPr lang="en-US" sz="1100"/>
        </a:p>
      </xdr:txBody>
    </xdr:sp>
    <xdr:clientData/>
  </xdr:twoCellAnchor>
  <xdr:twoCellAnchor>
    <xdr:from>
      <xdr:col>0</xdr:col>
      <xdr:colOff>52853</xdr:colOff>
      <xdr:row>26</xdr:row>
      <xdr:rowOff>26894</xdr:rowOff>
    </xdr:from>
    <xdr:to>
      <xdr:col>4</xdr:col>
      <xdr:colOff>567763</xdr:colOff>
      <xdr:row>34</xdr:row>
      <xdr:rowOff>143437</xdr:rowOff>
    </xdr:to>
    <xdr:sp macro="" textlink="">
      <xdr:nvSpPr>
        <xdr:cNvPr id="8" name="TextBox 7">
          <a:extLst>
            <a:ext uri="{FF2B5EF4-FFF2-40B4-BE49-F238E27FC236}">
              <a16:creationId xmlns:a16="http://schemas.microsoft.com/office/drawing/2014/main" id="{DEB559A2-E5CB-4E77-9AF0-97B28A8EC995}"/>
            </a:ext>
          </a:extLst>
        </xdr:cNvPr>
        <xdr:cNvSpPr txBox="1"/>
      </xdr:nvSpPr>
      <xdr:spPr>
        <a:xfrm>
          <a:off x="52853" y="4778188"/>
          <a:ext cx="4405592" cy="1550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Describe the rationale used to select the reference stream type: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59872</xdr:colOff>
      <xdr:row>29</xdr:row>
      <xdr:rowOff>57694</xdr:rowOff>
    </xdr:from>
    <xdr:to>
      <xdr:col>13</xdr:col>
      <xdr:colOff>180704</xdr:colOff>
      <xdr:row>51</xdr:row>
      <xdr:rowOff>1088</xdr:rowOff>
    </xdr:to>
    <xdr:graphicFrame macro="">
      <xdr:nvGraphicFramePr>
        <xdr:cNvPr id="2" name="Chart 1">
          <a:extLst>
            <a:ext uri="{FF2B5EF4-FFF2-40B4-BE49-F238E27FC236}">
              <a16:creationId xmlns:a16="http://schemas.microsoft.com/office/drawing/2014/main" id="{B221CF4E-9ACB-4548-8EF7-6B02759BF4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117567</xdr:colOff>
      <xdr:row>51</xdr:row>
      <xdr:rowOff>25036</xdr:rowOff>
    </xdr:from>
    <xdr:to>
      <xdr:col>13</xdr:col>
      <xdr:colOff>230779</xdr:colOff>
      <xdr:row>72</xdr:row>
      <xdr:rowOff>144779</xdr:rowOff>
    </xdr:to>
    <xdr:graphicFrame macro="">
      <xdr:nvGraphicFramePr>
        <xdr:cNvPr id="3" name="Chart 2">
          <a:extLst>
            <a:ext uri="{FF2B5EF4-FFF2-40B4-BE49-F238E27FC236}">
              <a16:creationId xmlns:a16="http://schemas.microsoft.com/office/drawing/2014/main" id="{12BE19F8-07EE-4D5C-8496-D254FB984E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104503</xdr:colOff>
      <xdr:row>51</xdr:row>
      <xdr:rowOff>6531</xdr:rowOff>
    </xdr:from>
    <xdr:to>
      <xdr:col>35</xdr:col>
      <xdr:colOff>343990</xdr:colOff>
      <xdr:row>72</xdr:row>
      <xdr:rowOff>126274</xdr:rowOff>
    </xdr:to>
    <xdr:graphicFrame macro="">
      <xdr:nvGraphicFramePr>
        <xdr:cNvPr id="4" name="Chart 3">
          <a:extLst>
            <a:ext uri="{FF2B5EF4-FFF2-40B4-BE49-F238E27FC236}">
              <a16:creationId xmlns:a16="http://schemas.microsoft.com/office/drawing/2014/main" id="{5689FEB0-0CB4-49E6-A548-81C6594F5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96883</xdr:colOff>
      <xdr:row>29</xdr:row>
      <xdr:rowOff>27215</xdr:rowOff>
    </xdr:from>
    <xdr:to>
      <xdr:col>35</xdr:col>
      <xdr:colOff>336370</xdr:colOff>
      <xdr:row>50</xdr:row>
      <xdr:rowOff>155666</xdr:rowOff>
    </xdr:to>
    <xdr:graphicFrame macro="">
      <xdr:nvGraphicFramePr>
        <xdr:cNvPr id="5" name="Chart 4">
          <a:extLst>
            <a:ext uri="{FF2B5EF4-FFF2-40B4-BE49-F238E27FC236}">
              <a16:creationId xmlns:a16="http://schemas.microsoft.com/office/drawing/2014/main" id="{25FBA3C0-0791-4964-B416-81AD935357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16329</xdr:colOff>
      <xdr:row>108</xdr:row>
      <xdr:rowOff>58512</xdr:rowOff>
    </xdr:from>
    <xdr:to>
      <xdr:col>7</xdr:col>
      <xdr:colOff>771525</xdr:colOff>
      <xdr:row>132</xdr:row>
      <xdr:rowOff>57149</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26942</xdr:colOff>
      <xdr:row>143</xdr:row>
      <xdr:rowOff>12246</xdr:rowOff>
    </xdr:from>
    <xdr:to>
      <xdr:col>7</xdr:col>
      <xdr:colOff>784860</xdr:colOff>
      <xdr:row>166</xdr:row>
      <xdr:rowOff>154305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63954</xdr:colOff>
      <xdr:row>177</xdr:row>
      <xdr:rowOff>99331</xdr:rowOff>
    </xdr:from>
    <xdr:to>
      <xdr:col>7</xdr:col>
      <xdr:colOff>742950</xdr:colOff>
      <xdr:row>200</xdr:row>
      <xdr:rowOff>114300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719665</xdr:colOff>
      <xdr:row>15</xdr:row>
      <xdr:rowOff>70303</xdr:rowOff>
    </xdr:from>
    <xdr:to>
      <xdr:col>15</xdr:col>
      <xdr:colOff>754592</xdr:colOff>
      <xdr:row>39</xdr:row>
      <xdr:rowOff>82550</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82078</xdr:colOff>
      <xdr:row>311</xdr:row>
      <xdr:rowOff>128494</xdr:rowOff>
    </xdr:from>
    <xdr:to>
      <xdr:col>16</xdr:col>
      <xdr:colOff>0</xdr:colOff>
      <xdr:row>333</xdr:row>
      <xdr:rowOff>170516</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122464</xdr:colOff>
      <xdr:row>280</xdr:row>
      <xdr:rowOff>54428</xdr:rowOff>
    </xdr:from>
    <xdr:to>
      <xdr:col>16</xdr:col>
      <xdr:colOff>0</xdr:colOff>
      <xdr:row>302</xdr:row>
      <xdr:rowOff>133350</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30480</xdr:colOff>
      <xdr:row>248</xdr:row>
      <xdr:rowOff>41909</xdr:rowOff>
    </xdr:from>
    <xdr:to>
      <xdr:col>15</xdr:col>
      <xdr:colOff>744071</xdr:colOff>
      <xdr:row>271</xdr:row>
      <xdr:rowOff>32384</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39782</xdr:colOff>
      <xdr:row>214</xdr:row>
      <xdr:rowOff>80231</xdr:rowOff>
    </xdr:from>
    <xdr:to>
      <xdr:col>15</xdr:col>
      <xdr:colOff>687481</xdr:colOff>
      <xdr:row>237</xdr:row>
      <xdr:rowOff>80683</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92664</xdr:colOff>
      <xdr:row>376</xdr:row>
      <xdr:rowOff>60540</xdr:rowOff>
    </xdr:from>
    <xdr:to>
      <xdr:col>15</xdr:col>
      <xdr:colOff>760319</xdr:colOff>
      <xdr:row>399</xdr:row>
      <xdr:rowOff>11207</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19051</xdr:colOff>
      <xdr:row>509</xdr:row>
      <xdr:rowOff>32658</xdr:rowOff>
    </xdr:from>
    <xdr:to>
      <xdr:col>15</xdr:col>
      <xdr:colOff>704850</xdr:colOff>
      <xdr:row>532</xdr:row>
      <xdr:rowOff>180976</xdr:rowOff>
    </xdr:to>
    <xdr:graphicFrame macro="">
      <xdr:nvGraphicFramePr>
        <xdr:cNvPr id="14" name="Chart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80963</xdr:colOff>
      <xdr:row>409</xdr:row>
      <xdr:rowOff>143435</xdr:rowOff>
    </xdr:from>
    <xdr:to>
      <xdr:col>15</xdr:col>
      <xdr:colOff>704850</xdr:colOff>
      <xdr:row>431</xdr:row>
      <xdr:rowOff>161926</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76079</xdr:colOff>
      <xdr:row>543</xdr:row>
      <xdr:rowOff>66475</xdr:rowOff>
    </xdr:from>
    <xdr:to>
      <xdr:col>15</xdr:col>
      <xdr:colOff>704850</xdr:colOff>
      <xdr:row>565</xdr:row>
      <xdr:rowOff>95251</xdr:rowOff>
    </xdr:to>
    <xdr:graphicFrame macro="">
      <xdr:nvGraphicFramePr>
        <xdr:cNvPr id="16" name="Chart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40822</xdr:colOff>
      <xdr:row>442</xdr:row>
      <xdr:rowOff>82322</xdr:rowOff>
    </xdr:from>
    <xdr:to>
      <xdr:col>15</xdr:col>
      <xdr:colOff>704850</xdr:colOff>
      <xdr:row>465</xdr:row>
      <xdr:rowOff>104775</xdr:rowOff>
    </xdr:to>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61231</xdr:colOff>
      <xdr:row>218</xdr:row>
      <xdr:rowOff>0</xdr:rowOff>
    </xdr:from>
    <xdr:to>
      <xdr:col>16</xdr:col>
      <xdr:colOff>88446</xdr:colOff>
      <xdr:row>218</xdr:row>
      <xdr:rowOff>0</xdr:rowOff>
    </xdr:to>
    <xdr:graphicFrame macro="">
      <xdr:nvGraphicFramePr>
        <xdr:cNvPr id="18" name="Chart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61232</xdr:colOff>
      <xdr:row>313</xdr:row>
      <xdr:rowOff>0</xdr:rowOff>
    </xdr:from>
    <xdr:to>
      <xdr:col>16</xdr:col>
      <xdr:colOff>88446</xdr:colOff>
      <xdr:row>313</xdr:row>
      <xdr:rowOff>0</xdr:rowOff>
    </xdr:to>
    <xdr:graphicFrame macro="">
      <xdr:nvGraphicFramePr>
        <xdr:cNvPr id="20" name="Chart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138113</xdr:colOff>
      <xdr:row>576</xdr:row>
      <xdr:rowOff>77561</xdr:rowOff>
    </xdr:from>
    <xdr:to>
      <xdr:col>15</xdr:col>
      <xdr:colOff>695325</xdr:colOff>
      <xdr:row>595</xdr:row>
      <xdr:rowOff>57151</xdr:rowOff>
    </xdr:to>
    <xdr:graphicFrame macro="">
      <xdr:nvGraphicFramePr>
        <xdr:cNvPr id="21" name="Chart 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26</xdr:col>
      <xdr:colOff>12246</xdr:colOff>
      <xdr:row>18</xdr:row>
      <xdr:rowOff>53789</xdr:rowOff>
    </xdr:from>
    <xdr:to>
      <xdr:col>34</xdr:col>
      <xdr:colOff>707572</xdr:colOff>
      <xdr:row>42</xdr:row>
      <xdr:rowOff>170331</xdr:rowOff>
    </xdr:to>
    <xdr:graphicFrame macro="">
      <xdr:nvGraphicFramePr>
        <xdr:cNvPr id="28" name="Chart 27">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26</xdr:col>
      <xdr:colOff>138110</xdr:colOff>
      <xdr:row>56</xdr:row>
      <xdr:rowOff>123825</xdr:rowOff>
    </xdr:from>
    <xdr:to>
      <xdr:col>34</xdr:col>
      <xdr:colOff>735105</xdr:colOff>
      <xdr:row>79</xdr:row>
      <xdr:rowOff>38100</xdr:rowOff>
    </xdr:to>
    <xdr:graphicFrame macro="">
      <xdr:nvGraphicFramePr>
        <xdr:cNvPr id="29" name="Chart 28">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26</xdr:col>
      <xdr:colOff>38100</xdr:colOff>
      <xdr:row>245</xdr:row>
      <xdr:rowOff>17929</xdr:rowOff>
    </xdr:from>
    <xdr:to>
      <xdr:col>36</xdr:col>
      <xdr:colOff>33866</xdr:colOff>
      <xdr:row>271</xdr:row>
      <xdr:rowOff>17929</xdr:rowOff>
    </xdr:to>
    <xdr:graphicFrame macro="">
      <xdr:nvGraphicFramePr>
        <xdr:cNvPr id="33" name="Chart 32">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142874</xdr:colOff>
      <xdr:row>142</xdr:row>
      <xdr:rowOff>0</xdr:rowOff>
    </xdr:from>
    <xdr:to>
      <xdr:col>16</xdr:col>
      <xdr:colOff>170088</xdr:colOff>
      <xdr:row>142</xdr:row>
      <xdr:rowOff>0</xdr:rowOff>
    </xdr:to>
    <xdr:graphicFrame macro="">
      <xdr:nvGraphicFramePr>
        <xdr:cNvPr id="42" name="Chart 41">
          <a:extLst>
            <a:ext uri="{FF2B5EF4-FFF2-40B4-BE49-F238E27FC236}">
              <a16:creationId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70757</xdr:colOff>
      <xdr:row>476</xdr:row>
      <xdr:rowOff>80962</xdr:rowOff>
    </xdr:from>
    <xdr:to>
      <xdr:col>15</xdr:col>
      <xdr:colOff>733425</xdr:colOff>
      <xdr:row>498</xdr:row>
      <xdr:rowOff>180975</xdr:rowOff>
    </xdr:to>
    <xdr:graphicFrame macro="">
      <xdr:nvGraphicFramePr>
        <xdr:cNvPr id="44" name="Chart 43">
          <a:extLst>
            <a:ext uri="{FF2B5EF4-FFF2-40B4-BE49-F238E27FC236}">
              <a16:creationId xmlns:a16="http://schemas.microsoft.com/office/drawing/2014/main" id="{00000000-0008-0000-04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24494</xdr:colOff>
      <xdr:row>54</xdr:row>
      <xdr:rowOff>64635</xdr:rowOff>
    </xdr:from>
    <xdr:to>
      <xdr:col>23</xdr:col>
      <xdr:colOff>676275</xdr:colOff>
      <xdr:row>78</xdr:row>
      <xdr:rowOff>95250</xdr:rowOff>
    </xdr:to>
    <xdr:graphicFrame macro="">
      <xdr:nvGraphicFramePr>
        <xdr:cNvPr id="50" name="Chart 49">
          <a:extLst>
            <a:ext uri="{FF2B5EF4-FFF2-40B4-BE49-F238E27FC236}">
              <a16:creationId xmlns:a16="http://schemas.microsoft.com/office/drawing/2014/main" id="{00000000-0008-0000-04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29936</xdr:colOff>
      <xdr:row>116</xdr:row>
      <xdr:rowOff>44223</xdr:rowOff>
    </xdr:from>
    <xdr:to>
      <xdr:col>15</xdr:col>
      <xdr:colOff>771525</xdr:colOff>
      <xdr:row>139</xdr:row>
      <xdr:rowOff>85725</xdr:rowOff>
    </xdr:to>
    <xdr:graphicFrame macro="">
      <xdr:nvGraphicFramePr>
        <xdr:cNvPr id="60" name="Chart 59">
          <a:extLst>
            <a:ext uri="{FF2B5EF4-FFF2-40B4-BE49-F238E27FC236}">
              <a16:creationId xmlns:a16="http://schemas.microsoft.com/office/drawing/2014/main" id="{00000000-0008-0000-04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114179</xdr:colOff>
      <xdr:row>605</xdr:row>
      <xdr:rowOff>69275</xdr:rowOff>
    </xdr:from>
    <xdr:to>
      <xdr:col>15</xdr:col>
      <xdr:colOff>743510</xdr:colOff>
      <xdr:row>627</xdr:row>
      <xdr:rowOff>95810</xdr:rowOff>
    </xdr:to>
    <xdr:graphicFrame macro="">
      <xdr:nvGraphicFramePr>
        <xdr:cNvPr id="53" name="Chart 52">
          <a:extLst>
            <a:ext uri="{FF2B5EF4-FFF2-40B4-BE49-F238E27FC236}">
              <a16:creationId xmlns:a16="http://schemas.microsoft.com/office/drawing/2014/main" id="{00000000-0008-0000-04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1211</xdr:colOff>
      <xdr:row>669</xdr:row>
      <xdr:rowOff>89354</xdr:rowOff>
    </xdr:from>
    <xdr:to>
      <xdr:col>15</xdr:col>
      <xdr:colOff>719667</xdr:colOff>
      <xdr:row>692</xdr:row>
      <xdr:rowOff>129117</xdr:rowOff>
    </xdr:to>
    <xdr:graphicFrame macro="">
      <xdr:nvGraphicFramePr>
        <xdr:cNvPr id="57" name="Chart 56">
          <a:extLst>
            <a:ext uri="{FF2B5EF4-FFF2-40B4-BE49-F238E27FC236}">
              <a16:creationId xmlns:a16="http://schemas.microsoft.com/office/drawing/2014/main" id="{00000000-0008-0000-04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26</xdr:col>
      <xdr:colOff>26894</xdr:colOff>
      <xdr:row>93</xdr:row>
      <xdr:rowOff>53788</xdr:rowOff>
    </xdr:from>
    <xdr:to>
      <xdr:col>36</xdr:col>
      <xdr:colOff>25401</xdr:colOff>
      <xdr:row>116</xdr:row>
      <xdr:rowOff>38100</xdr:rowOff>
    </xdr:to>
    <xdr:graphicFrame macro="">
      <xdr:nvGraphicFramePr>
        <xdr:cNvPr id="61" name="Chart 60">
          <a:extLst>
            <a:ext uri="{FF2B5EF4-FFF2-40B4-BE49-F238E27FC236}">
              <a16:creationId xmlns:a16="http://schemas.microsoft.com/office/drawing/2014/main" id="{00000000-0008-0000-04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26</xdr:col>
      <xdr:colOff>90487</xdr:colOff>
      <xdr:row>168</xdr:row>
      <xdr:rowOff>42864</xdr:rowOff>
    </xdr:from>
    <xdr:to>
      <xdr:col>36</xdr:col>
      <xdr:colOff>33867</xdr:colOff>
      <xdr:row>192</xdr:row>
      <xdr:rowOff>28576</xdr:rowOff>
    </xdr:to>
    <xdr:graphicFrame macro="">
      <xdr:nvGraphicFramePr>
        <xdr:cNvPr id="63" name="Chart 62">
          <a:extLst>
            <a:ext uri="{FF2B5EF4-FFF2-40B4-BE49-F238E27FC236}">
              <a16:creationId xmlns:a16="http://schemas.microsoft.com/office/drawing/2014/main" id="{00000000-0008-0000-04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26</xdr:col>
      <xdr:colOff>85725</xdr:colOff>
      <xdr:row>206</xdr:row>
      <xdr:rowOff>51707</xdr:rowOff>
    </xdr:from>
    <xdr:to>
      <xdr:col>34</xdr:col>
      <xdr:colOff>762000</xdr:colOff>
      <xdr:row>228</xdr:row>
      <xdr:rowOff>171450</xdr:rowOff>
    </xdr:to>
    <xdr:graphicFrame macro="">
      <xdr:nvGraphicFramePr>
        <xdr:cNvPr id="64" name="Chart 63">
          <a:extLst>
            <a:ext uri="{FF2B5EF4-FFF2-40B4-BE49-F238E27FC236}">
              <a16:creationId xmlns:a16="http://schemas.microsoft.com/office/drawing/2014/main" id="{00000000-0008-0000-04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29029</xdr:colOff>
      <xdr:row>16</xdr:row>
      <xdr:rowOff>7256</xdr:rowOff>
    </xdr:from>
    <xdr:to>
      <xdr:col>7</xdr:col>
      <xdr:colOff>673101</xdr:colOff>
      <xdr:row>37</xdr:row>
      <xdr:rowOff>3175</xdr:rowOff>
    </xdr:to>
    <xdr:graphicFrame macro="">
      <xdr:nvGraphicFramePr>
        <xdr:cNvPr id="71" name="Chart 70">
          <a:extLst>
            <a:ext uri="{FF2B5EF4-FFF2-40B4-BE49-F238E27FC236}">
              <a16:creationId xmlns:a16="http://schemas.microsoft.com/office/drawing/2014/main" id="{00000000-0008-0000-04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26</xdr:col>
      <xdr:colOff>0</xdr:colOff>
      <xdr:row>281</xdr:row>
      <xdr:rowOff>169333</xdr:rowOff>
    </xdr:from>
    <xdr:to>
      <xdr:col>32</xdr:col>
      <xdr:colOff>615723</xdr:colOff>
      <xdr:row>307</xdr:row>
      <xdr:rowOff>83398</xdr:rowOff>
    </xdr:to>
    <xdr:graphicFrame macro="">
      <xdr:nvGraphicFramePr>
        <xdr:cNvPr id="74" name="Chart 73">
          <a:extLst>
            <a:ext uri="{FF2B5EF4-FFF2-40B4-BE49-F238E27FC236}">
              <a16:creationId xmlns:a16="http://schemas.microsoft.com/office/drawing/2014/main" id="{5AD8444C-90BD-4700-84A0-468A86838C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17</xdr:col>
      <xdr:colOff>-1</xdr:colOff>
      <xdr:row>19</xdr:row>
      <xdr:rowOff>89506</xdr:rowOff>
    </xdr:from>
    <xdr:to>
      <xdr:col>24</xdr:col>
      <xdr:colOff>250370</xdr:colOff>
      <xdr:row>43</xdr:row>
      <xdr:rowOff>0</xdr:rowOff>
    </xdr:to>
    <xdr:graphicFrame macro="">
      <xdr:nvGraphicFramePr>
        <xdr:cNvPr id="77" name="Chart 76">
          <a:extLst>
            <a:ext uri="{FF2B5EF4-FFF2-40B4-BE49-F238E27FC236}">
              <a16:creationId xmlns:a16="http://schemas.microsoft.com/office/drawing/2014/main" id="{DCC4F8D7-6934-4D72-9994-F8BA3B40A5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26</xdr:col>
      <xdr:colOff>238125</xdr:colOff>
      <xdr:row>320</xdr:row>
      <xdr:rowOff>167640</xdr:rowOff>
    </xdr:from>
    <xdr:to>
      <xdr:col>32</xdr:col>
      <xdr:colOff>701040</xdr:colOff>
      <xdr:row>347</xdr:row>
      <xdr:rowOff>66675</xdr:rowOff>
    </xdr:to>
    <xdr:graphicFrame macro="">
      <xdr:nvGraphicFramePr>
        <xdr:cNvPr id="78" name="Chart 77">
          <a:extLst>
            <a:ext uri="{FF2B5EF4-FFF2-40B4-BE49-F238E27FC236}">
              <a16:creationId xmlns:a16="http://schemas.microsoft.com/office/drawing/2014/main" id="{AA368CEC-5350-469F-BAA0-28764A59C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77</xdr:row>
      <xdr:rowOff>0</xdr:rowOff>
    </xdr:from>
    <xdr:to>
      <xdr:col>7</xdr:col>
      <xdr:colOff>788894</xdr:colOff>
      <xdr:row>99</xdr:row>
      <xdr:rowOff>142875</xdr:rowOff>
    </xdr:to>
    <xdr:graphicFrame macro="">
      <xdr:nvGraphicFramePr>
        <xdr:cNvPr id="76" name="Chart 75">
          <a:extLst>
            <a:ext uri="{FF2B5EF4-FFF2-40B4-BE49-F238E27FC236}">
              <a16:creationId xmlns:a16="http://schemas.microsoft.com/office/drawing/2014/main" id="{DD2F1A42-3070-457C-A567-EE89CB58F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9</xdr:col>
      <xdr:colOff>50800</xdr:colOff>
      <xdr:row>768</xdr:row>
      <xdr:rowOff>55880</xdr:rowOff>
    </xdr:from>
    <xdr:to>
      <xdr:col>16</xdr:col>
      <xdr:colOff>0</xdr:colOff>
      <xdr:row>790</xdr:row>
      <xdr:rowOff>82415</xdr:rowOff>
    </xdr:to>
    <xdr:graphicFrame macro="">
      <xdr:nvGraphicFramePr>
        <xdr:cNvPr id="80" name="Chart 79">
          <a:extLst>
            <a:ext uri="{FF2B5EF4-FFF2-40B4-BE49-F238E27FC236}">
              <a16:creationId xmlns:a16="http://schemas.microsoft.com/office/drawing/2014/main" id="{E1990C54-D9B9-49AE-8695-3E9FF5F4CB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41487</xdr:colOff>
      <xdr:row>702</xdr:row>
      <xdr:rowOff>38947</xdr:rowOff>
    </xdr:from>
    <xdr:to>
      <xdr:col>15</xdr:col>
      <xdr:colOff>676109</xdr:colOff>
      <xdr:row>725</xdr:row>
      <xdr:rowOff>55880</xdr:rowOff>
    </xdr:to>
    <xdr:graphicFrame macro="">
      <xdr:nvGraphicFramePr>
        <xdr:cNvPr id="82" name="Chart 81">
          <a:extLst>
            <a:ext uri="{FF2B5EF4-FFF2-40B4-BE49-F238E27FC236}">
              <a16:creationId xmlns:a16="http://schemas.microsoft.com/office/drawing/2014/main" id="{334D2C5D-292B-49E9-8602-01BE93DC28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8</xdr:col>
      <xdr:colOff>780204</xdr:colOff>
      <xdr:row>49</xdr:row>
      <xdr:rowOff>846</xdr:rowOff>
    </xdr:from>
    <xdr:to>
      <xdr:col>16</xdr:col>
      <xdr:colOff>0</xdr:colOff>
      <xdr:row>72</xdr:row>
      <xdr:rowOff>143435</xdr:rowOff>
    </xdr:to>
    <xdr:graphicFrame macro="">
      <xdr:nvGraphicFramePr>
        <xdr:cNvPr id="54" name="Chart 53">
          <a:extLst>
            <a:ext uri="{FF2B5EF4-FFF2-40B4-BE49-F238E27FC236}">
              <a16:creationId xmlns:a16="http://schemas.microsoft.com/office/drawing/2014/main" id="{6E3E86B5-BE78-44D8-89F8-8162083E0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9</xdr:col>
      <xdr:colOff>152400</xdr:colOff>
      <xdr:row>178</xdr:row>
      <xdr:rowOff>76199</xdr:rowOff>
    </xdr:from>
    <xdr:to>
      <xdr:col>16</xdr:col>
      <xdr:colOff>0</xdr:colOff>
      <xdr:row>204</xdr:row>
      <xdr:rowOff>72451</xdr:rowOff>
    </xdr:to>
    <xdr:graphicFrame macro="">
      <xdr:nvGraphicFramePr>
        <xdr:cNvPr id="55" name="Chart 54">
          <a:extLst>
            <a:ext uri="{FF2B5EF4-FFF2-40B4-BE49-F238E27FC236}">
              <a16:creationId xmlns:a16="http://schemas.microsoft.com/office/drawing/2014/main" id="{26F9AE82-0E65-4EF8-B512-9EA11CE3E8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9</xdr:col>
      <xdr:colOff>68580</xdr:colOff>
      <xdr:row>84</xdr:row>
      <xdr:rowOff>60960</xdr:rowOff>
    </xdr:from>
    <xdr:to>
      <xdr:col>15</xdr:col>
      <xdr:colOff>702145</xdr:colOff>
      <xdr:row>106</xdr:row>
      <xdr:rowOff>79874</xdr:rowOff>
    </xdr:to>
    <xdr:graphicFrame macro="">
      <xdr:nvGraphicFramePr>
        <xdr:cNvPr id="56" name="Chart 55">
          <a:extLst>
            <a:ext uri="{FF2B5EF4-FFF2-40B4-BE49-F238E27FC236}">
              <a16:creationId xmlns:a16="http://schemas.microsoft.com/office/drawing/2014/main" id="{7F7B92F8-C160-402C-B62C-1DB0D047FB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26</xdr:col>
      <xdr:colOff>0</xdr:colOff>
      <xdr:row>129</xdr:row>
      <xdr:rowOff>0</xdr:rowOff>
    </xdr:from>
    <xdr:to>
      <xdr:col>34</xdr:col>
      <xdr:colOff>440266</xdr:colOff>
      <xdr:row>151</xdr:row>
      <xdr:rowOff>170579</xdr:rowOff>
    </xdr:to>
    <xdr:graphicFrame macro="">
      <xdr:nvGraphicFramePr>
        <xdr:cNvPr id="52" name="Chart 51">
          <a:extLst>
            <a:ext uri="{FF2B5EF4-FFF2-40B4-BE49-F238E27FC236}">
              <a16:creationId xmlns:a16="http://schemas.microsoft.com/office/drawing/2014/main" id="{E4D8DEFF-9EB5-4CC7-965A-64942A015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9</xdr:col>
      <xdr:colOff>0</xdr:colOff>
      <xdr:row>639</xdr:row>
      <xdr:rowOff>0</xdr:rowOff>
    </xdr:from>
    <xdr:to>
      <xdr:col>15</xdr:col>
      <xdr:colOff>557212</xdr:colOff>
      <xdr:row>657</xdr:row>
      <xdr:rowOff>162470</xdr:rowOff>
    </xdr:to>
    <xdr:graphicFrame macro="">
      <xdr:nvGraphicFramePr>
        <xdr:cNvPr id="45" name="Chart 44">
          <a:extLst>
            <a:ext uri="{FF2B5EF4-FFF2-40B4-BE49-F238E27FC236}">
              <a16:creationId xmlns:a16="http://schemas.microsoft.com/office/drawing/2014/main" id="{370E7BCD-2277-4730-AECD-D65CFF74D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49107</xdr:colOff>
      <xdr:row>736</xdr:row>
      <xdr:rowOff>46567</xdr:rowOff>
    </xdr:from>
    <xdr:to>
      <xdr:col>15</xdr:col>
      <xdr:colOff>683729</xdr:colOff>
      <xdr:row>757</xdr:row>
      <xdr:rowOff>129540</xdr:rowOff>
    </xdr:to>
    <xdr:graphicFrame macro="">
      <xdr:nvGraphicFramePr>
        <xdr:cNvPr id="46" name="Chart 45">
          <a:extLst>
            <a:ext uri="{FF2B5EF4-FFF2-40B4-BE49-F238E27FC236}">
              <a16:creationId xmlns:a16="http://schemas.microsoft.com/office/drawing/2014/main" id="{FBCAC3E4-1846-4C77-B0DE-E9387EB2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53340</xdr:colOff>
      <xdr:row>45</xdr:row>
      <xdr:rowOff>53340</xdr:rowOff>
    </xdr:from>
    <xdr:to>
      <xdr:col>7</xdr:col>
      <xdr:colOff>697412</xdr:colOff>
      <xdr:row>66</xdr:row>
      <xdr:rowOff>34019</xdr:rowOff>
    </xdr:to>
    <xdr:graphicFrame macro="">
      <xdr:nvGraphicFramePr>
        <xdr:cNvPr id="47" name="Chart 46">
          <a:extLst>
            <a:ext uri="{FF2B5EF4-FFF2-40B4-BE49-F238E27FC236}">
              <a16:creationId xmlns:a16="http://schemas.microsoft.com/office/drawing/2014/main" id="{3D0C09F9-68A7-49FE-9FE1-F9D82D9E28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9</xdr:col>
      <xdr:colOff>79936</xdr:colOff>
      <xdr:row>800</xdr:row>
      <xdr:rowOff>17781</xdr:rowOff>
    </xdr:from>
    <xdr:to>
      <xdr:col>15</xdr:col>
      <xdr:colOff>722714</xdr:colOff>
      <xdr:row>822</xdr:row>
      <xdr:rowOff>44315</xdr:rowOff>
    </xdr:to>
    <xdr:graphicFrame macro="">
      <xdr:nvGraphicFramePr>
        <xdr:cNvPr id="48" name="Chart 47">
          <a:extLst>
            <a:ext uri="{FF2B5EF4-FFF2-40B4-BE49-F238E27FC236}">
              <a16:creationId xmlns:a16="http://schemas.microsoft.com/office/drawing/2014/main" id="{41904151-9AC4-48A3-9A4E-BCDAC9552D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9</xdr:col>
      <xdr:colOff>62007</xdr:colOff>
      <xdr:row>147</xdr:row>
      <xdr:rowOff>35710</xdr:rowOff>
    </xdr:from>
    <xdr:to>
      <xdr:col>15</xdr:col>
      <xdr:colOff>704785</xdr:colOff>
      <xdr:row>168</xdr:row>
      <xdr:rowOff>178787</xdr:rowOff>
    </xdr:to>
    <xdr:graphicFrame macro="">
      <xdr:nvGraphicFramePr>
        <xdr:cNvPr id="49" name="Chart 48">
          <a:extLst>
            <a:ext uri="{FF2B5EF4-FFF2-40B4-BE49-F238E27FC236}">
              <a16:creationId xmlns:a16="http://schemas.microsoft.com/office/drawing/2014/main" id="{F9BD1F90-5A1E-4664-9654-B43F142FD4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82078</xdr:colOff>
      <xdr:row>344</xdr:row>
      <xdr:rowOff>128494</xdr:rowOff>
    </xdr:from>
    <xdr:to>
      <xdr:col>16</xdr:col>
      <xdr:colOff>0</xdr:colOff>
      <xdr:row>366</xdr:row>
      <xdr:rowOff>170516</xdr:rowOff>
    </xdr:to>
    <xdr:graphicFrame macro="">
      <xdr:nvGraphicFramePr>
        <xdr:cNvPr id="51" name="Chart 50">
          <a:extLst>
            <a:ext uri="{FF2B5EF4-FFF2-40B4-BE49-F238E27FC236}">
              <a16:creationId xmlns:a16="http://schemas.microsoft.com/office/drawing/2014/main" id="{F30699E1-5593-43EB-B31A-7D029E422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61232</xdr:colOff>
      <xdr:row>346</xdr:row>
      <xdr:rowOff>0</xdr:rowOff>
    </xdr:from>
    <xdr:to>
      <xdr:col>16</xdr:col>
      <xdr:colOff>88446</xdr:colOff>
      <xdr:row>346</xdr:row>
      <xdr:rowOff>0</xdr:rowOff>
    </xdr:to>
    <xdr:graphicFrame macro="">
      <xdr:nvGraphicFramePr>
        <xdr:cNvPr id="58" name="Chart 57">
          <a:extLst>
            <a:ext uri="{FF2B5EF4-FFF2-40B4-BE49-F238E27FC236}">
              <a16:creationId xmlns:a16="http://schemas.microsoft.com/office/drawing/2014/main" id="{14D891E7-EABE-4413-B29D-698616CCE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
  <sheetViews>
    <sheetView tabSelected="1" zoomScale="85" zoomScaleNormal="85" workbookViewId="0">
      <selection activeCell="D21" sqref="D21"/>
    </sheetView>
  </sheetViews>
  <sheetFormatPr defaultRowHeight="15" x14ac:dyDescent="0.25"/>
  <cols>
    <col min="1" max="1" width="9.5703125" customWidth="1"/>
    <col min="2" max="2" width="20.42578125" customWidth="1"/>
    <col min="3" max="3" width="11.28515625" customWidth="1"/>
    <col min="4" max="4" width="16.140625" customWidth="1"/>
    <col min="6" max="6" width="5.28515625" customWidth="1"/>
    <col min="9" max="9" width="13.7109375" customWidth="1"/>
    <col min="10" max="11" width="13.7109375" style="2" customWidth="1"/>
    <col min="12" max="12" width="10.140625" style="2" customWidth="1"/>
    <col min="13" max="13" width="6.42578125" customWidth="1"/>
  </cols>
  <sheetData>
    <row r="1" spans="1:27" x14ac:dyDescent="0.25">
      <c r="A1" s="2"/>
      <c r="B1" s="2"/>
      <c r="C1" s="2"/>
      <c r="D1" s="2"/>
      <c r="E1" s="2"/>
      <c r="F1" s="2"/>
      <c r="G1" s="2"/>
    </row>
    <row r="2" spans="1:27" x14ac:dyDescent="0.25">
      <c r="A2" s="2"/>
      <c r="B2" s="2"/>
      <c r="C2" s="2"/>
      <c r="D2" s="2"/>
      <c r="E2" s="2"/>
      <c r="F2" s="2"/>
      <c r="G2" s="2"/>
    </row>
    <row r="3" spans="1:27" ht="17.25" x14ac:dyDescent="0.3">
      <c r="A3" s="12" t="s">
        <v>72</v>
      </c>
      <c r="B3" s="2"/>
      <c r="C3" s="2"/>
      <c r="D3" s="2"/>
      <c r="E3" s="2"/>
      <c r="F3" s="2"/>
      <c r="G3" s="2"/>
      <c r="H3" s="2"/>
      <c r="I3" s="2"/>
    </row>
    <row r="4" spans="1:27" x14ac:dyDescent="0.25">
      <c r="B4" s="2" t="s">
        <v>73</v>
      </c>
      <c r="C4" s="2"/>
      <c r="D4" s="2" t="s">
        <v>280</v>
      </c>
      <c r="E4" s="2"/>
      <c r="F4" s="2"/>
      <c r="G4" s="2"/>
      <c r="H4" s="2"/>
      <c r="I4" s="2"/>
      <c r="N4" t="s">
        <v>98</v>
      </c>
    </row>
    <row r="5" spans="1:27" x14ac:dyDescent="0.25">
      <c r="B5" s="353"/>
      <c r="C5" s="2"/>
      <c r="D5" s="354"/>
      <c r="E5" s="2"/>
      <c r="F5" s="2"/>
      <c r="G5" s="2"/>
      <c r="H5" s="2"/>
      <c r="I5" s="2"/>
      <c r="M5" s="2"/>
      <c r="N5" s="421"/>
      <c r="O5" s="421"/>
      <c r="P5" s="421"/>
      <c r="Q5" s="421"/>
      <c r="R5" s="421"/>
      <c r="S5" s="421"/>
      <c r="T5" s="421"/>
      <c r="U5" s="421"/>
      <c r="V5" s="421"/>
      <c r="W5" s="421"/>
      <c r="X5" s="421"/>
      <c r="Y5" s="2"/>
      <c r="Z5" s="2"/>
      <c r="AA5" s="2"/>
    </row>
    <row r="6" spans="1:27" ht="15.75" thickBot="1" x14ac:dyDescent="0.3">
      <c r="C6" s="2"/>
      <c r="D6" s="2"/>
      <c r="E6" s="2"/>
      <c r="F6" s="2"/>
      <c r="G6" s="2"/>
      <c r="H6" s="2"/>
      <c r="I6" s="2"/>
      <c r="M6" s="2"/>
      <c r="N6" s="421"/>
      <c r="O6" s="421"/>
      <c r="P6" s="421"/>
      <c r="Q6" s="421"/>
      <c r="R6" s="421"/>
      <c r="S6" s="421"/>
      <c r="T6" s="421"/>
      <c r="U6" s="421"/>
      <c r="V6" s="421"/>
      <c r="W6" s="421"/>
      <c r="X6" s="421"/>
      <c r="Y6" s="2"/>
      <c r="Z6" s="2"/>
      <c r="AA6" s="2"/>
    </row>
    <row r="7" spans="1:27" x14ac:dyDescent="0.25">
      <c r="A7" s="415" t="s">
        <v>282</v>
      </c>
      <c r="B7" s="416"/>
      <c r="C7" s="416"/>
      <c r="D7" s="416"/>
      <c r="E7" s="417"/>
      <c r="F7" s="2"/>
      <c r="G7" s="415" t="s">
        <v>360</v>
      </c>
      <c r="H7" s="416"/>
      <c r="I7" s="416"/>
      <c r="J7" s="416"/>
      <c r="K7" s="416"/>
      <c r="L7" s="417"/>
      <c r="M7" s="2"/>
      <c r="N7" s="421"/>
      <c r="O7" s="421"/>
      <c r="P7" s="421"/>
      <c r="Q7" s="421"/>
      <c r="R7" s="421"/>
      <c r="S7" s="421"/>
      <c r="T7" s="421"/>
      <c r="U7" s="421"/>
      <c r="V7" s="421"/>
      <c r="W7" s="421"/>
      <c r="X7" s="421"/>
      <c r="Y7" s="2"/>
      <c r="Z7" s="2"/>
      <c r="AA7" s="2"/>
    </row>
    <row r="8" spans="1:27" s="2" customFormat="1" ht="14.45" customHeight="1" thickBot="1" x14ac:dyDescent="0.3">
      <c r="A8" s="418"/>
      <c r="B8" s="419"/>
      <c r="C8" s="419"/>
      <c r="D8" s="419"/>
      <c r="E8" s="420"/>
      <c r="G8" s="418"/>
      <c r="H8" s="419"/>
      <c r="I8" s="419"/>
      <c r="J8" s="419"/>
      <c r="K8" s="419"/>
      <c r="L8" s="420"/>
      <c r="N8" s="421"/>
      <c r="O8" s="421"/>
      <c r="P8" s="421"/>
      <c r="Q8" s="421"/>
      <c r="R8" s="421"/>
      <c r="S8" s="421"/>
      <c r="T8" s="421"/>
      <c r="U8" s="421"/>
      <c r="V8" s="421"/>
      <c r="W8" s="421"/>
      <c r="X8" s="421"/>
    </row>
    <row r="9" spans="1:27" s="2" customFormat="1" ht="15" customHeight="1" x14ac:dyDescent="0.25">
      <c r="A9" s="331" t="s">
        <v>99</v>
      </c>
      <c r="B9" s="430"/>
      <c r="C9" s="430"/>
      <c r="D9" s="430"/>
      <c r="E9" s="431"/>
      <c r="F9"/>
      <c r="G9" s="40"/>
      <c r="H9" s="5"/>
      <c r="I9" s="5"/>
      <c r="J9" s="5"/>
      <c r="K9" s="5"/>
      <c r="L9" s="61"/>
      <c r="N9" s="421"/>
      <c r="O9" s="421"/>
      <c r="P9" s="421"/>
      <c r="Q9" s="421"/>
      <c r="R9" s="421"/>
      <c r="S9" s="421"/>
      <c r="T9" s="421"/>
      <c r="U9" s="421"/>
      <c r="V9" s="421"/>
      <c r="W9" s="421"/>
      <c r="X9" s="421"/>
    </row>
    <row r="10" spans="1:27" x14ac:dyDescent="0.25">
      <c r="A10" s="40"/>
      <c r="B10" s="5"/>
      <c r="C10" s="5"/>
      <c r="D10" s="5"/>
      <c r="E10" s="61"/>
      <c r="G10" s="40"/>
      <c r="H10" s="5"/>
      <c r="I10" s="5"/>
      <c r="J10" s="5"/>
      <c r="K10" s="5"/>
      <c r="L10" s="61"/>
      <c r="M10" s="2"/>
      <c r="N10" s="421"/>
      <c r="O10" s="421"/>
      <c r="P10" s="421"/>
      <c r="Q10" s="421"/>
      <c r="R10" s="421"/>
      <c r="S10" s="421"/>
      <c r="T10" s="421"/>
      <c r="U10" s="421"/>
      <c r="V10" s="421"/>
      <c r="W10" s="421"/>
      <c r="X10" s="421"/>
      <c r="Y10" s="2"/>
      <c r="Z10" s="2"/>
      <c r="AA10" s="2"/>
    </row>
    <row r="11" spans="1:27" x14ac:dyDescent="0.25">
      <c r="A11" s="40"/>
      <c r="B11" s="5"/>
      <c r="C11" s="5"/>
      <c r="D11" s="5"/>
      <c r="E11" s="61"/>
      <c r="G11" s="40"/>
      <c r="H11" s="5"/>
      <c r="I11" s="5"/>
      <c r="J11" s="5"/>
      <c r="K11" s="5"/>
      <c r="L11" s="61"/>
      <c r="M11" s="2"/>
      <c r="N11" s="421"/>
      <c r="O11" s="421"/>
      <c r="P11" s="421"/>
      <c r="Q11" s="421"/>
      <c r="R11" s="421"/>
      <c r="S11" s="421"/>
      <c r="T11" s="421"/>
      <c r="U11" s="421"/>
      <c r="V11" s="421"/>
      <c r="W11" s="421"/>
      <c r="X11" s="421"/>
      <c r="Y11" s="2"/>
      <c r="Z11" s="2"/>
      <c r="AA11" s="2"/>
    </row>
    <row r="12" spans="1:27" x14ac:dyDescent="0.25">
      <c r="A12" s="40"/>
      <c r="B12" s="5"/>
      <c r="C12" s="5"/>
      <c r="D12" s="5"/>
      <c r="E12" s="61"/>
      <c r="G12" s="40"/>
      <c r="H12" s="5"/>
      <c r="I12" s="5"/>
      <c r="J12" s="5"/>
      <c r="K12" s="5"/>
      <c r="L12" s="61"/>
      <c r="M12" s="2"/>
      <c r="N12" s="421"/>
      <c r="O12" s="421"/>
      <c r="P12" s="421"/>
      <c r="Q12" s="421"/>
      <c r="R12" s="421"/>
      <c r="S12" s="421"/>
      <c r="T12" s="421"/>
      <c r="U12" s="421"/>
      <c r="V12" s="421"/>
      <c r="W12" s="421"/>
      <c r="X12" s="421"/>
      <c r="Y12" s="2"/>
      <c r="Z12" s="2"/>
      <c r="AA12" s="2"/>
    </row>
    <row r="13" spans="1:27" x14ac:dyDescent="0.25">
      <c r="A13" s="40"/>
      <c r="B13" s="5"/>
      <c r="C13" s="5"/>
      <c r="D13" s="5"/>
      <c r="E13" s="61"/>
      <c r="G13" s="40"/>
      <c r="H13" s="5"/>
      <c r="I13" s="5"/>
      <c r="J13" s="5"/>
      <c r="K13" s="5"/>
      <c r="L13" s="61"/>
      <c r="M13" s="2"/>
      <c r="N13" s="421"/>
      <c r="O13" s="421"/>
      <c r="P13" s="421"/>
      <c r="Q13" s="421"/>
      <c r="R13" s="421"/>
      <c r="S13" s="421"/>
      <c r="T13" s="421"/>
      <c r="U13" s="421"/>
      <c r="V13" s="421"/>
      <c r="W13" s="421"/>
      <c r="X13" s="421"/>
      <c r="Y13" s="2"/>
      <c r="Z13" s="2"/>
      <c r="AA13" s="2"/>
    </row>
    <row r="14" spans="1:27" x14ac:dyDescent="0.25">
      <c r="A14" s="40"/>
      <c r="B14" s="5"/>
      <c r="C14" s="5"/>
      <c r="D14" s="5"/>
      <c r="E14" s="61"/>
      <c r="G14" s="40"/>
      <c r="H14" s="5"/>
      <c r="I14" s="5"/>
      <c r="J14" s="5"/>
      <c r="K14" s="5"/>
      <c r="L14" s="61"/>
      <c r="M14" s="2"/>
      <c r="N14" s="421"/>
      <c r="O14" s="421"/>
      <c r="P14" s="421"/>
      <c r="Q14" s="421"/>
      <c r="R14" s="421"/>
      <c r="S14" s="421"/>
      <c r="T14" s="421"/>
      <c r="U14" s="421"/>
      <c r="V14" s="421"/>
      <c r="W14" s="421"/>
      <c r="X14" s="421"/>
      <c r="Y14" s="2"/>
      <c r="Z14" s="2"/>
      <c r="AA14" s="2"/>
    </row>
    <row r="15" spans="1:27" x14ac:dyDescent="0.25">
      <c r="A15" s="40"/>
      <c r="B15" s="5"/>
      <c r="C15" s="5"/>
      <c r="D15" s="5"/>
      <c r="E15" s="61"/>
      <c r="G15" s="40"/>
      <c r="H15" s="5"/>
      <c r="I15" s="5"/>
      <c r="J15" s="5"/>
      <c r="K15" s="5"/>
      <c r="L15" s="61"/>
      <c r="M15" s="2"/>
      <c r="N15" s="421"/>
      <c r="O15" s="421"/>
      <c r="P15" s="421"/>
      <c r="Q15" s="421"/>
      <c r="R15" s="421"/>
      <c r="S15" s="421"/>
      <c r="T15" s="421"/>
      <c r="U15" s="421"/>
      <c r="V15" s="421"/>
      <c r="W15" s="421"/>
      <c r="X15" s="421"/>
      <c r="Y15" s="2"/>
      <c r="Z15" s="2"/>
      <c r="AA15" s="2"/>
    </row>
    <row r="16" spans="1:27" x14ac:dyDescent="0.25">
      <c r="A16" s="40"/>
      <c r="B16" s="5"/>
      <c r="C16" s="5"/>
      <c r="D16" s="5"/>
      <c r="E16" s="61"/>
      <c r="F16" s="317"/>
      <c r="G16" s="40"/>
      <c r="H16" s="5"/>
      <c r="I16" s="5"/>
      <c r="J16" s="5"/>
      <c r="K16" s="5"/>
      <c r="L16" s="61"/>
      <c r="M16" s="2"/>
      <c r="N16" s="421"/>
      <c r="O16" s="421"/>
      <c r="P16" s="421"/>
      <c r="Q16" s="421"/>
      <c r="R16" s="421"/>
      <c r="S16" s="421"/>
      <c r="T16" s="421"/>
      <c r="U16" s="421"/>
      <c r="V16" s="421"/>
      <c r="W16" s="421"/>
      <c r="X16" s="421"/>
      <c r="Y16" s="2"/>
      <c r="Z16" s="2"/>
      <c r="AA16" s="2"/>
    </row>
    <row r="17" spans="1:27" s="317" customFormat="1" x14ac:dyDescent="0.25">
      <c r="A17" s="40"/>
      <c r="B17" s="5"/>
      <c r="C17" s="5"/>
      <c r="D17" s="5"/>
      <c r="E17" s="61"/>
      <c r="G17" s="40"/>
      <c r="H17" s="5"/>
      <c r="I17" s="5"/>
      <c r="J17" s="5"/>
      <c r="K17" s="5"/>
      <c r="L17" s="61"/>
      <c r="N17" s="421"/>
      <c r="O17" s="421"/>
      <c r="P17" s="421"/>
      <c r="Q17" s="421"/>
      <c r="R17" s="421"/>
      <c r="S17" s="421"/>
      <c r="T17" s="421"/>
      <c r="U17" s="421"/>
      <c r="V17" s="421"/>
      <c r="W17" s="421"/>
      <c r="X17" s="421"/>
    </row>
    <row r="18" spans="1:27" s="317" customFormat="1" x14ac:dyDescent="0.25">
      <c r="A18" s="40"/>
      <c r="B18" s="5"/>
      <c r="C18" s="5"/>
      <c r="D18" s="5"/>
      <c r="E18" s="61"/>
      <c r="F18"/>
      <c r="G18" s="40"/>
      <c r="H18" s="5"/>
      <c r="I18" s="5"/>
      <c r="J18" s="5"/>
      <c r="K18" s="5"/>
      <c r="L18" s="61"/>
      <c r="N18" s="421"/>
      <c r="O18" s="421"/>
      <c r="P18" s="421"/>
      <c r="Q18" s="421"/>
      <c r="R18" s="421"/>
      <c r="S18" s="421"/>
      <c r="T18" s="421"/>
      <c r="U18" s="421"/>
      <c r="V18" s="421"/>
      <c r="W18" s="421"/>
      <c r="X18" s="421"/>
    </row>
    <row r="19" spans="1:27" x14ac:dyDescent="0.25">
      <c r="A19" s="331" t="s">
        <v>368</v>
      </c>
      <c r="B19" s="422"/>
      <c r="C19" s="422"/>
      <c r="D19" s="422"/>
      <c r="E19" s="423"/>
      <c r="G19" s="40"/>
      <c r="H19" s="5"/>
      <c r="I19" s="5"/>
      <c r="J19" s="5"/>
      <c r="K19" s="5"/>
      <c r="L19" s="61"/>
      <c r="M19" s="2"/>
      <c r="N19" s="421"/>
      <c r="O19" s="421"/>
      <c r="P19" s="421"/>
      <c r="Q19" s="421"/>
      <c r="R19" s="421"/>
      <c r="S19" s="421"/>
      <c r="T19" s="421"/>
      <c r="U19" s="421"/>
      <c r="V19" s="421"/>
      <c r="W19" s="421"/>
      <c r="X19" s="421"/>
      <c r="Y19" s="2"/>
      <c r="Z19" s="2"/>
      <c r="AA19" s="2"/>
    </row>
    <row r="20" spans="1:27" x14ac:dyDescent="0.25">
      <c r="A20" s="331" t="s">
        <v>369</v>
      </c>
      <c r="B20" s="432"/>
      <c r="C20" s="433"/>
      <c r="D20" s="433"/>
      <c r="E20" s="434"/>
      <c r="G20" s="40"/>
      <c r="H20" s="5"/>
      <c r="I20" s="5"/>
      <c r="J20" s="5"/>
      <c r="K20" s="5"/>
      <c r="L20" s="61"/>
      <c r="M20" s="2"/>
      <c r="N20" s="421"/>
      <c r="O20" s="421"/>
      <c r="P20" s="421"/>
      <c r="Q20" s="421"/>
      <c r="R20" s="421"/>
      <c r="S20" s="421"/>
      <c r="T20" s="421"/>
      <c r="U20" s="421"/>
      <c r="V20" s="421"/>
      <c r="W20" s="421"/>
      <c r="X20" s="421"/>
      <c r="Y20" s="2"/>
      <c r="Z20" s="2"/>
      <c r="AA20" s="2"/>
    </row>
    <row r="21" spans="1:27" ht="15.75" x14ac:dyDescent="0.25">
      <c r="A21" s="424" t="s">
        <v>247</v>
      </c>
      <c r="B21" s="425"/>
      <c r="C21" s="426"/>
      <c r="D21" s="107"/>
      <c r="E21" s="61"/>
      <c r="G21" s="40"/>
      <c r="H21" s="5"/>
      <c r="I21" s="5"/>
      <c r="J21" s="5"/>
      <c r="K21" s="5"/>
      <c r="L21" s="61"/>
      <c r="M21" s="2"/>
      <c r="N21" s="421"/>
      <c r="O21" s="421"/>
      <c r="P21" s="421"/>
      <c r="Q21" s="421"/>
      <c r="R21" s="421"/>
      <c r="S21" s="421"/>
      <c r="T21" s="421"/>
      <c r="U21" s="421"/>
      <c r="V21" s="421"/>
      <c r="W21" s="421"/>
      <c r="X21" s="421"/>
      <c r="Y21" s="2"/>
      <c r="Z21" s="2"/>
      <c r="AA21" s="2"/>
    </row>
    <row r="22" spans="1:27" ht="14.45" customHeight="1" x14ac:dyDescent="0.25">
      <c r="A22" s="427" t="s">
        <v>381</v>
      </c>
      <c r="B22" s="428"/>
      <c r="C22" s="428"/>
      <c r="D22" s="428"/>
      <c r="E22" s="429"/>
      <c r="G22" s="40"/>
      <c r="H22" s="5"/>
      <c r="I22" s="5"/>
      <c r="J22" s="5"/>
      <c r="K22" s="5"/>
      <c r="L22" s="61"/>
      <c r="M22" s="2"/>
      <c r="N22" s="421"/>
      <c r="O22" s="421"/>
      <c r="P22" s="421"/>
      <c r="Q22" s="421"/>
      <c r="R22" s="421"/>
      <c r="S22" s="421"/>
      <c r="T22" s="421"/>
      <c r="U22" s="421"/>
      <c r="V22" s="421"/>
      <c r="W22" s="421"/>
      <c r="X22" s="421"/>
      <c r="Y22" s="2"/>
      <c r="Z22" s="2"/>
      <c r="AA22" s="2"/>
    </row>
    <row r="23" spans="1:27" ht="14.45" customHeight="1" x14ac:dyDescent="0.25">
      <c r="A23" s="427"/>
      <c r="B23" s="428"/>
      <c r="C23" s="428"/>
      <c r="D23" s="428"/>
      <c r="E23" s="429"/>
      <c r="G23" s="40"/>
      <c r="H23" s="5"/>
      <c r="I23" s="5"/>
      <c r="J23" s="5"/>
      <c r="K23" s="5"/>
      <c r="L23" s="61"/>
      <c r="M23" s="2"/>
      <c r="N23" s="421"/>
      <c r="O23" s="421"/>
      <c r="P23" s="421"/>
      <c r="Q23" s="421"/>
      <c r="R23" s="421"/>
      <c r="S23" s="421"/>
      <c r="T23" s="421"/>
      <c r="U23" s="421"/>
      <c r="V23" s="421"/>
      <c r="W23" s="421"/>
      <c r="X23" s="421"/>
      <c r="Y23" s="2"/>
      <c r="Z23" s="2"/>
      <c r="AA23" s="2"/>
    </row>
    <row r="24" spans="1:27" ht="15" customHeight="1" x14ac:dyDescent="0.25">
      <c r="A24" s="427"/>
      <c r="B24" s="428"/>
      <c r="C24" s="428"/>
      <c r="D24" s="428"/>
      <c r="E24" s="429"/>
      <c r="G24" s="40"/>
      <c r="H24" s="5"/>
      <c r="I24" s="5"/>
      <c r="J24" s="5"/>
      <c r="K24" s="5"/>
      <c r="L24" s="61"/>
      <c r="M24" s="2"/>
      <c r="N24" s="421"/>
      <c r="O24" s="421"/>
      <c r="P24" s="421"/>
      <c r="Q24" s="421"/>
      <c r="R24" s="421"/>
      <c r="S24" s="421"/>
      <c r="T24" s="421"/>
      <c r="U24" s="421"/>
      <c r="V24" s="421"/>
      <c r="W24" s="421"/>
      <c r="X24" s="421"/>
      <c r="Y24" s="2"/>
      <c r="Z24" s="2"/>
      <c r="AA24" s="2"/>
    </row>
    <row r="25" spans="1:27" x14ac:dyDescent="0.25">
      <c r="A25" s="427"/>
      <c r="B25" s="428"/>
      <c r="C25" s="428"/>
      <c r="D25" s="428"/>
      <c r="E25" s="429"/>
      <c r="G25" s="40"/>
      <c r="H25" s="5"/>
      <c r="I25" s="5"/>
      <c r="J25" s="5"/>
      <c r="K25" s="5"/>
      <c r="L25" s="61"/>
      <c r="M25" s="2"/>
      <c r="N25" s="421"/>
      <c r="O25" s="421"/>
      <c r="P25" s="421"/>
      <c r="Q25" s="421"/>
      <c r="R25" s="421"/>
      <c r="S25" s="421"/>
      <c r="T25" s="421"/>
      <c r="U25" s="421"/>
      <c r="V25" s="421"/>
      <c r="W25" s="421"/>
      <c r="X25" s="421"/>
      <c r="Y25" s="2"/>
      <c r="Z25" s="2"/>
      <c r="AA25" s="2"/>
    </row>
    <row r="26" spans="1:27" x14ac:dyDescent="0.25">
      <c r="A26" s="427"/>
      <c r="B26" s="428"/>
      <c r="C26" s="428"/>
      <c r="D26" s="428"/>
      <c r="E26" s="429"/>
      <c r="G26" s="40"/>
      <c r="H26" s="5"/>
      <c r="I26" s="5"/>
      <c r="J26" s="5"/>
      <c r="K26" s="5"/>
      <c r="L26" s="61"/>
      <c r="M26" s="2"/>
      <c r="N26" s="421"/>
      <c r="O26" s="421"/>
      <c r="P26" s="421"/>
      <c r="Q26" s="421"/>
      <c r="R26" s="421"/>
      <c r="S26" s="421"/>
      <c r="T26" s="421"/>
      <c r="U26" s="421"/>
      <c r="V26" s="421"/>
      <c r="W26" s="421"/>
      <c r="X26" s="421"/>
      <c r="Y26" s="2"/>
      <c r="Z26" s="2"/>
      <c r="AA26" s="2"/>
    </row>
    <row r="27" spans="1:27" x14ac:dyDescent="0.25">
      <c r="A27" s="40"/>
      <c r="B27" s="5"/>
      <c r="C27" s="5"/>
      <c r="D27" s="5"/>
      <c r="E27" s="61"/>
      <c r="G27" s="40"/>
      <c r="H27" s="5"/>
      <c r="I27" s="5"/>
      <c r="J27" s="5"/>
      <c r="K27" s="5"/>
      <c r="L27" s="61"/>
      <c r="M27" s="2"/>
      <c r="N27" s="421"/>
      <c r="O27" s="421"/>
      <c r="P27" s="421"/>
      <c r="Q27" s="421"/>
      <c r="R27" s="421"/>
      <c r="S27" s="421"/>
      <c r="T27" s="421"/>
      <c r="U27" s="421"/>
      <c r="V27" s="421"/>
      <c r="W27" s="421"/>
      <c r="X27" s="421"/>
      <c r="Y27" s="2"/>
      <c r="Z27" s="2"/>
      <c r="AA27" s="2"/>
    </row>
    <row r="28" spans="1:27" x14ac:dyDescent="0.25">
      <c r="A28" s="40"/>
      <c r="B28" s="5"/>
      <c r="C28" s="5"/>
      <c r="D28" s="5"/>
      <c r="E28" s="61"/>
      <c r="G28" s="40"/>
      <c r="H28" s="5"/>
      <c r="I28" s="5"/>
      <c r="J28" s="5"/>
      <c r="K28" s="5"/>
      <c r="L28" s="61"/>
      <c r="M28" s="2"/>
      <c r="N28" s="421"/>
      <c r="O28" s="421"/>
      <c r="P28" s="421"/>
      <c r="Q28" s="421"/>
      <c r="R28" s="421"/>
      <c r="S28" s="421"/>
      <c r="T28" s="421"/>
      <c r="U28" s="421"/>
      <c r="V28" s="421"/>
      <c r="W28" s="421"/>
      <c r="X28" s="421"/>
      <c r="Y28" s="2"/>
      <c r="Z28" s="2"/>
      <c r="AA28" s="2"/>
    </row>
    <row r="29" spans="1:27" x14ac:dyDescent="0.25">
      <c r="A29" s="40"/>
      <c r="B29" s="5"/>
      <c r="C29" s="5"/>
      <c r="D29" s="5"/>
      <c r="E29" s="61"/>
      <c r="G29" s="40"/>
      <c r="H29" s="5"/>
      <c r="I29" s="5"/>
      <c r="J29" s="5"/>
      <c r="K29" s="5"/>
      <c r="L29" s="61"/>
      <c r="M29" s="2"/>
      <c r="N29" s="421"/>
      <c r="O29" s="421"/>
      <c r="P29" s="421"/>
      <c r="Q29" s="421"/>
      <c r="R29" s="421"/>
      <c r="S29" s="421"/>
      <c r="T29" s="421"/>
      <c r="U29" s="421"/>
      <c r="V29" s="421"/>
      <c r="W29" s="421"/>
      <c r="X29" s="421"/>
      <c r="Y29" s="2"/>
      <c r="Z29" s="2"/>
      <c r="AA29" s="2"/>
    </row>
    <row r="30" spans="1:27" x14ac:dyDescent="0.25">
      <c r="A30" s="40"/>
      <c r="B30" s="5"/>
      <c r="C30" s="5"/>
      <c r="D30" s="5"/>
      <c r="E30" s="61"/>
      <c r="G30" s="40"/>
      <c r="H30" s="5"/>
      <c r="I30" s="5"/>
      <c r="J30" s="5"/>
      <c r="K30" s="5"/>
      <c r="L30" s="61"/>
      <c r="M30" s="2"/>
      <c r="N30" s="421"/>
      <c r="O30" s="421"/>
      <c r="P30" s="421"/>
      <c r="Q30" s="421"/>
      <c r="R30" s="421"/>
      <c r="S30" s="421"/>
      <c r="T30" s="421"/>
      <c r="U30" s="421"/>
      <c r="V30" s="421"/>
      <c r="W30" s="421"/>
      <c r="X30" s="421"/>
      <c r="Y30" s="2"/>
      <c r="Z30" s="2"/>
      <c r="AA30" s="2"/>
    </row>
    <row r="31" spans="1:27" x14ac:dyDescent="0.25">
      <c r="A31" s="40"/>
      <c r="B31" s="5"/>
      <c r="C31" s="5"/>
      <c r="D31" s="5"/>
      <c r="E31" s="61"/>
      <c r="G31" s="40"/>
      <c r="H31" s="5"/>
      <c r="I31" s="5"/>
      <c r="J31" s="5"/>
      <c r="K31" s="5"/>
      <c r="L31" s="61"/>
      <c r="M31" s="2"/>
      <c r="N31" s="421"/>
      <c r="O31" s="421"/>
      <c r="P31" s="421"/>
      <c r="Q31" s="421"/>
      <c r="R31" s="421"/>
      <c r="S31" s="421"/>
      <c r="T31" s="421"/>
      <c r="U31" s="421"/>
      <c r="V31" s="421"/>
      <c r="W31" s="421"/>
      <c r="X31" s="421"/>
      <c r="Y31" s="2"/>
      <c r="Z31" s="2"/>
      <c r="AA31" s="2"/>
    </row>
    <row r="32" spans="1:27" x14ac:dyDescent="0.25">
      <c r="A32" s="40"/>
      <c r="B32" s="5"/>
      <c r="C32" s="5"/>
      <c r="D32" s="5"/>
      <c r="E32" s="61"/>
      <c r="G32" s="40"/>
      <c r="H32" s="5"/>
      <c r="I32" s="5"/>
      <c r="J32" s="5"/>
      <c r="K32" s="5"/>
      <c r="L32" s="61"/>
      <c r="M32" s="2"/>
      <c r="N32" s="421"/>
      <c r="O32" s="421"/>
      <c r="P32" s="421"/>
      <c r="Q32" s="421"/>
      <c r="R32" s="421"/>
      <c r="S32" s="421"/>
      <c r="T32" s="421"/>
      <c r="U32" s="421"/>
      <c r="V32" s="421"/>
      <c r="W32" s="421"/>
      <c r="X32" s="421"/>
      <c r="Y32" s="2"/>
      <c r="Z32" s="2"/>
      <c r="AA32" s="2"/>
    </row>
    <row r="33" spans="1:27" x14ac:dyDescent="0.25">
      <c r="A33" s="40"/>
      <c r="B33" s="5"/>
      <c r="C33" s="5"/>
      <c r="D33" s="5"/>
      <c r="E33" s="61"/>
      <c r="G33" s="40"/>
      <c r="H33" s="5"/>
      <c r="I33" s="5"/>
      <c r="J33" s="5"/>
      <c r="K33" s="5"/>
      <c r="L33" s="61"/>
      <c r="M33" s="2"/>
      <c r="N33" s="421"/>
      <c r="O33" s="421"/>
      <c r="P33" s="421"/>
      <c r="Q33" s="421"/>
      <c r="R33" s="421"/>
      <c r="S33" s="421"/>
      <c r="T33" s="421"/>
      <c r="U33" s="421"/>
      <c r="V33" s="421"/>
      <c r="W33" s="421"/>
      <c r="X33" s="421"/>
      <c r="Y33" s="2"/>
      <c r="Z33" s="2"/>
      <c r="AA33" s="2"/>
    </row>
    <row r="34" spans="1:27" x14ac:dyDescent="0.25">
      <c r="A34" s="40"/>
      <c r="B34" s="5"/>
      <c r="C34" s="5"/>
      <c r="D34" s="5"/>
      <c r="E34" s="61"/>
      <c r="G34" s="40"/>
      <c r="H34" s="5"/>
      <c r="I34" s="5"/>
      <c r="J34" s="5"/>
      <c r="K34" s="5"/>
      <c r="L34" s="61"/>
      <c r="M34" s="2"/>
      <c r="N34" s="421"/>
      <c r="O34" s="421"/>
      <c r="P34" s="421"/>
      <c r="Q34" s="421"/>
      <c r="R34" s="421"/>
      <c r="S34" s="421"/>
      <c r="T34" s="421"/>
      <c r="U34" s="421"/>
      <c r="V34" s="421"/>
      <c r="W34" s="421"/>
      <c r="X34" s="421"/>
      <c r="Y34" s="2"/>
      <c r="Z34" s="2"/>
      <c r="AA34" s="2"/>
    </row>
    <row r="35" spans="1:27" ht="15.75" thickBot="1" x14ac:dyDescent="0.3">
      <c r="A35" s="79"/>
      <c r="B35" s="80"/>
      <c r="C35" s="80"/>
      <c r="D35" s="80"/>
      <c r="E35" s="81"/>
      <c r="G35" s="79"/>
      <c r="H35" s="80"/>
      <c r="I35" s="80"/>
      <c r="J35" s="80"/>
      <c r="K35" s="80"/>
      <c r="L35" s="81"/>
      <c r="M35" s="2"/>
      <c r="N35" s="421"/>
      <c r="O35" s="421"/>
      <c r="P35" s="421"/>
      <c r="Q35" s="421"/>
      <c r="R35" s="421"/>
      <c r="S35" s="421"/>
      <c r="T35" s="421"/>
      <c r="U35" s="421"/>
      <c r="V35" s="421"/>
      <c r="W35" s="421"/>
      <c r="X35" s="421"/>
      <c r="Y35" s="2"/>
      <c r="Z35" s="2"/>
      <c r="AA35" s="2"/>
    </row>
    <row r="36" spans="1:27" s="317" customFormat="1" ht="15.75" thickBot="1" x14ac:dyDescent="0.3">
      <c r="G36" s="5"/>
      <c r="H36" s="5"/>
      <c r="I36" s="5"/>
      <c r="J36" s="5"/>
      <c r="K36" s="5"/>
      <c r="L36" s="5"/>
      <c r="N36" s="421"/>
      <c r="O36" s="421"/>
      <c r="P36" s="421"/>
      <c r="Q36" s="421"/>
      <c r="R36" s="421"/>
      <c r="S36" s="421"/>
      <c r="T36" s="421"/>
      <c r="U36" s="421"/>
      <c r="V36" s="421"/>
      <c r="W36" s="421"/>
      <c r="X36" s="421"/>
    </row>
    <row r="37" spans="1:27" s="317" customFormat="1" ht="14.45" customHeight="1" x14ac:dyDescent="0.25">
      <c r="G37" s="415" t="s">
        <v>281</v>
      </c>
      <c r="H37" s="416"/>
      <c r="I37" s="416"/>
      <c r="J37" s="416"/>
      <c r="K37" s="416"/>
      <c r="L37" s="417"/>
      <c r="N37" s="421"/>
      <c r="O37" s="421"/>
      <c r="P37" s="421"/>
      <c r="Q37" s="421"/>
      <c r="R37" s="421"/>
      <c r="S37" s="421"/>
      <c r="T37" s="421"/>
      <c r="U37" s="421"/>
      <c r="V37" s="421"/>
      <c r="W37" s="421"/>
      <c r="X37" s="421"/>
    </row>
    <row r="38" spans="1:27" s="317" customFormat="1" ht="15" customHeight="1" thickBot="1" x14ac:dyDescent="0.3">
      <c r="G38" s="418"/>
      <c r="H38" s="419"/>
      <c r="I38" s="419"/>
      <c r="J38" s="419"/>
      <c r="K38" s="419"/>
      <c r="L38" s="420"/>
      <c r="N38" s="421"/>
      <c r="O38" s="421"/>
      <c r="P38" s="421"/>
      <c r="Q38" s="421"/>
      <c r="R38" s="421"/>
      <c r="S38" s="421"/>
      <c r="T38" s="421"/>
      <c r="U38" s="421"/>
      <c r="V38" s="421"/>
      <c r="W38" s="421"/>
      <c r="X38" s="421"/>
    </row>
    <row r="39" spans="1:27" s="317" customFormat="1" x14ac:dyDescent="0.25">
      <c r="G39" s="40"/>
      <c r="H39" s="5"/>
      <c r="I39" s="5"/>
      <c r="J39" s="5"/>
      <c r="K39" s="5"/>
      <c r="L39" s="61"/>
      <c r="N39" s="421"/>
      <c r="O39" s="421"/>
      <c r="P39" s="421"/>
      <c r="Q39" s="421"/>
      <c r="R39" s="421"/>
      <c r="S39" s="421"/>
      <c r="T39" s="421"/>
      <c r="U39" s="421"/>
      <c r="V39" s="421"/>
      <c r="W39" s="421"/>
      <c r="X39" s="421"/>
    </row>
    <row r="40" spans="1:27" s="317" customFormat="1" x14ac:dyDescent="0.25">
      <c r="G40" s="40"/>
      <c r="H40" s="5"/>
      <c r="I40" s="5"/>
      <c r="J40" s="5"/>
      <c r="K40" s="5"/>
      <c r="L40" s="61"/>
      <c r="N40" s="421"/>
      <c r="O40" s="421"/>
      <c r="P40" s="421"/>
      <c r="Q40" s="421"/>
      <c r="R40" s="421"/>
      <c r="S40" s="421"/>
      <c r="T40" s="421"/>
      <c r="U40" s="421"/>
      <c r="V40" s="421"/>
      <c r="W40" s="421"/>
      <c r="X40" s="421"/>
    </row>
    <row r="41" spans="1:27" s="317" customFormat="1" x14ac:dyDescent="0.25">
      <c r="G41" s="40"/>
      <c r="H41" s="5"/>
      <c r="I41" s="5"/>
      <c r="J41" s="5"/>
      <c r="K41" s="5"/>
      <c r="L41" s="61"/>
      <c r="N41" s="421"/>
      <c r="O41" s="421"/>
      <c r="P41" s="421"/>
      <c r="Q41" s="421"/>
      <c r="R41" s="421"/>
      <c r="S41" s="421"/>
      <c r="T41" s="421"/>
      <c r="U41" s="421"/>
      <c r="V41" s="421"/>
      <c r="W41" s="421"/>
      <c r="X41" s="421"/>
    </row>
    <row r="42" spans="1:27" x14ac:dyDescent="0.25">
      <c r="F42" s="5"/>
      <c r="G42" s="40"/>
      <c r="H42" s="5"/>
      <c r="I42" s="5"/>
      <c r="J42" s="5"/>
      <c r="K42" s="5"/>
      <c r="L42" s="61"/>
      <c r="M42" s="2"/>
      <c r="N42" s="421"/>
      <c r="O42" s="421"/>
      <c r="P42" s="421"/>
      <c r="Q42" s="421"/>
      <c r="R42" s="421"/>
      <c r="S42" s="421"/>
      <c r="T42" s="421"/>
      <c r="U42" s="421"/>
      <c r="V42" s="421"/>
      <c r="W42" s="421"/>
      <c r="X42" s="421"/>
      <c r="Y42" s="2"/>
      <c r="Z42" s="2"/>
      <c r="AA42" s="2"/>
    </row>
    <row r="43" spans="1:27" x14ac:dyDescent="0.25">
      <c r="F43" s="2"/>
      <c r="G43" s="40"/>
      <c r="H43" s="5"/>
      <c r="I43" s="5"/>
      <c r="J43" s="5"/>
      <c r="K43" s="5"/>
      <c r="L43" s="61"/>
      <c r="M43" s="5"/>
      <c r="N43" s="421"/>
      <c r="O43" s="421"/>
      <c r="P43" s="421"/>
      <c r="Q43" s="421"/>
      <c r="R43" s="421"/>
      <c r="S43" s="421"/>
      <c r="T43" s="421"/>
      <c r="U43" s="421"/>
      <c r="V43" s="421"/>
      <c r="W43" s="421"/>
      <c r="X43" s="421"/>
      <c r="Y43" s="2"/>
      <c r="Z43" s="2"/>
      <c r="AA43" s="2"/>
    </row>
    <row r="44" spans="1:27" x14ac:dyDescent="0.25">
      <c r="A44" s="2"/>
      <c r="B44" s="2"/>
      <c r="C44" s="2"/>
      <c r="D44" s="2"/>
      <c r="E44" s="2"/>
      <c r="G44" s="40"/>
      <c r="H44" s="5"/>
      <c r="I44" s="5"/>
      <c r="J44" s="5"/>
      <c r="K44" s="5"/>
      <c r="L44" s="61"/>
      <c r="M44" s="2"/>
      <c r="N44" s="421"/>
      <c r="O44" s="421"/>
      <c r="P44" s="421"/>
      <c r="Q44" s="421"/>
      <c r="R44" s="421"/>
      <c r="S44" s="421"/>
      <c r="T44" s="421"/>
      <c r="U44" s="421"/>
      <c r="V44" s="421"/>
      <c r="W44" s="421"/>
      <c r="X44" s="421"/>
      <c r="Y44" s="2"/>
      <c r="Z44" s="2"/>
      <c r="AA44" s="2"/>
    </row>
    <row r="45" spans="1:27" x14ac:dyDescent="0.25">
      <c r="G45" s="40"/>
      <c r="H45" s="5"/>
      <c r="I45" s="5"/>
      <c r="J45" s="5"/>
      <c r="K45" s="5"/>
      <c r="L45" s="61"/>
      <c r="M45" s="2"/>
      <c r="N45" s="421"/>
      <c r="O45" s="421"/>
      <c r="P45" s="421"/>
      <c r="Q45" s="421"/>
      <c r="R45" s="421"/>
      <c r="S45" s="421"/>
      <c r="T45" s="421"/>
      <c r="U45" s="421"/>
      <c r="V45" s="421"/>
      <c r="W45" s="421"/>
      <c r="X45" s="421"/>
      <c r="Y45" s="2"/>
      <c r="Z45" s="2"/>
      <c r="AA45" s="2"/>
    </row>
    <row r="46" spans="1:27" s="317" customFormat="1" x14ac:dyDescent="0.25">
      <c r="G46" s="40"/>
      <c r="H46" s="5"/>
      <c r="I46" s="5"/>
      <c r="J46" s="5"/>
      <c r="K46" s="5"/>
      <c r="L46" s="61"/>
      <c r="N46" s="421"/>
      <c r="O46" s="421"/>
      <c r="P46" s="421"/>
      <c r="Q46" s="421"/>
      <c r="R46" s="421"/>
      <c r="S46" s="421"/>
      <c r="T46" s="421"/>
      <c r="U46" s="421"/>
      <c r="V46" s="421"/>
      <c r="W46" s="421"/>
      <c r="X46" s="421"/>
    </row>
    <row r="47" spans="1:27" s="317" customFormat="1" ht="15.75" thickBot="1" x14ac:dyDescent="0.3">
      <c r="G47" s="79"/>
      <c r="H47" s="80"/>
      <c r="I47" s="80"/>
      <c r="J47" s="80"/>
      <c r="K47" s="80"/>
      <c r="L47" s="81"/>
      <c r="N47" s="421"/>
      <c r="O47" s="421"/>
      <c r="P47" s="421"/>
      <c r="Q47" s="421"/>
      <c r="R47" s="421"/>
      <c r="S47" s="421"/>
      <c r="T47" s="421"/>
      <c r="U47" s="421"/>
      <c r="V47" s="421"/>
      <c r="W47" s="421"/>
      <c r="X47" s="421"/>
    </row>
    <row r="48" spans="1:27" s="317" customFormat="1" x14ac:dyDescent="0.25">
      <c r="N48" s="421"/>
      <c r="O48" s="421"/>
      <c r="P48" s="421"/>
      <c r="Q48" s="421"/>
      <c r="R48" s="421"/>
      <c r="S48" s="421"/>
      <c r="T48" s="421"/>
      <c r="U48" s="421"/>
      <c r="V48" s="421"/>
      <c r="W48" s="421"/>
      <c r="X48" s="421"/>
    </row>
    <row r="49" spans="1:27" s="317" customFormat="1" x14ac:dyDescent="0.25">
      <c r="N49" s="421"/>
      <c r="O49" s="421"/>
      <c r="P49" s="421"/>
      <c r="Q49" s="421"/>
      <c r="R49" s="421"/>
      <c r="S49" s="421"/>
      <c r="T49" s="421"/>
      <c r="U49" s="421"/>
      <c r="V49" s="421"/>
      <c r="W49" s="421"/>
      <c r="X49" s="421"/>
    </row>
    <row r="50" spans="1:27" s="317" customFormat="1" x14ac:dyDescent="0.25">
      <c r="N50" s="421"/>
      <c r="O50" s="421"/>
      <c r="P50" s="421"/>
      <c r="Q50" s="421"/>
      <c r="R50" s="421"/>
      <c r="S50" s="421"/>
      <c r="T50" s="421"/>
      <c r="U50" s="421"/>
      <c r="V50" s="421"/>
      <c r="W50" s="421"/>
      <c r="X50" s="421"/>
    </row>
    <row r="51" spans="1:27" s="317" customFormat="1" x14ac:dyDescent="0.25">
      <c r="N51" s="421"/>
      <c r="O51" s="421"/>
      <c r="P51" s="421"/>
      <c r="Q51" s="421"/>
      <c r="R51" s="421"/>
      <c r="S51" s="421"/>
      <c r="T51" s="421"/>
      <c r="U51" s="421"/>
      <c r="V51" s="421"/>
      <c r="W51" s="421"/>
      <c r="X51" s="421"/>
    </row>
    <row r="52" spans="1:27" x14ac:dyDescent="0.25">
      <c r="A52" s="3" t="s">
        <v>283</v>
      </c>
      <c r="B52" s="2"/>
      <c r="C52" s="2"/>
      <c r="D52" s="2"/>
      <c r="E52" s="2"/>
      <c r="F52" s="2"/>
      <c r="G52" s="2"/>
      <c r="H52" s="2"/>
      <c r="I52" s="2"/>
      <c r="M52" s="2"/>
      <c r="N52" s="421"/>
      <c r="O52" s="421"/>
      <c r="P52" s="421"/>
      <c r="Q52" s="421"/>
      <c r="R52" s="421"/>
      <c r="S52" s="421"/>
      <c r="T52" s="421"/>
      <c r="U52" s="421"/>
      <c r="V52" s="421"/>
      <c r="W52" s="421"/>
      <c r="X52" s="421"/>
      <c r="Y52" s="2"/>
      <c r="Z52" s="2"/>
      <c r="AA52" s="2"/>
    </row>
    <row r="53" spans="1:27" s="2" customFormat="1" x14ac:dyDescent="0.25">
      <c r="A53" s="2" t="s">
        <v>240</v>
      </c>
      <c r="F53"/>
      <c r="G53"/>
      <c r="H53"/>
      <c r="I53"/>
      <c r="N53" s="421"/>
      <c r="O53" s="421"/>
      <c r="P53" s="421"/>
      <c r="Q53" s="421"/>
      <c r="R53" s="421"/>
      <c r="S53" s="421"/>
      <c r="T53" s="421"/>
      <c r="U53" s="421"/>
      <c r="V53" s="421"/>
      <c r="W53" s="421"/>
      <c r="X53" s="421"/>
    </row>
    <row r="54" spans="1:27" x14ac:dyDescent="0.25">
      <c r="A54" s="38" t="s">
        <v>245</v>
      </c>
      <c r="B54" s="1"/>
      <c r="C54" s="1" t="s">
        <v>246</v>
      </c>
      <c r="D54" s="1"/>
      <c r="E54" s="1"/>
      <c r="F54" s="2"/>
      <c r="G54" s="2"/>
      <c r="H54" s="2"/>
      <c r="I54" s="2"/>
      <c r="M54" s="2"/>
      <c r="N54" s="2"/>
      <c r="O54" s="2"/>
      <c r="P54" s="2"/>
      <c r="Q54" s="2"/>
      <c r="R54" s="2"/>
      <c r="S54" s="2"/>
      <c r="T54" s="2"/>
      <c r="U54" s="2"/>
      <c r="V54" s="2"/>
      <c r="W54" s="2"/>
      <c r="X54" s="2"/>
      <c r="Y54" s="2"/>
      <c r="Z54" s="2"/>
      <c r="AA54" s="2"/>
    </row>
    <row r="55" spans="1:27" x14ac:dyDescent="0.25">
      <c r="A55" s="1"/>
      <c r="B55" s="1"/>
      <c r="C55" s="1" t="s">
        <v>238</v>
      </c>
      <c r="D55" s="1"/>
      <c r="E55" s="1"/>
      <c r="F55" s="2"/>
      <c r="G55" s="2"/>
      <c r="H55" s="2"/>
      <c r="I55" s="2"/>
      <c r="M55" s="2"/>
      <c r="N55" s="2"/>
      <c r="O55" s="2"/>
      <c r="P55" s="2"/>
      <c r="Q55" s="2"/>
      <c r="R55" s="2"/>
      <c r="S55" s="2"/>
      <c r="T55" s="2"/>
      <c r="U55" s="2"/>
      <c r="V55" s="2"/>
      <c r="W55" s="2"/>
      <c r="X55" s="2"/>
      <c r="Y55" s="2"/>
      <c r="Z55" s="2"/>
      <c r="AA55" s="2"/>
    </row>
    <row r="56" spans="1:27" x14ac:dyDescent="0.25">
      <c r="A56" s="1"/>
      <c r="B56" s="1"/>
      <c r="C56" s="1" t="s">
        <v>239</v>
      </c>
      <c r="D56" s="1"/>
      <c r="E56" s="1"/>
      <c r="F56" s="1"/>
      <c r="G56" s="1"/>
      <c r="H56" s="1"/>
      <c r="I56" s="1"/>
      <c r="J56" s="1"/>
      <c r="K56" s="1"/>
      <c r="L56" s="1"/>
      <c r="M56" s="2"/>
      <c r="N56" s="2"/>
      <c r="O56" s="2"/>
      <c r="P56" s="2"/>
      <c r="Q56" s="2"/>
      <c r="R56" s="2"/>
      <c r="S56" s="2"/>
      <c r="T56" s="2"/>
      <c r="U56" s="2"/>
      <c r="V56" s="2"/>
      <c r="W56" s="2"/>
      <c r="X56" s="2"/>
      <c r="Y56" s="2"/>
      <c r="Z56" s="2"/>
      <c r="AA56" s="2"/>
    </row>
    <row r="57" spans="1:27" s="1" customFormat="1" x14ac:dyDescent="0.25"/>
    <row r="58" spans="1:27" s="1" customFormat="1" x14ac:dyDescent="0.25">
      <c r="A58" s="38" t="s">
        <v>241</v>
      </c>
    </row>
    <row r="59" spans="1:27" s="1" customFormat="1" x14ac:dyDescent="0.25">
      <c r="A59" s="1" t="s">
        <v>242</v>
      </c>
    </row>
    <row r="60" spans="1:27" s="1" customFormat="1" x14ac:dyDescent="0.25">
      <c r="A60" s="1" t="s">
        <v>243</v>
      </c>
      <c r="B60"/>
      <c r="C60" s="2"/>
      <c r="D60" s="2"/>
      <c r="E60" s="2"/>
    </row>
    <row r="61" spans="1:27" s="1" customFormat="1" x14ac:dyDescent="0.25">
      <c r="A61" s="1" t="s">
        <v>244</v>
      </c>
      <c r="B61" s="2"/>
      <c r="C61" s="2"/>
      <c r="D61" s="2"/>
      <c r="E61" s="2"/>
    </row>
    <row r="62" spans="1:27" s="1" customFormat="1" x14ac:dyDescent="0.25">
      <c r="E62" s="2"/>
      <c r="F62" s="2"/>
      <c r="G62" s="2"/>
      <c r="H62" s="2"/>
      <c r="I62" s="2"/>
      <c r="J62" s="2"/>
      <c r="K62" s="2"/>
      <c r="L62" s="2"/>
    </row>
    <row r="63" spans="1:27" s="1" customFormat="1" x14ac:dyDescent="0.25">
      <c r="A63" s="410" t="s">
        <v>416</v>
      </c>
      <c r="B63" s="410" t="s">
        <v>415</v>
      </c>
      <c r="C63" s="438" t="s">
        <v>413</v>
      </c>
      <c r="D63" s="439"/>
      <c r="E63" s="439"/>
      <c r="F63" s="439"/>
      <c r="G63" s="439"/>
      <c r="H63" s="439"/>
      <c r="I63" s="439"/>
      <c r="J63" s="439"/>
      <c r="K63" s="440"/>
      <c r="L63" s="317"/>
    </row>
    <row r="64" spans="1:27" x14ac:dyDescent="0.25">
      <c r="A64" s="411">
        <v>1</v>
      </c>
      <c r="B64" s="408" t="s">
        <v>412</v>
      </c>
      <c r="C64" s="435" t="s">
        <v>414</v>
      </c>
      <c r="D64" s="435"/>
      <c r="E64" s="435"/>
      <c r="F64" s="435"/>
      <c r="G64" s="435"/>
      <c r="H64" s="435"/>
      <c r="I64" s="435"/>
      <c r="J64" s="435"/>
      <c r="K64" s="435"/>
      <c r="M64" s="2"/>
      <c r="N64" s="2"/>
      <c r="O64" s="2"/>
      <c r="P64" s="2"/>
      <c r="Q64" s="2"/>
      <c r="R64" s="2"/>
      <c r="S64" s="2"/>
      <c r="T64" s="2"/>
      <c r="U64" s="2"/>
      <c r="V64" s="2"/>
      <c r="W64" s="2"/>
      <c r="X64" s="2"/>
      <c r="Y64" s="2"/>
      <c r="Z64" s="2"/>
      <c r="AA64" s="2"/>
    </row>
    <row r="65" spans="1:27" s="2" customFormat="1" ht="31.9" customHeight="1" x14ac:dyDescent="0.25">
      <c r="A65" s="411">
        <v>1.01</v>
      </c>
      <c r="B65" s="408" t="s">
        <v>418</v>
      </c>
      <c r="C65" s="436" t="s">
        <v>417</v>
      </c>
      <c r="D65" s="436"/>
      <c r="E65" s="436"/>
      <c r="F65" s="436"/>
      <c r="G65" s="436"/>
      <c r="H65" s="436"/>
      <c r="I65" s="436"/>
      <c r="J65" s="436"/>
      <c r="K65" s="436"/>
    </row>
    <row r="66" spans="1:27" s="2" customFormat="1" x14ac:dyDescent="0.25">
      <c r="A66" s="412"/>
      <c r="B66" s="409"/>
      <c r="C66" s="437"/>
      <c r="D66" s="437"/>
      <c r="E66" s="437"/>
      <c r="F66" s="437"/>
      <c r="G66" s="437"/>
      <c r="H66" s="437"/>
      <c r="I66" s="437"/>
      <c r="J66" s="437"/>
      <c r="K66" s="437"/>
    </row>
    <row r="67" spans="1:27" x14ac:dyDescent="0.25">
      <c r="A67" s="412"/>
      <c r="B67" s="409"/>
      <c r="C67" s="437"/>
      <c r="D67" s="437"/>
      <c r="E67" s="437"/>
      <c r="F67" s="437"/>
      <c r="G67" s="437"/>
      <c r="H67" s="437"/>
      <c r="I67" s="437"/>
      <c r="J67" s="437"/>
      <c r="K67" s="437"/>
      <c r="M67" s="2"/>
      <c r="N67" s="2"/>
      <c r="O67" s="2"/>
      <c r="P67" s="2"/>
      <c r="Q67" s="2"/>
      <c r="R67" s="2"/>
      <c r="S67" s="2"/>
      <c r="T67" s="2"/>
      <c r="U67" s="2"/>
      <c r="V67" s="2"/>
      <c r="W67" s="2"/>
      <c r="X67" s="2"/>
      <c r="Y67" s="2"/>
      <c r="Z67" s="2"/>
      <c r="AA67" s="2"/>
    </row>
    <row r="68" spans="1:27" x14ac:dyDescent="0.25">
      <c r="C68" s="2"/>
      <c r="D68" s="2"/>
      <c r="E68" s="2"/>
      <c r="F68" s="2"/>
      <c r="G68" s="2"/>
      <c r="H68" s="2"/>
      <c r="I68" s="2"/>
      <c r="M68" s="2"/>
      <c r="N68" s="2"/>
      <c r="O68" s="2"/>
      <c r="P68" s="2"/>
      <c r="Q68" s="2"/>
      <c r="R68" s="2"/>
      <c r="S68" s="2"/>
      <c r="T68" s="2"/>
      <c r="U68" s="2"/>
      <c r="V68" s="2"/>
      <c r="W68" s="2"/>
      <c r="X68" s="2"/>
      <c r="Y68" s="2"/>
      <c r="Z68" s="2"/>
      <c r="AA68" s="2"/>
    </row>
    <row r="69" spans="1:27" x14ac:dyDescent="0.25">
      <c r="C69" s="2"/>
      <c r="D69" s="2"/>
      <c r="E69" s="2"/>
      <c r="F69" s="2"/>
      <c r="G69" s="2"/>
      <c r="H69" s="2"/>
      <c r="I69" s="2"/>
      <c r="M69" s="2"/>
      <c r="N69" s="2"/>
      <c r="O69" s="2"/>
      <c r="P69" s="2"/>
      <c r="Q69" s="2"/>
      <c r="R69" s="2"/>
      <c r="S69" s="2"/>
      <c r="T69" s="2"/>
      <c r="U69" s="2"/>
      <c r="V69" s="2"/>
      <c r="W69" s="2"/>
      <c r="X69" s="2"/>
      <c r="Y69" s="2"/>
      <c r="Z69" s="2"/>
      <c r="AA69" s="2"/>
    </row>
    <row r="70" spans="1:27" x14ac:dyDescent="0.25">
      <c r="C70" s="2"/>
      <c r="D70" s="2"/>
      <c r="E70" s="2"/>
      <c r="F70" s="2"/>
      <c r="G70" s="2"/>
      <c r="H70" s="2"/>
      <c r="I70" s="2"/>
      <c r="M70" s="2"/>
      <c r="N70" s="2"/>
      <c r="O70" s="2"/>
      <c r="P70" s="2"/>
      <c r="Q70" s="2"/>
      <c r="R70" s="2"/>
      <c r="S70" s="2"/>
      <c r="T70" s="2"/>
      <c r="U70" s="2"/>
      <c r="V70" s="2"/>
      <c r="W70" s="2"/>
      <c r="X70" s="2"/>
      <c r="Y70" s="2"/>
      <c r="Z70" s="2"/>
      <c r="AA70" s="2"/>
    </row>
    <row r="71" spans="1:27" x14ac:dyDescent="0.25">
      <c r="C71" s="2"/>
      <c r="D71" s="2"/>
      <c r="E71" s="2"/>
      <c r="F71" s="2"/>
      <c r="G71" s="2"/>
      <c r="H71" s="2"/>
      <c r="I71" s="2"/>
      <c r="M71" s="2"/>
      <c r="N71" s="2"/>
      <c r="O71" s="2"/>
      <c r="P71" s="2"/>
      <c r="Q71" s="2"/>
      <c r="R71" s="2"/>
      <c r="S71" s="2"/>
      <c r="T71" s="2"/>
      <c r="U71" s="2"/>
      <c r="V71" s="2"/>
      <c r="W71" s="2"/>
      <c r="X71" s="2"/>
      <c r="Y71" s="2"/>
      <c r="Z71" s="2"/>
      <c r="AA71" s="2"/>
    </row>
    <row r="72" spans="1:27" x14ac:dyDescent="0.25">
      <c r="C72" s="2"/>
      <c r="D72" s="2"/>
      <c r="E72" s="2"/>
      <c r="F72" s="2"/>
      <c r="G72" s="2"/>
      <c r="H72" s="2"/>
      <c r="I72" s="2"/>
      <c r="M72" s="2"/>
      <c r="N72" s="2"/>
      <c r="O72" s="2"/>
      <c r="P72" s="2"/>
      <c r="Q72" s="2"/>
      <c r="R72" s="2"/>
      <c r="S72" s="2"/>
      <c r="T72" s="2"/>
      <c r="U72" s="2"/>
      <c r="V72" s="2"/>
      <c r="W72" s="2"/>
      <c r="X72" s="2"/>
      <c r="Y72" s="2"/>
      <c r="Z72" s="2"/>
      <c r="AA72" s="2"/>
    </row>
    <row r="73" spans="1:27" x14ac:dyDescent="0.25">
      <c r="F73" s="2"/>
      <c r="G73" s="2"/>
      <c r="H73" s="2"/>
      <c r="I73" s="2"/>
      <c r="M73" s="2"/>
      <c r="N73" s="2"/>
      <c r="O73" s="2"/>
      <c r="P73" s="2"/>
      <c r="Q73" s="2"/>
      <c r="R73" s="2"/>
      <c r="S73" s="2"/>
      <c r="T73" s="2"/>
      <c r="U73" s="2"/>
      <c r="V73" s="2"/>
      <c r="W73" s="2"/>
      <c r="X73" s="2"/>
      <c r="Y73" s="2"/>
      <c r="Z73" s="2"/>
      <c r="AA73" s="2"/>
    </row>
    <row r="74" spans="1:27" x14ac:dyDescent="0.25">
      <c r="F74" s="2"/>
      <c r="G74" s="2"/>
      <c r="H74" s="2"/>
      <c r="I74" s="2"/>
      <c r="M74" s="2"/>
      <c r="N74" s="2"/>
      <c r="O74" s="2"/>
      <c r="P74" s="2"/>
      <c r="Q74" s="2"/>
      <c r="R74" s="2"/>
      <c r="S74" s="2"/>
      <c r="T74" s="2"/>
      <c r="U74" s="2"/>
      <c r="V74" s="2"/>
      <c r="W74" s="2"/>
      <c r="X74" s="2"/>
      <c r="Y74" s="2"/>
      <c r="Z74" s="2"/>
      <c r="AA74" s="2"/>
    </row>
    <row r="75" spans="1:27" x14ac:dyDescent="0.25">
      <c r="M75" s="2"/>
      <c r="N75" s="2"/>
      <c r="O75" s="2"/>
      <c r="P75" s="2"/>
      <c r="Q75" s="2"/>
      <c r="R75" s="2"/>
      <c r="S75" s="2"/>
      <c r="T75" s="2"/>
      <c r="U75" s="2"/>
      <c r="V75" s="2"/>
      <c r="W75" s="2"/>
      <c r="X75" s="2"/>
      <c r="Y75" s="2"/>
      <c r="Z75" s="2"/>
      <c r="AA75" s="2"/>
    </row>
  </sheetData>
  <mergeCells count="14">
    <mergeCell ref="C64:K64"/>
    <mergeCell ref="C65:K65"/>
    <mergeCell ref="C66:K66"/>
    <mergeCell ref="C67:K67"/>
    <mergeCell ref="C63:K63"/>
    <mergeCell ref="G7:L8"/>
    <mergeCell ref="A7:E8"/>
    <mergeCell ref="N5:X53"/>
    <mergeCell ref="B19:E19"/>
    <mergeCell ref="G37:L38"/>
    <mergeCell ref="A21:C21"/>
    <mergeCell ref="A22:E26"/>
    <mergeCell ref="B9:E9"/>
    <mergeCell ref="B20:E20"/>
  </mergeCells>
  <dataValidations count="1">
    <dataValidation type="list" allowBlank="1" showInputMessage="1" showErrorMessage="1" sqref="B5">
      <formula1>ProgramGoals</formula1>
    </dataValidation>
  </dataValidations>
  <pageMargins left="0.7" right="0.7" top="0.75" bottom="0.75" header="0.3" footer="0.3"/>
  <pageSetup scale="78" orientation="portrait" r:id="rId1"/>
  <colBreaks count="1" manualBreakCount="1">
    <brk id="12" max="59"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'Pull Down Notes'!$B$148:$B$151</xm:f>
          </x14:formula1>
          <xm:sqref>D5</xm:sqref>
        </x14:dataValidation>
        <x14:dataValidation type="list" allowBlank="1" showErrorMessage="1">
          <x14:formula1>
            <xm:f>'Pull Down Notes'!$B$2:$B$11</xm:f>
          </x14:formula1>
          <xm:sqref>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opLeftCell="B7" zoomScale="70" zoomScaleNormal="70" workbookViewId="0">
      <selection activeCell="K10" sqref="K10"/>
    </sheetView>
  </sheetViews>
  <sheetFormatPr defaultColWidth="9.140625" defaultRowHeight="12.75" x14ac:dyDescent="0.2"/>
  <cols>
    <col min="1" max="1" width="4.140625" style="13" customWidth="1"/>
    <col min="2" max="2" width="4" style="13" customWidth="1"/>
    <col min="3" max="3" width="31.140625" style="13" customWidth="1"/>
    <col min="4" max="6" width="40.7109375" style="13" customWidth="1"/>
    <col min="7" max="7" width="10.5703125" style="13" customWidth="1"/>
    <col min="8" max="8" width="4.140625" style="13" customWidth="1"/>
    <col min="9" max="16384" width="9.140625" style="13"/>
  </cols>
  <sheetData>
    <row r="1" spans="1:8" ht="25.5" customHeight="1" x14ac:dyDescent="0.2">
      <c r="E1" s="333" t="s">
        <v>65</v>
      </c>
    </row>
    <row r="2" spans="1:8" ht="21" customHeight="1" x14ac:dyDescent="0.2">
      <c r="E2" s="333" t="s">
        <v>66</v>
      </c>
    </row>
    <row r="3" spans="1:8" ht="28.5" customHeight="1" thickBot="1" x14ac:dyDescent="0.25">
      <c r="B3" s="8"/>
      <c r="C3" s="8"/>
      <c r="D3" s="6"/>
      <c r="F3" s="334"/>
    </row>
    <row r="4" spans="1:8" ht="38.25" customHeight="1" thickBot="1" x14ac:dyDescent="0.25">
      <c r="B4" s="447" t="s">
        <v>376</v>
      </c>
      <c r="C4" s="448"/>
      <c r="D4" s="54"/>
      <c r="E4" s="453" t="s">
        <v>137</v>
      </c>
      <c r="F4" s="454"/>
    </row>
    <row r="5" spans="1:8" ht="38.25" customHeight="1" thickBot="1" x14ac:dyDescent="0.25">
      <c r="B5" s="447" t="s">
        <v>163</v>
      </c>
      <c r="C5" s="448"/>
      <c r="D5" s="54"/>
      <c r="E5" s="453"/>
      <c r="F5" s="454"/>
    </row>
    <row r="6" spans="1:8" ht="15.75" customHeight="1" thickBot="1" x14ac:dyDescent="0.25">
      <c r="B6" s="22"/>
      <c r="C6" s="22"/>
      <c r="D6" s="6"/>
      <c r="E6" s="8"/>
      <c r="F6" s="7"/>
    </row>
    <row r="7" spans="1:8" ht="25.5" customHeight="1" thickTop="1" x14ac:dyDescent="0.2">
      <c r="A7" s="449" t="s">
        <v>64</v>
      </c>
      <c r="B7" s="450"/>
      <c r="C7" s="450"/>
      <c r="D7" s="450"/>
      <c r="E7" s="450"/>
      <c r="F7" s="450"/>
      <c r="G7" s="451"/>
      <c r="H7" s="452"/>
    </row>
    <row r="8" spans="1:8" ht="15.75" customHeight="1" x14ac:dyDescent="0.2">
      <c r="A8" s="9"/>
      <c r="B8" s="441" t="s">
        <v>67</v>
      </c>
      <c r="C8" s="442"/>
      <c r="D8" s="445" t="s">
        <v>68</v>
      </c>
      <c r="E8" s="445"/>
      <c r="F8" s="446"/>
      <c r="G8" s="441" t="s">
        <v>122</v>
      </c>
      <c r="H8" s="10"/>
    </row>
    <row r="9" spans="1:8" ht="16.5" thickBot="1" x14ac:dyDescent="0.25">
      <c r="A9" s="9"/>
      <c r="B9" s="443"/>
      <c r="C9" s="444"/>
      <c r="D9" s="23" t="s">
        <v>119</v>
      </c>
      <c r="E9" s="23" t="s">
        <v>120</v>
      </c>
      <c r="F9" s="21" t="s">
        <v>121</v>
      </c>
      <c r="G9" s="443"/>
      <c r="H9" s="10"/>
    </row>
    <row r="10" spans="1:8" ht="41.45" customHeight="1" thickBot="1" x14ac:dyDescent="0.25">
      <c r="A10" s="14"/>
      <c r="B10" s="321">
        <v>1</v>
      </c>
      <c r="C10" s="318" t="s">
        <v>335</v>
      </c>
      <c r="D10" s="319" t="s">
        <v>327</v>
      </c>
      <c r="E10" s="319" t="s">
        <v>362</v>
      </c>
      <c r="F10" s="320" t="s">
        <v>328</v>
      </c>
      <c r="G10" s="16"/>
      <c r="H10" s="15"/>
    </row>
    <row r="11" spans="1:8" ht="26.25" thickBot="1" x14ac:dyDescent="0.25">
      <c r="A11" s="14"/>
      <c r="B11" s="321">
        <v>2</v>
      </c>
      <c r="C11" s="318" t="s">
        <v>140</v>
      </c>
      <c r="D11" s="319" t="s">
        <v>326</v>
      </c>
      <c r="E11" s="319" t="s">
        <v>330</v>
      </c>
      <c r="F11" s="320" t="s">
        <v>329</v>
      </c>
      <c r="G11" s="16"/>
      <c r="H11" s="15"/>
    </row>
    <row r="12" spans="1:8" ht="26.25" thickBot="1" x14ac:dyDescent="0.25">
      <c r="A12" s="14"/>
      <c r="B12" s="321">
        <v>3</v>
      </c>
      <c r="C12" s="318" t="s">
        <v>151</v>
      </c>
      <c r="D12" s="319" t="s">
        <v>322</v>
      </c>
      <c r="E12" s="319" t="s">
        <v>321</v>
      </c>
      <c r="F12" s="320" t="s">
        <v>320</v>
      </c>
      <c r="G12" s="25"/>
      <c r="H12" s="15"/>
    </row>
    <row r="13" spans="1:8" ht="26.25" thickBot="1" x14ac:dyDescent="0.25">
      <c r="A13" s="14"/>
      <c r="B13" s="321">
        <v>4</v>
      </c>
      <c r="C13" s="318" t="s">
        <v>141</v>
      </c>
      <c r="D13" s="319" t="s">
        <v>142</v>
      </c>
      <c r="E13" s="319" t="s">
        <v>143</v>
      </c>
      <c r="F13" s="320" t="s">
        <v>331</v>
      </c>
      <c r="G13" s="24"/>
      <c r="H13" s="15"/>
    </row>
    <row r="14" spans="1:8" ht="51.75" thickBot="1" x14ac:dyDescent="0.25">
      <c r="A14" s="14"/>
      <c r="B14" s="321">
        <v>5</v>
      </c>
      <c r="C14" s="318" t="s">
        <v>144</v>
      </c>
      <c r="D14" s="319" t="s">
        <v>124</v>
      </c>
      <c r="E14" s="319" t="s">
        <v>145</v>
      </c>
      <c r="F14" s="320" t="s">
        <v>125</v>
      </c>
      <c r="G14" s="16"/>
      <c r="H14" s="15"/>
    </row>
    <row r="15" spans="1:8" ht="39" thickBot="1" x14ac:dyDescent="0.25">
      <c r="A15" s="14"/>
      <c r="B15" s="321">
        <v>6</v>
      </c>
      <c r="C15" s="318" t="s">
        <v>146</v>
      </c>
      <c r="D15" s="319" t="s">
        <v>325</v>
      </c>
      <c r="E15" s="319" t="s">
        <v>324</v>
      </c>
      <c r="F15" s="320" t="s">
        <v>323</v>
      </c>
      <c r="G15" s="24"/>
      <c r="H15" s="15"/>
    </row>
    <row r="16" spans="1:8" ht="39" thickBot="1" x14ac:dyDescent="0.25">
      <c r="A16" s="14"/>
      <c r="B16" s="321">
        <v>7</v>
      </c>
      <c r="C16" s="318" t="s">
        <v>147</v>
      </c>
      <c r="D16" s="319" t="s">
        <v>148</v>
      </c>
      <c r="E16" s="319" t="s">
        <v>149</v>
      </c>
      <c r="F16" s="320" t="s">
        <v>150</v>
      </c>
      <c r="G16" s="25"/>
      <c r="H16" s="15"/>
    </row>
    <row r="17" spans="1:8" s="17" customFormat="1" ht="51.75" thickBot="1" x14ac:dyDescent="0.25">
      <c r="A17" s="14"/>
      <c r="B17" s="321">
        <v>8</v>
      </c>
      <c r="C17" s="322" t="s">
        <v>152</v>
      </c>
      <c r="D17" s="323" t="s">
        <v>153</v>
      </c>
      <c r="E17" s="323" t="s">
        <v>154</v>
      </c>
      <c r="F17" s="324" t="s">
        <v>319</v>
      </c>
      <c r="G17" s="25"/>
      <c r="H17" s="15"/>
    </row>
    <row r="18" spans="1:8" ht="64.5" thickBot="1" x14ac:dyDescent="0.25">
      <c r="A18" s="14"/>
      <c r="B18" s="321">
        <v>9</v>
      </c>
      <c r="C18" s="318" t="s">
        <v>155</v>
      </c>
      <c r="D18" s="319" t="s">
        <v>156</v>
      </c>
      <c r="E18" s="319" t="s">
        <v>377</v>
      </c>
      <c r="F18" s="319" t="s">
        <v>318</v>
      </c>
      <c r="G18" s="25"/>
      <c r="H18" s="15"/>
    </row>
    <row r="19" spans="1:8" ht="13.5" thickBot="1" x14ac:dyDescent="0.25">
      <c r="A19" s="14"/>
      <c r="B19" s="321">
        <v>10</v>
      </c>
      <c r="C19" s="318" t="s">
        <v>157</v>
      </c>
      <c r="D19" s="319" t="s">
        <v>315</v>
      </c>
      <c r="E19" s="319" t="s">
        <v>316</v>
      </c>
      <c r="F19" s="320" t="s">
        <v>317</v>
      </c>
      <c r="G19" s="24"/>
      <c r="H19" s="15"/>
    </row>
    <row r="20" spans="1:8" ht="51.75" thickBot="1" x14ac:dyDescent="0.25">
      <c r="A20" s="14"/>
      <c r="B20" s="321">
        <v>11</v>
      </c>
      <c r="C20" s="322" t="s">
        <v>44</v>
      </c>
      <c r="D20" s="323" t="s">
        <v>363</v>
      </c>
      <c r="E20" s="323" t="s">
        <v>364</v>
      </c>
      <c r="F20" s="324" t="s">
        <v>365</v>
      </c>
      <c r="G20" s="24"/>
      <c r="H20" s="15"/>
    </row>
    <row r="21" spans="1:8" ht="39" thickBot="1" x14ac:dyDescent="0.25">
      <c r="A21" s="14"/>
      <c r="B21" s="321">
        <v>12</v>
      </c>
      <c r="C21" s="325" t="s">
        <v>158</v>
      </c>
      <c r="D21" s="326" t="s">
        <v>366</v>
      </c>
      <c r="E21" s="326" t="s">
        <v>367</v>
      </c>
      <c r="F21" s="326" t="s">
        <v>378</v>
      </c>
      <c r="G21" s="24"/>
      <c r="H21" s="15"/>
    </row>
    <row r="22" spans="1:8" ht="32.25" customHeight="1" thickBot="1" x14ac:dyDescent="0.25">
      <c r="A22" s="14"/>
      <c r="B22" s="321">
        <v>13</v>
      </c>
      <c r="C22" s="325" t="s">
        <v>71</v>
      </c>
      <c r="D22" s="326"/>
      <c r="E22" s="326"/>
      <c r="F22" s="326"/>
      <c r="G22" s="24"/>
      <c r="H22" s="15"/>
    </row>
    <row r="23" spans="1:8" ht="15" thickBot="1" x14ac:dyDescent="0.25">
      <c r="A23" s="18"/>
      <c r="B23" s="11"/>
      <c r="C23" s="19"/>
      <c r="D23" s="19"/>
      <c r="E23" s="19"/>
      <c r="F23" s="19"/>
      <c r="G23" s="19"/>
      <c r="H23" s="20"/>
    </row>
    <row r="24" spans="1:8" ht="13.5" thickTop="1" x14ac:dyDescent="0.2"/>
  </sheetData>
  <mergeCells count="7">
    <mergeCell ref="B8:C9"/>
    <mergeCell ref="D8:F8"/>
    <mergeCell ref="G8:G9"/>
    <mergeCell ref="B4:C4"/>
    <mergeCell ref="A7:H7"/>
    <mergeCell ref="B5:C5"/>
    <mergeCell ref="E4:F5"/>
  </mergeCells>
  <dataValidations count="1">
    <dataValidation type="list" allowBlank="1" showInputMessage="1" showErrorMessage="1" sqref="D4">
      <formula1>CatchmentAssessment</formula1>
    </dataValidation>
  </dataValidations>
  <printOptions horizontalCentered="1" verticalCentered="1"/>
  <pageMargins left="0.95" right="0.95" top="0.5" bottom="0.5" header="0.3" footer="0.3"/>
  <pageSetup scale="60" orientation="landscape" r:id="rId1"/>
  <headerFooter>
    <oddFooter>&amp;L&amp;12Version 2.0&amp;C&amp;12Catchment Assessment Form &amp;P of &amp;N&amp;R12-28-2016</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'Pull Down Notes'!$B$55:$B$56</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5"/>
  <sheetViews>
    <sheetView zoomScale="70" zoomScaleNormal="70" zoomScaleSheetLayoutView="70" workbookViewId="0">
      <selection activeCell="B11" sqref="B11:B21"/>
    </sheetView>
  </sheetViews>
  <sheetFormatPr defaultColWidth="8.85546875" defaultRowHeight="15" x14ac:dyDescent="0.25"/>
  <cols>
    <col min="1" max="1" width="41.42578125" style="103" customWidth="1"/>
    <col min="2" max="2" width="36.42578125" style="103" customWidth="1"/>
    <col min="3" max="4" width="21.28515625" style="103" customWidth="1"/>
    <col min="5" max="6" width="19.42578125" style="103" customWidth="1"/>
    <col min="7" max="7" width="12.28515625" style="103" customWidth="1"/>
    <col min="8" max="8" width="11.42578125" style="103" customWidth="1"/>
    <col min="9" max="9" width="13.5703125" style="103" customWidth="1"/>
    <col min="10" max="10" width="14.140625" style="103" customWidth="1"/>
    <col min="11" max="11" width="18.5703125" style="103" customWidth="1"/>
    <col min="12" max="12" width="13.7109375" style="103" customWidth="1"/>
    <col min="13" max="16384" width="8.85546875" style="103"/>
  </cols>
  <sheetData>
    <row r="1" spans="1:10" x14ac:dyDescent="0.25">
      <c r="A1" s="101" t="s">
        <v>290</v>
      </c>
      <c r="B1" s="102"/>
      <c r="C1" s="102"/>
      <c r="D1" s="102"/>
      <c r="E1" s="102"/>
      <c r="F1" s="102"/>
      <c r="G1" s="102"/>
    </row>
    <row r="2" spans="1:10" s="105" customFormat="1" x14ac:dyDescent="0.25">
      <c r="A2" s="104"/>
    </row>
    <row r="3" spans="1:10" ht="21" x14ac:dyDescent="0.35">
      <c r="A3" s="521" t="s">
        <v>370</v>
      </c>
      <c r="B3" s="522"/>
      <c r="D3" s="490" t="s">
        <v>59</v>
      </c>
      <c r="E3" s="491"/>
      <c r="F3" s="491"/>
      <c r="G3" s="491"/>
      <c r="H3" s="491"/>
      <c r="I3" s="491"/>
      <c r="J3" s="492"/>
    </row>
    <row r="4" spans="1:10" ht="15.75" x14ac:dyDescent="0.25">
      <c r="A4" s="523"/>
      <c r="B4" s="524"/>
      <c r="D4" s="514" t="s">
        <v>60</v>
      </c>
      <c r="E4" s="515"/>
      <c r="F4" s="515"/>
      <c r="G4" s="515"/>
      <c r="H4" s="515"/>
      <c r="I4" s="515"/>
      <c r="J4" s="516"/>
    </row>
    <row r="5" spans="1:10" ht="19.149999999999999" customHeight="1" x14ac:dyDescent="0.25">
      <c r="A5" s="406" t="s">
        <v>106</v>
      </c>
      <c r="B5" s="106"/>
      <c r="C5" s="116"/>
      <c r="D5" s="517" t="s">
        <v>139</v>
      </c>
      <c r="E5" s="518"/>
      <c r="F5" s="518"/>
      <c r="G5" s="518"/>
      <c r="H5" s="518"/>
      <c r="I5" s="518"/>
      <c r="J5" s="519"/>
    </row>
    <row r="6" spans="1:10" ht="19.149999999999999" customHeight="1" x14ac:dyDescent="0.25">
      <c r="A6" s="406" t="s">
        <v>99</v>
      </c>
      <c r="B6" s="106"/>
      <c r="C6" s="116"/>
      <c r="D6" s="528" t="s">
        <v>138</v>
      </c>
      <c r="E6" s="529"/>
      <c r="F6" s="529"/>
      <c r="G6" s="529"/>
      <c r="H6" s="529"/>
      <c r="I6" s="529"/>
      <c r="J6" s="530"/>
    </row>
    <row r="7" spans="1:10" ht="19.149999999999999" customHeight="1" x14ac:dyDescent="0.25">
      <c r="A7" s="406" t="s">
        <v>52</v>
      </c>
      <c r="B7" s="388">
        <f>'Catchment Assessment'!D5</f>
        <v>0</v>
      </c>
      <c r="C7" s="109"/>
    </row>
    <row r="8" spans="1:10" ht="19.149999999999999" customHeight="1" x14ac:dyDescent="0.35">
      <c r="A8" s="406" t="s">
        <v>100</v>
      </c>
      <c r="B8" s="107"/>
      <c r="C8" s="109"/>
      <c r="D8" s="490" t="s">
        <v>268</v>
      </c>
      <c r="E8" s="491"/>
      <c r="F8" s="492"/>
      <c r="H8" s="490" t="s">
        <v>286</v>
      </c>
      <c r="I8" s="491"/>
      <c r="J8" s="492"/>
    </row>
    <row r="9" spans="1:10" ht="19.149999999999999" customHeight="1" x14ac:dyDescent="0.35">
      <c r="A9" s="406" t="s">
        <v>247</v>
      </c>
      <c r="B9" s="388">
        <f>'Project Assessment'!D21</f>
        <v>0</v>
      </c>
      <c r="C9" s="109"/>
      <c r="D9" s="546" t="s">
        <v>379</v>
      </c>
      <c r="E9" s="547"/>
      <c r="F9" s="314">
        <f>IFERROR(ROUND(SUM(IF(H27="",0,H27*0.3),IF(H29="",0,H29*0.3),IF(H31="",0,H31*0.2),IF(H33="",0,H33*0.2)),2),"")</f>
        <v>0</v>
      </c>
      <c r="G9" s="110"/>
      <c r="H9" s="111" t="str">
        <f>F17</f>
        <v/>
      </c>
      <c r="I9" s="112" t="s">
        <v>287</v>
      </c>
      <c r="J9" s="113" t="str">
        <f>IF(F17="","",IF(F17&gt;0,"Lift","Loss"))</f>
        <v/>
      </c>
    </row>
    <row r="10" spans="1:10" ht="19.149999999999999" customHeight="1" x14ac:dyDescent="0.35">
      <c r="A10" s="406" t="s">
        <v>308</v>
      </c>
      <c r="B10" s="107"/>
      <c r="C10" s="311"/>
      <c r="D10" s="548" t="s">
        <v>114</v>
      </c>
      <c r="E10" s="549"/>
      <c r="F10" s="314">
        <f>IFERROR(ROUND(SUM(IF(I27="",0,I27*0.3),IF(I29="",0,I29*0.3),IF(I31="",0,I31*0.2),IF(I33="",0,I33*0.2)),2),"")</f>
        <v>0</v>
      </c>
      <c r="G10" s="110"/>
      <c r="H10" s="108"/>
      <c r="I10" s="108"/>
      <c r="J10" s="108"/>
    </row>
    <row r="11" spans="1:10" ht="19.149999999999999" customHeight="1" x14ac:dyDescent="0.35">
      <c r="A11" s="405" t="s">
        <v>159</v>
      </c>
      <c r="B11" s="107"/>
      <c r="C11" s="109"/>
      <c r="D11" s="548" t="s">
        <v>285</v>
      </c>
      <c r="E11" s="549"/>
      <c r="F11" s="115">
        <f>IFERROR(F10-F9,"")</f>
        <v>0</v>
      </c>
      <c r="G11" s="114"/>
      <c r="H11" s="108"/>
      <c r="J11" s="108"/>
    </row>
    <row r="12" spans="1:10" ht="19.149999999999999" customHeight="1" x14ac:dyDescent="0.35">
      <c r="A12" s="406" t="s">
        <v>332</v>
      </c>
      <c r="B12" s="106"/>
      <c r="C12" s="116"/>
      <c r="D12" s="548" t="s">
        <v>61</v>
      </c>
      <c r="E12" s="549"/>
      <c r="F12" s="117" t="str">
        <f>IF(B14="","",B14)</f>
        <v/>
      </c>
      <c r="G12" s="118"/>
      <c r="H12" s="108"/>
      <c r="J12" s="108"/>
    </row>
    <row r="13" spans="1:10" ht="19.149999999999999" customHeight="1" x14ac:dyDescent="0.35">
      <c r="A13" s="405" t="s">
        <v>85</v>
      </c>
      <c r="B13" s="107"/>
      <c r="C13" s="109"/>
      <c r="D13" s="548" t="s">
        <v>81</v>
      </c>
      <c r="E13" s="549"/>
      <c r="F13" s="117" t="str">
        <f>IF(B15="","",B15)</f>
        <v/>
      </c>
      <c r="G13" s="114"/>
      <c r="H13" s="108"/>
      <c r="J13" s="108"/>
    </row>
    <row r="14" spans="1:10" ht="19.149999999999999" customHeight="1" x14ac:dyDescent="0.25">
      <c r="A14" s="100" t="s">
        <v>384</v>
      </c>
      <c r="B14" s="106"/>
      <c r="C14" s="116"/>
      <c r="D14" s="553" t="s">
        <v>284</v>
      </c>
      <c r="E14" s="551"/>
      <c r="F14" s="117" t="str">
        <f>IFERROR(F13-F12,"")</f>
        <v/>
      </c>
      <c r="G14" s="114"/>
      <c r="H14" s="119"/>
      <c r="J14" s="119"/>
    </row>
    <row r="15" spans="1:10" ht="19.149999999999999" customHeight="1" x14ac:dyDescent="0.35">
      <c r="A15" s="100" t="s">
        <v>385</v>
      </c>
      <c r="B15" s="106"/>
      <c r="C15" s="116"/>
      <c r="D15" s="550" t="s">
        <v>310</v>
      </c>
      <c r="E15" s="551"/>
      <c r="F15" s="120" t="str">
        <f>IFERROR(F9*F12,"")</f>
        <v/>
      </c>
      <c r="G15" s="114"/>
      <c r="H15" s="108"/>
      <c r="I15" s="108"/>
      <c r="J15" s="108"/>
    </row>
    <row r="16" spans="1:10" ht="19.149999999999999" customHeight="1" x14ac:dyDescent="0.35">
      <c r="A16" s="406" t="s">
        <v>84</v>
      </c>
      <c r="B16" s="106"/>
      <c r="C16" s="109"/>
      <c r="D16" s="550" t="s">
        <v>311</v>
      </c>
      <c r="E16" s="551"/>
      <c r="F16" s="120" t="str">
        <f>IFERROR(F13*F10,"")</f>
        <v/>
      </c>
      <c r="G16" s="121"/>
      <c r="H16" s="108"/>
      <c r="I16" s="108"/>
      <c r="J16" s="108"/>
    </row>
    <row r="17" spans="1:11" ht="19.149999999999999" customHeight="1" x14ac:dyDescent="0.35">
      <c r="A17" s="405" t="s">
        <v>74</v>
      </c>
      <c r="B17" s="107"/>
      <c r="C17" s="116"/>
      <c r="D17" s="548" t="s">
        <v>309</v>
      </c>
      <c r="E17" s="549"/>
      <c r="F17" s="122" t="str">
        <f>IFERROR(F16-F15,"")</f>
        <v/>
      </c>
      <c r="G17" s="121"/>
      <c r="H17" s="108"/>
      <c r="I17" s="108"/>
      <c r="J17" s="108"/>
    </row>
    <row r="18" spans="1:11" ht="19.149999999999999" customHeight="1" x14ac:dyDescent="0.35">
      <c r="A18" s="405" t="s">
        <v>79</v>
      </c>
      <c r="B18" s="107"/>
      <c r="C18" s="116"/>
      <c r="D18" s="487" t="s">
        <v>382</v>
      </c>
      <c r="E18" s="488"/>
      <c r="F18" s="123" t="str">
        <f>IFERROR(F17/F15,"")</f>
        <v/>
      </c>
      <c r="G18" s="121"/>
      <c r="H18" s="108"/>
      <c r="I18" s="108"/>
      <c r="J18" s="108"/>
    </row>
    <row r="19" spans="1:11" ht="19.149999999999999" customHeight="1" x14ac:dyDescent="0.35">
      <c r="A19" s="405" t="s">
        <v>333</v>
      </c>
      <c r="B19" s="107"/>
      <c r="C19" s="116"/>
      <c r="E19" s="312"/>
      <c r="F19" s="312"/>
      <c r="G19" s="312"/>
      <c r="H19" s="312"/>
      <c r="I19" s="312"/>
      <c r="J19" s="312"/>
      <c r="K19" s="119"/>
    </row>
    <row r="20" spans="1:11" ht="19.149999999999999" customHeight="1" x14ac:dyDescent="0.25">
      <c r="A20" s="405" t="s">
        <v>334</v>
      </c>
      <c r="B20" s="107"/>
      <c r="C20" s="116"/>
      <c r="D20" s="545" t="str">
        <f>IF(OR(C29="",C31="",C35="",C33="",D29="",D31="",D35="",D33=""),"WARNING: Data are not provided for Floodplain Connectivity, Lateral Stability, Riparian Vegetation, or Bed Form Diversity Parameters.","")</f>
        <v>WARNING: Data are not provided for Floodplain Connectivity, Lateral Stability, Riparian Vegetation, or Bed Form Diversity Parameters.</v>
      </c>
      <c r="E20" s="545"/>
      <c r="F20" s="545"/>
      <c r="G20" s="545"/>
      <c r="H20" s="545"/>
      <c r="I20" s="545"/>
      <c r="J20" s="545"/>
      <c r="K20" s="119"/>
    </row>
    <row r="21" spans="1:11" ht="19.149999999999999" customHeight="1" x14ac:dyDescent="0.25">
      <c r="A21" s="405" t="s">
        <v>336</v>
      </c>
      <c r="B21" s="107"/>
      <c r="C21" s="116"/>
      <c r="D21" s="545"/>
      <c r="E21" s="545"/>
      <c r="F21" s="545"/>
      <c r="G21" s="545"/>
      <c r="H21" s="545"/>
      <c r="I21" s="545"/>
      <c r="J21" s="545"/>
      <c r="K21" s="119"/>
    </row>
    <row r="22" spans="1:11" x14ac:dyDescent="0.25">
      <c r="C22" s="105"/>
      <c r="D22" s="105"/>
      <c r="E22" s="105"/>
      <c r="F22" s="105"/>
      <c r="G22" s="105"/>
      <c r="H22" s="124"/>
      <c r="I22" s="124"/>
      <c r="J22" s="124"/>
      <c r="K22" s="119"/>
    </row>
    <row r="23" spans="1:11" ht="18.75" x14ac:dyDescent="0.25">
      <c r="B23" s="407"/>
      <c r="C23" s="407"/>
      <c r="D23" s="407"/>
      <c r="E23" s="105"/>
      <c r="F23" s="105"/>
      <c r="G23" s="105"/>
      <c r="H23" s="124"/>
      <c r="I23" s="124"/>
      <c r="J23" s="124"/>
      <c r="K23" s="119"/>
    </row>
    <row r="24" spans="1:11" ht="30.75" customHeight="1" x14ac:dyDescent="0.25">
      <c r="A24" s="531" t="s">
        <v>115</v>
      </c>
      <c r="B24" s="532"/>
      <c r="C24" s="532"/>
      <c r="D24" s="533"/>
      <c r="E24" s="126"/>
      <c r="F24" s="534" t="s">
        <v>101</v>
      </c>
      <c r="G24" s="534"/>
      <c r="H24" s="534"/>
      <c r="I24" s="534"/>
      <c r="J24" s="534"/>
    </row>
    <row r="25" spans="1:11" ht="18.600000000000001" customHeight="1" x14ac:dyDescent="0.25">
      <c r="A25" s="538" t="s">
        <v>1</v>
      </c>
      <c r="B25" s="482" t="s">
        <v>2</v>
      </c>
      <c r="C25" s="482" t="s">
        <v>62</v>
      </c>
      <c r="D25" s="482" t="s">
        <v>63</v>
      </c>
      <c r="E25" s="127"/>
      <c r="F25" s="520" t="s">
        <v>102</v>
      </c>
      <c r="G25" s="520"/>
      <c r="H25" s="520" t="s">
        <v>103</v>
      </c>
      <c r="I25" s="520" t="s">
        <v>104</v>
      </c>
      <c r="J25" s="552" t="s">
        <v>289</v>
      </c>
    </row>
    <row r="26" spans="1:11" ht="18.600000000000001" customHeight="1" x14ac:dyDescent="0.25">
      <c r="A26" s="539"/>
      <c r="B26" s="483"/>
      <c r="C26" s="483"/>
      <c r="D26" s="483"/>
      <c r="E26" s="127"/>
      <c r="F26" s="520"/>
      <c r="G26" s="520"/>
      <c r="H26" s="520"/>
      <c r="I26" s="520"/>
      <c r="J26" s="552"/>
    </row>
    <row r="27" spans="1:11" ht="17.25" customHeight="1" x14ac:dyDescent="0.25">
      <c r="A27" s="469" t="s">
        <v>345</v>
      </c>
      <c r="B27" s="130" t="s">
        <v>128</v>
      </c>
      <c r="C27" s="128" t="str">
        <f>G44</f>
        <v/>
      </c>
      <c r="D27" s="128" t="str">
        <f>G76</f>
        <v/>
      </c>
      <c r="E27" s="129"/>
      <c r="F27" s="493" t="s">
        <v>345</v>
      </c>
      <c r="G27" s="493"/>
      <c r="H27" s="472" t="str">
        <f>H44</f>
        <v/>
      </c>
      <c r="I27" s="472" t="str">
        <f>H76</f>
        <v/>
      </c>
      <c r="J27" s="472" t="str">
        <f>IFERROR(ROUND(I27-H27,2),"")</f>
        <v/>
      </c>
    </row>
    <row r="28" spans="1:11" ht="17.25" customHeight="1" x14ac:dyDescent="0.25">
      <c r="A28" s="470"/>
      <c r="B28" s="290" t="s">
        <v>140</v>
      </c>
      <c r="C28" s="128" t="str">
        <f>G46</f>
        <v/>
      </c>
      <c r="D28" s="128" t="str">
        <f>G78</f>
        <v/>
      </c>
      <c r="E28" s="129"/>
      <c r="F28" s="493"/>
      <c r="G28" s="493"/>
      <c r="H28" s="472"/>
      <c r="I28" s="472"/>
      <c r="J28" s="472"/>
    </row>
    <row r="29" spans="1:11" ht="15.75" customHeight="1" x14ac:dyDescent="0.25">
      <c r="A29" s="471"/>
      <c r="B29" s="130" t="s">
        <v>5</v>
      </c>
      <c r="C29" s="128" t="str">
        <f>G47</f>
        <v/>
      </c>
      <c r="D29" s="128" t="str">
        <f>G79</f>
        <v/>
      </c>
      <c r="E29" s="129"/>
      <c r="F29" s="535" t="s">
        <v>20</v>
      </c>
      <c r="G29" s="535"/>
      <c r="H29" s="472" t="str">
        <f>H49</f>
        <v/>
      </c>
      <c r="I29" s="472" t="str">
        <f>H81</f>
        <v/>
      </c>
      <c r="J29" s="472" t="str">
        <f>IFERROR(ROUND(I29-H29,2),"")</f>
        <v/>
      </c>
    </row>
    <row r="30" spans="1:11" ht="15.75" customHeight="1" x14ac:dyDescent="0.25">
      <c r="A30" s="525" t="s">
        <v>20</v>
      </c>
      <c r="B30" s="131" t="s">
        <v>21</v>
      </c>
      <c r="C30" s="128" t="str">
        <f>G49</f>
        <v/>
      </c>
      <c r="D30" s="128" t="str">
        <f>G81</f>
        <v/>
      </c>
      <c r="E30" s="129"/>
      <c r="F30" s="535"/>
      <c r="G30" s="535"/>
      <c r="H30" s="472"/>
      <c r="I30" s="472"/>
      <c r="J30" s="472"/>
    </row>
    <row r="31" spans="1:11" ht="15.75" customHeight="1" x14ac:dyDescent="0.25">
      <c r="A31" s="526"/>
      <c r="B31" s="36" t="s">
        <v>402</v>
      </c>
      <c r="C31" s="128" t="str">
        <f>G51</f>
        <v/>
      </c>
      <c r="D31" s="128" t="str">
        <f>G83</f>
        <v/>
      </c>
      <c r="E31" s="129"/>
      <c r="F31" s="536" t="s">
        <v>53</v>
      </c>
      <c r="G31" s="536"/>
      <c r="H31" s="472" t="str">
        <f>H65</f>
        <v/>
      </c>
      <c r="I31" s="472" t="str">
        <f>H97</f>
        <v/>
      </c>
      <c r="J31" s="472" t="str">
        <f>IFERROR(ROUND(I31-H31,2),"")</f>
        <v/>
      </c>
    </row>
    <row r="32" spans="1:11" ht="15.75" customHeight="1" x14ac:dyDescent="0.25">
      <c r="A32" s="526"/>
      <c r="B32" s="36" t="s">
        <v>105</v>
      </c>
      <c r="C32" s="128" t="str">
        <f>G55</f>
        <v/>
      </c>
      <c r="D32" s="128" t="str">
        <f>G87</f>
        <v/>
      </c>
      <c r="E32" s="129"/>
      <c r="F32" s="536"/>
      <c r="G32" s="536"/>
      <c r="H32" s="472"/>
      <c r="I32" s="472"/>
      <c r="J32" s="472"/>
    </row>
    <row r="33" spans="1:12" ht="15.75" customHeight="1" x14ac:dyDescent="0.25">
      <c r="A33" s="526"/>
      <c r="B33" s="131" t="s">
        <v>45</v>
      </c>
      <c r="C33" s="128" t="str">
        <f>G56</f>
        <v/>
      </c>
      <c r="D33" s="128" t="str">
        <f>G88</f>
        <v/>
      </c>
      <c r="E33" s="129"/>
      <c r="F33" s="537" t="s">
        <v>54</v>
      </c>
      <c r="G33" s="537"/>
      <c r="H33" s="472" t="str">
        <f>H67</f>
        <v/>
      </c>
      <c r="I33" s="472" t="str">
        <f>H99</f>
        <v/>
      </c>
      <c r="J33" s="472" t="str">
        <f>IFERROR(I33-H33,"")</f>
        <v/>
      </c>
    </row>
    <row r="34" spans="1:12" ht="15.75" customHeight="1" x14ac:dyDescent="0.25">
      <c r="A34" s="526"/>
      <c r="B34" s="131" t="s">
        <v>49</v>
      </c>
      <c r="C34" s="128" t="str">
        <f>G60</f>
        <v/>
      </c>
      <c r="D34" s="128" t="str">
        <f>G92</f>
        <v/>
      </c>
      <c r="E34" s="129"/>
      <c r="F34" s="537"/>
      <c r="G34" s="537"/>
      <c r="H34" s="472"/>
      <c r="I34" s="472"/>
      <c r="J34" s="472"/>
    </row>
    <row r="35" spans="1:12" ht="15.75" customHeight="1" x14ac:dyDescent="0.25">
      <c r="A35" s="527"/>
      <c r="B35" s="131" t="s">
        <v>44</v>
      </c>
      <c r="C35" s="128" t="str">
        <f>G61</f>
        <v/>
      </c>
      <c r="D35" s="128" t="str">
        <f>G93</f>
        <v/>
      </c>
      <c r="E35" s="129"/>
    </row>
    <row r="36" spans="1:12" ht="15.75" customHeight="1" x14ac:dyDescent="0.25">
      <c r="A36" s="484" t="s">
        <v>53</v>
      </c>
      <c r="B36" s="132" t="s">
        <v>80</v>
      </c>
      <c r="C36" s="128" t="str">
        <f>G65</f>
        <v/>
      </c>
      <c r="D36" s="128" t="str">
        <f>G97</f>
        <v/>
      </c>
      <c r="E36" s="129"/>
    </row>
    <row r="37" spans="1:12" ht="15.75" customHeight="1" x14ac:dyDescent="0.25">
      <c r="A37" s="484"/>
      <c r="B37" s="132" t="s">
        <v>249</v>
      </c>
      <c r="C37" s="128" t="str">
        <f>G66</f>
        <v/>
      </c>
      <c r="D37" s="128" t="str">
        <f>G98</f>
        <v/>
      </c>
      <c r="E37" s="129"/>
      <c r="K37" s="133"/>
    </row>
    <row r="38" spans="1:12" ht="15.75" customHeight="1" x14ac:dyDescent="0.25">
      <c r="A38" s="489" t="s">
        <v>54</v>
      </c>
      <c r="B38" s="37" t="s">
        <v>189</v>
      </c>
      <c r="C38" s="128" t="str">
        <f>G67</f>
        <v/>
      </c>
      <c r="D38" s="128" t="str">
        <f>G99</f>
        <v/>
      </c>
      <c r="E38" s="129"/>
      <c r="K38" s="119"/>
    </row>
    <row r="39" spans="1:12" ht="15.75" customHeight="1" x14ac:dyDescent="0.25">
      <c r="A39" s="489"/>
      <c r="B39" s="134" t="s">
        <v>75</v>
      </c>
      <c r="C39" s="128" t="str">
        <f>G69</f>
        <v/>
      </c>
      <c r="D39" s="128" t="str">
        <f>G101</f>
        <v/>
      </c>
      <c r="E39" s="129"/>
    </row>
    <row r="40" spans="1:12" ht="15.6" customHeight="1" x14ac:dyDescent="0.25">
      <c r="A40" s="135"/>
      <c r="B40" s="136"/>
      <c r="C40" s="137"/>
      <c r="D40" s="137"/>
      <c r="E40" s="129"/>
    </row>
    <row r="41" spans="1:12" ht="15" customHeight="1" x14ac:dyDescent="0.25">
      <c r="A41" s="125"/>
      <c r="B41" s="105"/>
      <c r="C41" s="105"/>
      <c r="D41" s="105"/>
      <c r="E41" s="105"/>
      <c r="F41" s="105"/>
      <c r="G41" s="105"/>
      <c r="H41" s="124"/>
      <c r="I41" s="124"/>
      <c r="J41" s="124"/>
      <c r="K41" s="119"/>
    </row>
    <row r="42" spans="1:12" ht="21" x14ac:dyDescent="0.35">
      <c r="A42" s="490" t="s">
        <v>50</v>
      </c>
      <c r="B42" s="491"/>
      <c r="C42" s="491"/>
      <c r="D42" s="491"/>
      <c r="E42" s="491"/>
      <c r="F42" s="492"/>
      <c r="G42" s="490" t="s">
        <v>14</v>
      </c>
      <c r="H42" s="491"/>
      <c r="I42" s="492"/>
      <c r="J42" s="119"/>
    </row>
    <row r="43" spans="1:12" ht="15.75" x14ac:dyDescent="0.25">
      <c r="A43" s="138" t="s">
        <v>1</v>
      </c>
      <c r="B43" s="53" t="s">
        <v>352</v>
      </c>
      <c r="C43" s="494" t="s">
        <v>348</v>
      </c>
      <c r="D43" s="495"/>
      <c r="E43" s="138" t="s">
        <v>12</v>
      </c>
      <c r="F43" s="139" t="s">
        <v>13</v>
      </c>
      <c r="G43" s="138" t="s">
        <v>15</v>
      </c>
      <c r="H43" s="138" t="s">
        <v>16</v>
      </c>
      <c r="I43" s="138" t="s">
        <v>16</v>
      </c>
      <c r="J43" s="119"/>
    </row>
    <row r="44" spans="1:12" ht="15.75" x14ac:dyDescent="0.25">
      <c r="A44" s="498" t="s">
        <v>345</v>
      </c>
      <c r="B44" s="485" t="s">
        <v>128</v>
      </c>
      <c r="C44" s="287" t="s">
        <v>341</v>
      </c>
      <c r="D44" s="288"/>
      <c r="E44" s="142"/>
      <c r="F44" s="389" t="str">
        <f>IF(E44="","",IF(E44&gt;=80,0,IF(E44&lt;=40,1,IF(E44&gt;=68,ROUND(E44*'Reference Curves'!$C$14+'Reference Curves'!$C$15,2),ROUND(E44*'Reference Curves'!$D$14+'Reference Curves'!$D$15,2)))))</f>
        <v/>
      </c>
      <c r="G44" s="501" t="str">
        <f>IFERROR(AVERAGE(F44:F45),"")</f>
        <v/>
      </c>
      <c r="H44" s="501" t="str">
        <f>IFERROR(ROUND(AVERAGE(G44:G48),2),"")</f>
        <v/>
      </c>
      <c r="I44" s="504" t="str">
        <f>IF(H44="","",IF(H44:H48&gt;0.69,"Functioning",IF(H44&gt;0.29,"Functioning At Risk",IF(H44&gt;-1,"Not Functioning"))))</f>
        <v/>
      </c>
      <c r="J44" s="119"/>
    </row>
    <row r="45" spans="1:12" ht="15.75" x14ac:dyDescent="0.25">
      <c r="A45" s="499"/>
      <c r="B45" s="486"/>
      <c r="C45" s="289" t="s">
        <v>129</v>
      </c>
      <c r="D45" s="145"/>
      <c r="E45" s="143"/>
      <c r="F45" s="390" t="str">
        <f>IF(E45="","",   IF(E45&gt;3.22,0, IF(E45&lt;0, "", ROUND('Reference Curves'!$C$44*E45+'Reference Curves'!$C$45,2))))</f>
        <v/>
      </c>
      <c r="G45" s="503"/>
      <c r="H45" s="502"/>
      <c r="I45" s="505"/>
      <c r="J45" s="119"/>
    </row>
    <row r="46" spans="1:12" ht="15.75" x14ac:dyDescent="0.25">
      <c r="A46" s="499"/>
      <c r="B46" s="290" t="s">
        <v>140</v>
      </c>
      <c r="C46" s="543" t="s">
        <v>237</v>
      </c>
      <c r="D46" s="544"/>
      <c r="E46" s="381"/>
      <c r="F46" s="390" t="str">
        <f>IF(E46="","",IF(OR(E46&gt;=2,E46&lt;=0.26),0,IF(AND(E46&gt;=0.9,E46&lt;=1.1),1,ROUND(IF(E46&lt;0.9,'Reference Curves'!$C$75*E46+'Reference Curves'!$C$76,'Reference Curves'!$D$75*E46+'Reference Curves'!$D$76),2))))</f>
        <v/>
      </c>
      <c r="G46" s="329" t="str">
        <f>IFERROR(F46,"")</f>
        <v/>
      </c>
      <c r="H46" s="502"/>
      <c r="I46" s="505"/>
      <c r="J46" s="119"/>
      <c r="L46" s="141"/>
    </row>
    <row r="47" spans="1:12" ht="15.75" x14ac:dyDescent="0.25">
      <c r="A47" s="499"/>
      <c r="B47" s="485" t="s">
        <v>5</v>
      </c>
      <c r="C47" s="289" t="s">
        <v>6</v>
      </c>
      <c r="D47" s="145"/>
      <c r="E47" s="140"/>
      <c r="F47" s="391" t="str">
        <f>IF(E47="","",ROUND(IF(E47&gt;1.71,0,IF(E47&lt;=1,1,E47*'Reference Curves'!C$107+'Reference Curves'!C$108)),2))</f>
        <v/>
      </c>
      <c r="G47" s="501" t="str">
        <f>IFERROR(AVERAGE(F47:F48),"")</f>
        <v/>
      </c>
      <c r="H47" s="502"/>
      <c r="I47" s="505"/>
      <c r="J47" s="119"/>
      <c r="L47" s="141"/>
    </row>
    <row r="48" spans="1:12" ht="15.75" x14ac:dyDescent="0.25">
      <c r="A48" s="500"/>
      <c r="B48" s="486"/>
      <c r="C48" s="392" t="s">
        <v>7</v>
      </c>
      <c r="D48" s="146"/>
      <c r="E48" s="143"/>
      <c r="F48" s="390" t="str">
        <f>IF(E48="","",IF(OR(B$9="A",B$9="Ba",B$9="B", B$9="Bc"),IF(E48&lt;1.05,0,IF(E48&gt;=2.2,1,ROUND(IF(E48&lt;1.4,E48*'Reference Curves'!$C$176+'Reference Curves'!$C$177,E48*'Reference Curves'!$D$176+'Reference Curves'!$D$177),2))),IF(OR(B$9="C",B$9="Cb",B$9="E"),IF(E48&lt;1.7,0,IF(E48&gt;=5,1,ROUND(IF(E48&lt;2.4,E48*'Reference Curves'!$D$141+'Reference Curves'!$D$142,E48*'Reference Curves'!$C$141+'Reference Curves'!$C$142),2))))))</f>
        <v/>
      </c>
      <c r="G48" s="503"/>
      <c r="H48" s="503"/>
      <c r="I48" s="506"/>
      <c r="J48" s="119"/>
      <c r="L48" s="141"/>
    </row>
    <row r="49" spans="1:12" ht="15.75" x14ac:dyDescent="0.25">
      <c r="A49" s="465" t="s">
        <v>20</v>
      </c>
      <c r="B49" s="465" t="s">
        <v>21</v>
      </c>
      <c r="C49" s="32" t="s">
        <v>19</v>
      </c>
      <c r="D49" s="148"/>
      <c r="E49" s="142"/>
      <c r="F49" s="338" t="str">
        <f>IF(E49="","",IF(E49&gt;=660,1,IF(E49&lt;=430,ROUND('Reference Curves'!$K$14*E49+'Reference Curves'!$K$15,2),ROUND('Reference Curves'!$L$14*E49+'Reference Curves'!$L$15,2))))</f>
        <v/>
      </c>
      <c r="G49" s="455" t="str">
        <f>IFERROR(AVERAGE(F49:F50),"")</f>
        <v/>
      </c>
      <c r="H49" s="455" t="str">
        <f>IFERROR(ROUND(AVERAGE(G49:G64),2),"")</f>
        <v/>
      </c>
      <c r="I49" s="458" t="str">
        <f>IF(H49="","",IF(H49&gt;0.69,"Functioning",IF(H49&gt;0.29,"Functioning At Risk",IF(H49&gt;-1,"Not Functioning"))))</f>
        <v/>
      </c>
      <c r="J49" s="119"/>
      <c r="L49" s="141"/>
    </row>
    <row r="50" spans="1:12" ht="15.75" x14ac:dyDescent="0.25">
      <c r="A50" s="462"/>
      <c r="B50" s="463"/>
      <c r="C50" s="279" t="s">
        <v>346</v>
      </c>
      <c r="D50" s="151"/>
      <c r="E50" s="140"/>
      <c r="F50" s="337" t="str">
        <f>IF(E50="","",IF(E50&gt;=28,1,ROUND(IF(E50&lt;=13,'Reference Curves'!$K$47*E50,'Reference Curves'!$L$47*E50+'Reference Curves'!$L$48),2)))</f>
        <v/>
      </c>
      <c r="G50" s="457"/>
      <c r="H50" s="456"/>
      <c r="I50" s="459"/>
      <c r="J50" s="119"/>
      <c r="L50" s="141"/>
    </row>
    <row r="51" spans="1:12" ht="15.75" x14ac:dyDescent="0.25">
      <c r="A51" s="462"/>
      <c r="B51" s="461" t="s">
        <v>402</v>
      </c>
      <c r="C51" s="393" t="s">
        <v>250</v>
      </c>
      <c r="D51" s="277"/>
      <c r="E51" s="142"/>
      <c r="F51" s="338" t="str">
        <f>IF(E51="","",ROUND(IF(E51&lt;=2,0,IF(E51&gt;=9,1,E51^3*'Reference Curves'!K$81+E51^2*'Reference Curves'!$K$82+E51*'Reference Curves'!$K$83+'Reference Curves'!$K$84)),2))</f>
        <v/>
      </c>
      <c r="G51" s="455" t="str">
        <f>IFERROR(AVERAGE(F51:F54),"")</f>
        <v/>
      </c>
      <c r="H51" s="456"/>
      <c r="I51" s="459"/>
      <c r="J51" s="119"/>
      <c r="L51" s="141"/>
    </row>
    <row r="52" spans="1:12" ht="15.75" x14ac:dyDescent="0.25">
      <c r="A52" s="462"/>
      <c r="B52" s="462"/>
      <c r="C52" s="394" t="s">
        <v>43</v>
      </c>
      <c r="D52" s="151"/>
      <c r="E52" s="140"/>
      <c r="F52" s="339" t="str">
        <f>IF(E52="","",IF(OR(E52="Ex/Ex",E52="Ex/VH",E52="Ex/H",E52="Ex/M",E52="VH/Ex",E52="VH/VH", E52="H/Ex",E52="H/VH"),0, IF(OR(E52="M/Ex"),0.1,IF(OR(E52="VH/H",E52="VH/M",E52="H/H",E52="H/M", E52="M/VH"),0.2, IF(OR(E52="Ex/VL",E52="Ex/L", E52="M/H"),0.3, IF(OR(E52="VH/L",E52="H/L"),0.4, IF(OR(E52="VH/VL",E52="H/VL",E52="M/M"),0.5, IF(OR(E52="M/L",E52="L/Ex"),0.6, IF(OR(E52="M/VL",E52="L/VH", E52="L/H",E52="L/M",E52="L/L",E52="L/VL"),1)))))))))</f>
        <v/>
      </c>
      <c r="G52" s="456"/>
      <c r="H52" s="456"/>
      <c r="I52" s="459"/>
      <c r="J52" s="119"/>
      <c r="L52" s="141"/>
    </row>
    <row r="53" spans="1:12" ht="15.75" x14ac:dyDescent="0.25">
      <c r="A53" s="462"/>
      <c r="B53" s="462"/>
      <c r="C53" s="395" t="s">
        <v>87</v>
      </c>
      <c r="D53" s="369"/>
      <c r="E53" s="358"/>
      <c r="F53" s="339" t="str">
        <f>IF(E53="","",ROUND(IF(E53&gt;=75,0,IF(E53&lt;=5,1,IF(E53&gt;10,E53*'Reference Curves'!K$115+'Reference Curves'!K$116,'Reference Curves'!$L$115*E53+'Reference Curves'!$L$116))),2))</f>
        <v/>
      </c>
      <c r="G53" s="464"/>
      <c r="H53" s="456"/>
      <c r="I53" s="459"/>
      <c r="J53" s="119"/>
      <c r="L53" s="141"/>
    </row>
    <row r="54" spans="1:12" ht="15.75" x14ac:dyDescent="0.25">
      <c r="A54" s="462"/>
      <c r="B54" s="463"/>
      <c r="C54" s="396" t="s">
        <v>401</v>
      </c>
      <c r="D54" s="370"/>
      <c r="E54" s="143"/>
      <c r="F54" s="340" t="str">
        <f>IF(E54="","",IF(E54&gt;=30,0,ROUND(E54*'Reference Curves'!$K$146+'Reference Curves'!$K$147,2)))</f>
        <v/>
      </c>
      <c r="G54" s="457"/>
      <c r="H54" s="456"/>
      <c r="I54" s="459"/>
      <c r="J54" s="119"/>
      <c r="L54" s="141"/>
    </row>
    <row r="55" spans="1:12" ht="15.75" x14ac:dyDescent="0.25">
      <c r="A55" s="462"/>
      <c r="B55" s="276" t="s">
        <v>105</v>
      </c>
      <c r="C55" s="33" t="s">
        <v>130</v>
      </c>
      <c r="D55" s="151"/>
      <c r="E55" s="143"/>
      <c r="F55" s="153" t="str">
        <f>IF(OR(E55="",B$13=""),"",IF(OR(B$13="Silt/Clay",B$13="Sand",B$13="Boulders",B$13="Bedrock"),"NA",IF(E55&gt;0.1,1,IF(E55&lt;=0.01,0,ROUND(E55*'Reference Curves'!$K$177+'Reference Curves'!$K$178,2)))))</f>
        <v/>
      </c>
      <c r="G55" s="153" t="str">
        <f>IFERROR(AVERAGE(F55),"")</f>
        <v/>
      </c>
      <c r="H55" s="456"/>
      <c r="I55" s="459"/>
      <c r="J55" s="119"/>
      <c r="L55" s="141"/>
    </row>
    <row r="56" spans="1:12" ht="15.75" x14ac:dyDescent="0.25">
      <c r="A56" s="462"/>
      <c r="B56" s="465" t="s">
        <v>45</v>
      </c>
      <c r="C56" s="393" t="s">
        <v>46</v>
      </c>
      <c r="D56" s="148"/>
      <c r="E56" s="154"/>
      <c r="F56" s="155" t="str">
        <f>IF(E56="","",IF($B$9="Bc",IF(OR(E56&gt;=12,E56&lt;=0.1),0,IF(E56&lt;=3.4,1,ROUND('Reference Curves'!$K$310*E56+'Reference Curves'!$K$311,2))),  IF(OR($B$9="B",$B$9="Ba"),IF(OR(E56&gt;=7.5,E56&lt;=0.1),0,IF(E56&lt;=3,1,ROUND(IF(E56&gt;4,'Reference Curves'!$K$279*E56+'Reference Curves'!$K$280,'Reference Curves'!$L$279*E56+'Reference Curves'!$L$280),2))),  IF($B$9="Cb",IF(OR(E56&gt;=8.35,E56&lt;1.4),0,IF(AND(E56&gt;=3.7,E56&lt;=5),1,ROUND(IF(E56&lt;3.7,'Reference Curves'!$K$247*E56+'Reference Curves'!$K$248,'Reference Curves'!$L$247*E56+'Reference Curves'!$L$248),2))),  IF($B$9="C",IF(OR(E56&gt;9.3,E56&lt;=3),0,IF(AND(E56&gt;=4,E56&lt;=6),1,ROUND(IF(E56&lt;4,'Reference Curves'!$K$213*E56+'Reference Curves'!$K$214,'Reference Curves'!$L$213*E56+'Reference Curves'!$L$214),2))),  IF($B$9="E",IF(OR(E56&gt;8.2,E56&lt;1.85),0,IF(AND(E56&gt;=3.5,E56&lt;=5),1,ROUND(IF(E56&lt;3.5,'Reference Curves'!$K$343*E56+'Reference Curves'!$K$344,'Reference Curves'!$L$343*E56+'Reference Curves'!$L$344),2)))      ))))))</f>
        <v/>
      </c>
      <c r="G56" s="480" t="str">
        <f>IFERROR(AVERAGE(F56:F59),"")</f>
        <v/>
      </c>
      <c r="H56" s="456"/>
      <c r="I56" s="459"/>
      <c r="J56" s="119"/>
      <c r="L56" s="141"/>
    </row>
    <row r="57" spans="1:12" ht="15.75" x14ac:dyDescent="0.25">
      <c r="A57" s="462"/>
      <c r="B57" s="462"/>
      <c r="C57" s="394" t="s">
        <v>47</v>
      </c>
      <c r="D57" s="151"/>
      <c r="E57" s="152"/>
      <c r="F57" s="156" t="str">
        <f>IF(E57="","",IF(E57&lt;=1,0,IF(E57&gt;=3.2,1,IF(E57&gt;=2.2,ROUND('Reference Curves'!$L$375*E57+'Reference Curves'!$L$376,2),(ROUND('Reference Curves'!$K$375*E57+'Reference Curves'!$K$376,2))))))</f>
        <v/>
      </c>
      <c r="G57" s="464"/>
      <c r="H57" s="456"/>
      <c r="I57" s="459"/>
      <c r="J57" s="119"/>
      <c r="L57" s="141"/>
    </row>
    <row r="58" spans="1:12" ht="15.75" x14ac:dyDescent="0.25">
      <c r="A58" s="462"/>
      <c r="B58" s="462"/>
      <c r="C58" s="279" t="s">
        <v>356</v>
      </c>
      <c r="D58" s="151"/>
      <c r="E58" s="152"/>
      <c r="F58" s="372" t="str">
        <f>IF(E58="","",IF($B$11="Volcanic Mountains &amp; Valleys", IF(OR(E58&gt;86.65,E58&lt;33),0,IF(AND(E58&gt;=73,E58&lt;=80),1, ROUND(IF(E58&lt;73,'Reference Curves'!$K$408*E58+'Reference Curves'!$K$409, 'Reference Curves'!$L$408*E58+'Reference Curves'!$L$409),2))), IF(B$16="","Need Slope",IF(B$16&lt;3,IF( OR(E58&gt;=91,E58&lt;=13.5),0, IF(AND(E58&gt;49,E58&lt;61), 1, ROUND(IF(E58&lt;50,'Reference Curves'!$K$441*E58+'Reference Curves'!$K$442, IF(E58&gt;60,'Reference Curves'!$L$441*E58+'Reference Curves'!$L$442)),2))), IF(B$16&gt;=3,IF(OR(E58&gt;94.5,E58&lt;41.5),0, IF(AND(E58 &gt;=68, E58&lt;=78),1, ROUND(IF(E58&lt;68,'Reference Curves'!$K$475*E58+'Reference Curves'!$K$476,'Reference Curves'!$L$475*E58+'Reference Curves'!$L$476),2) )))))))</f>
        <v/>
      </c>
      <c r="G58" s="464"/>
      <c r="H58" s="456"/>
      <c r="I58" s="459"/>
      <c r="J58" s="119"/>
      <c r="L58" s="141"/>
    </row>
    <row r="59" spans="1:12" ht="15.75" x14ac:dyDescent="0.25">
      <c r="A59" s="462"/>
      <c r="B59" s="463"/>
      <c r="C59" s="397" t="s">
        <v>213</v>
      </c>
      <c r="D59" s="150"/>
      <c r="E59" s="157"/>
      <c r="F59" s="373" t="str">
        <f>IF(E59="","",IF(E59&gt;=1.6,0,IF(E59&lt;=1,1,ROUND('Reference Curves'!$K$506*E59^3+'Reference Curves'!$K$507*E59^2+'Reference Curves'!$K$508*E59+'Reference Curves'!$K$509,2))))</f>
        <v/>
      </c>
      <c r="G59" s="481"/>
      <c r="H59" s="456"/>
      <c r="I59" s="459"/>
      <c r="J59" s="119"/>
      <c r="L59" s="141"/>
    </row>
    <row r="60" spans="1:12" ht="15.75" x14ac:dyDescent="0.25">
      <c r="A60" s="462"/>
      <c r="B60" s="158" t="s">
        <v>49</v>
      </c>
      <c r="C60" s="151" t="s">
        <v>48</v>
      </c>
      <c r="D60" s="151"/>
      <c r="E60" s="143"/>
      <c r="F60" s="341" t="str">
        <f>IF(E60="","",IF(B$9="E",IF(OR(E60&gt;2.14,E60&lt;1.13),0, IF(AND(E60&gt;=1.3, E60&lt;=1.8),1, ROUND(IF(E60&lt;1.3,E60*'Reference Curves'!K$542+'Reference Curves'!K$543, E60*'Reference Curves'!L$542+'Reference Curves'!$L$543),2))),  IF($B$21="Unconfined Alluvial", IF(OR(E60&lt;1.12, E60&gt;1.67),0, IF(AND(E60&lt;=1.5,E60&gt;=1.2),1,ROUND(IF(E60&lt;1.2,E60*'Reference Curves'!$K$575+'Reference Curves'!$K$576, E60*'Reference Curves'!$L$575+'Reference Curves'!$L$576),2))),  IF($B$21="Confined Alluvial",IF(E60&lt;=1,0, IF(E60&gt;=1.2,1, ROUND(E60*'Reference Curves'!$K$604+'Reference Curves'!$K$605,2))),    IF($B$21="Colluvial/V-Shaped",IF(OR(E60&lt;1, E60&gt;1.47),0, IF(AND(E60&lt;=1.3,E60&gt;=1.1),1,ROUND(IF(E60&lt;1.1,E60*'Reference Curves'!$K$637+'Reference Curves'!$K$638, E60*'Reference Curves'!$L$637+'Reference Curves'!$L$638),2)))  )))))</f>
        <v/>
      </c>
      <c r="G60" s="156" t="str">
        <f>IFERROR(AVERAGE(F60),"")</f>
        <v/>
      </c>
      <c r="H60" s="456"/>
      <c r="I60" s="459"/>
      <c r="J60" s="119"/>
      <c r="L60" s="141"/>
    </row>
    <row r="61" spans="1:12" ht="15.75" x14ac:dyDescent="0.25">
      <c r="A61" s="462"/>
      <c r="B61" s="465" t="s">
        <v>44</v>
      </c>
      <c r="C61" s="32" t="s">
        <v>344</v>
      </c>
      <c r="D61" s="377"/>
      <c r="E61" s="378"/>
      <c r="F61" s="365" t="str">
        <f>IF(E61="","",IF($B$21="Unconfined Alluvial",IF(E61&gt;=100,1,IF(E61&lt;30,0,ROUND('Reference Curves'!$K$668*E61+'Reference Curves'!$K$669,2))),IF(OR($B$21="Confined Alluvial",$B$21="Colluvial/V-Shaped"),(IF(E61&gt;=100,1,IF(E61&lt;60,0,ROUND('Reference Curves'!$L$668*E61+'Reference Curves'!$L$669,2)))))))</f>
        <v/>
      </c>
      <c r="G61" s="455" t="str">
        <f>IFERROR(AVERAGE(F61:F64),"")</f>
        <v/>
      </c>
      <c r="H61" s="456"/>
      <c r="I61" s="459"/>
      <c r="J61" s="119"/>
      <c r="L61" s="141"/>
    </row>
    <row r="62" spans="1:12" ht="15.75" x14ac:dyDescent="0.25">
      <c r="A62" s="462"/>
      <c r="B62" s="462"/>
      <c r="C62" s="279" t="s">
        <v>390</v>
      </c>
      <c r="D62" s="359"/>
      <c r="E62" s="374"/>
      <c r="F62" s="156" t="str">
        <f>IF(E62="","", IF(OR($B$10="Mountains",$B$10="Basins"),IF(E62&lt;=0,0, IF(E62&gt;=122,1,ROUND('Reference Curves'!$K$700*E62^2+'Reference Curves'!$K$701*E62+'Reference Curves'!$K$702,2))),   IF($B$10="Plains",IF(OR(E62&lt;=0,E62&gt;114),0, IF(AND(E62&lt;=69,E62&gt;=59),1, IF(E62&lt;59, ROUND(E62*'Reference Curves'!$K$735+'Reference Curves'!$K$736,2), ROUND(E62*'Reference Curves'!$L$735+'Reference Curves'!$L$736,2) )) ))))</f>
        <v/>
      </c>
      <c r="G62" s="456"/>
      <c r="H62" s="456"/>
      <c r="I62" s="459"/>
      <c r="J62" s="119"/>
      <c r="L62" s="141"/>
    </row>
    <row r="63" spans="1:12" ht="15.75" x14ac:dyDescent="0.25">
      <c r="A63" s="462"/>
      <c r="B63" s="462"/>
      <c r="C63" s="279" t="s">
        <v>391</v>
      </c>
      <c r="D63" s="359"/>
      <c r="E63" s="374"/>
      <c r="F63" s="156" t="str">
        <f>IF(E63="","",IF($B$19="Herbaceous", IF(E63&lt;=30,0,IF(E63&gt;=117,1, ROUND(E63*'Reference Curves'!$L$767+'Reference Curves'!$L$768,2))),  IF(E63&lt;=0,0, IF(E63&gt;=77,1, ROUND(E63*'Reference Curves'!$K$767+'Reference Curves'!$K$768,2)))  ))</f>
        <v/>
      </c>
      <c r="G63" s="464"/>
      <c r="H63" s="456"/>
      <c r="I63" s="459"/>
      <c r="J63" s="119"/>
      <c r="L63" s="141"/>
    </row>
    <row r="64" spans="1:12" s="119" customFormat="1" ht="15.75" x14ac:dyDescent="0.25">
      <c r="A64" s="463"/>
      <c r="B64" s="463"/>
      <c r="C64" s="467" t="s">
        <v>400</v>
      </c>
      <c r="D64" s="468"/>
      <c r="E64" s="376"/>
      <c r="F64" s="384" t="str">
        <f>IF(E64="","",IF(E64&lt;=46,0,IF(E64&gt;=100,1,IF(E64&lt;=91,ROUND(E64*'Reference Curves'!$L$799+'Reference Curves'!$L$800,2),ROUND(E64*'Reference Curves'!$K$799+'Reference Curves'!$K$800,2)))))</f>
        <v/>
      </c>
      <c r="G64" s="457"/>
      <c r="H64" s="457"/>
      <c r="I64" s="460"/>
      <c r="K64" s="103"/>
      <c r="L64" s="375"/>
    </row>
    <row r="65" spans="1:12" ht="15.75" x14ac:dyDescent="0.25">
      <c r="A65" s="496" t="s">
        <v>53</v>
      </c>
      <c r="B65" s="356" t="s">
        <v>80</v>
      </c>
      <c r="C65" s="60" t="s">
        <v>347</v>
      </c>
      <c r="D65" s="292"/>
      <c r="E65" s="140"/>
      <c r="F65" s="357" t="str">
        <f>IF(E65="","",IF($B$18="","Enter Stream Temperature",IF($B$18="Tier I (Cold) ",IF(E65&gt;=20.1,0,IF(E65&lt;=13.5,1,ROUND(E65*'Reference Curves'!$S$18+'Reference Curves'!$S$19,2))),IF($B$18="Tier II (Cold-Cool)",IF(E65&gt;=20.5,0,IF(E65&lt;=16.5,1,ROUND(E65*'Reference Curves'!$T$18+'Reference Curves'!$T$19,2))),IF($B$18="Tier III (Cool) ",IF(E65&gt;=23.6,0,IF(E65&lt;=18.3,1,ROUND(E65*'Reference Curves'!$U$18+'Reference Curves'!$U$19,2))),IF($B$18="Tier IV (Cool-Warm)",IF(E65&gt;=27.2,0,IF(E65&lt;=23.2,1,ROUND(E65*'Reference Curves'!$V$18+'Reference Curves'!$V$19,2))),IF($B$18="Tier V (Warm)",IF(E65&gt;=30.3,0,IF(E65&lt;=26,1,ROUND(E65*'Reference Curves'!$W$18+'Reference Curves'!$W$19,2))))))))))</f>
        <v/>
      </c>
      <c r="G65" s="309" t="str">
        <f>IF(F65="","", ROUND(AVERAGE(F65),2))</f>
        <v/>
      </c>
      <c r="H65" s="478" t="str">
        <f>IFERROR(ROUND(AVERAGE(G65:G66),2),"")</f>
        <v/>
      </c>
      <c r="I65" s="473" t="str">
        <f>IF(H65="","",IF(H65&gt;0.69,"Functioning",IF(H65&gt;0.29,"Functioning At Risk",IF(H65&gt;-1,"Not Functioning"))))</f>
        <v/>
      </c>
      <c r="J65" s="119"/>
      <c r="L65" s="141"/>
    </row>
    <row r="66" spans="1:12" ht="15.75" x14ac:dyDescent="0.25">
      <c r="A66" s="497"/>
      <c r="B66" s="159" t="s">
        <v>249</v>
      </c>
      <c r="C66" s="35" t="s">
        <v>357</v>
      </c>
      <c r="D66" s="160"/>
      <c r="E66" s="106"/>
      <c r="F66" s="342" t="str">
        <f>IF(E66="","",IF(OR($B$10="Basins",$B$10="Plains"),IF(E66&gt;=150,0,IF(E66&lt;16,1,ROUND('Reference Curves'!$S$53*LN(E66)+'Reference Curves'!$S$54,2))),IF(E66&gt;=97,0,IF(E66&lt;=13,1,ROUND('Reference Curves'!$T$53*LN(E66)+'Reference Curves'!$T$54,2)))))</f>
        <v/>
      </c>
      <c r="G66" s="162" t="str">
        <f>IFERROR(AVERAGE(F66),"")</f>
        <v/>
      </c>
      <c r="H66" s="479"/>
      <c r="I66" s="473"/>
      <c r="J66" s="119"/>
      <c r="L66" s="141"/>
    </row>
    <row r="67" spans="1:12" ht="15.75" x14ac:dyDescent="0.25">
      <c r="A67" s="508" t="s">
        <v>54</v>
      </c>
      <c r="B67" s="511" t="s">
        <v>189</v>
      </c>
      <c r="C67" s="163" t="s">
        <v>186</v>
      </c>
      <c r="D67" s="164"/>
      <c r="E67" s="142"/>
      <c r="F67" s="165" t="str">
        <f>IF(E67="","",IF($B$11="","Enter Bioregion",IF($B$11="Wyoming Basin",IF(E67&lt;=5.3,0,IF(E67&gt;=64.5,1,ROUND(IF(E67&lt;26.2,'Reference Curves'!$AB$17*E67+'Reference Curves'!$AB$18,IF(E67&lt;39.9, 'Reference Curves'!$AC$17*E67+'Reference Curves'!$AC$18,'Reference Curves'!$AD$17*E67+'Reference Curves'!$AD$18)),2))), IF($B$11="Black Hills",IF(E67&lt;=12.8,0,IF(E67&gt;=65.7,1,ROUND(IF(E67&lt;30.7,'Reference Curves'!$AE$17*E67+'Reference Curves'!$AE$18,IF(E67&lt;46.1,'Reference Curves'!$AF$17*E67+'Reference Curves'!$AF$18,'Reference Curves'!$AG$17*E67+'Reference Curves'!$AG$18)),2))), IF($B$11="High Valleys",IF(E67&lt;=17.1,0,IF(E67&gt;=78.2,1,ROUND(IF(E67&lt;48.8,'Reference Curves'!$AH$17*E67+'Reference Curves'!$AH$18,'Reference Curves'!$AI$17*E67+'Reference Curves'!$AI$18),2))),     IF($B$11="Southern Rockies",IF(E67&lt;=5.1,0,IF(E67&gt;=82.2,1,ROUND(IF(E67&lt;32.6, 'Reference Curves'!$AB$54*E67+'Reference Curves'!$AB$55, IF(E67&lt;48.8, 'Reference Curves'!$AC$54*E67+'Reference Curves'!$AC$55,  'Reference Curves'!$AD$54*E67+'Reference Curves'!$AD$55)), 2))), IF($B$11="SE Plains",IF(E67&lt;=10.4,0,IF(E67&gt;=87,1,ROUND(IF(E67&lt;36.7,'Reference Curves'!$AE$54*E67+'Reference Curves'!$AE$55, IF(E67&lt;55.1, 'Reference Curves'!$AF$54*E67+'Reference Curves'!$AF$55, 'Reference Curves'!$AG$54*E67+'Reference Curves'!$AG$55)),2))),   IF($B$11="NE Plains",IF(E67&lt;=1.6,0,IF(E67&gt;=95.8,1,ROUND(IF(E67&lt;38.9,'Reference Curves'!$AH$54*E67+'Reference Curves'!$AH$55, IF(E67&lt;58.4, 'Reference Curves'!$AI$54*E67+'Reference Curves'!$AI$55, 'Reference Curves'!$AJ$54*E67+'Reference Curves'!$AJ$55)),2))),      IF($B$11="Granitic Mountains",IF(E67&lt;=32.6,0,IF(E67&gt;=74.9,1,ROUND(IF(E67&lt;40.2, 'Reference Curves'!$AB$92*E67+'Reference Curves'!$AB$93, 'Reference Curves'!$AC$92*E67+'Reference Curves'!$AC$93),2))), IF($B$11="Volcanic Mountains &amp; Valleys",IF(E67&lt;=26,0,IF(E67&gt;=88.1,1,ROUND('Reference Curves'!$AF$92*E67+'Reference Curves'!$AF$93,2))), IF($B$11="Southern Foothills &amp; Laramie Range",IF(E67&lt;=30.7,0,IF(E67&gt;=85,1,ROUND(IF(E67&lt;44.5, 'Reference Curves'!$AD$92*E67+'Reference Curves'!$AD$93,  'Reference Curves'!$AE$92*E67+'Reference Curves'!$AE$93),2))),     IF($B$11="Sedimentary Mountains",IF(E67&lt;=17,0,IF(E67&gt;=70,1,ROUND('Reference Curves'!$AB$127*E67+'Reference Curves'!$AB$128,2))), IF($B$11="Bighorn Basin Foothills",IF(E67&lt;=3.9,0,IF(E67&gt;=80,1,ROUND(IF(E67&lt;40.6,'Reference Curves'!$AC$127*E67+'Reference Curves'!$AC$128,'Reference Curves'!$AD$127*E67+'Reference Curves'!$AD$128),2)))  )))))))))))))</f>
        <v/>
      </c>
      <c r="G67" s="474" t="str">
        <f>IFERROR(IF(AND(F67="",F68=""),"",IF(OR(F67="",F68=""),AVERAGE(F67:F68),IF(OR(F67&lt;0.3,F68&lt;0.3),IF(OR(F67&gt;=0.7,F68&gt;=0.7),MIN(0.69,AVERAGE(F67:F68)),MIN(0.29,AVERAGE(F67:F68))), IF(OR(F67&gt;=0.7,F68&gt;=0.7),IF(AVERAGE(F67:F68)&lt;0.7,0.7,AVERAGE(F67:F68)),AVERAGE(F67:F68))))),"")</f>
        <v/>
      </c>
      <c r="H67" s="476" t="str">
        <f>IFERROR(ROUND(AVERAGE(G67:G71),2),"")</f>
        <v/>
      </c>
      <c r="I67" s="473" t="str">
        <f>IF(H67="","",IF(H67&gt;0.69,"Functioning",IF(H67&gt;0.29,"Functioning At Risk",IF(H67&gt;-1,"Not Functioning"))))</f>
        <v/>
      </c>
      <c r="J67" s="119"/>
      <c r="L67" s="141"/>
    </row>
    <row r="68" spans="1:12" ht="15.75" x14ac:dyDescent="0.25">
      <c r="A68" s="509"/>
      <c r="B68" s="513"/>
      <c r="C68" s="166" t="s">
        <v>187</v>
      </c>
      <c r="D68" s="167"/>
      <c r="E68" s="157"/>
      <c r="F68" s="168" t="str">
        <f>IF(E68="","",IF($B$11="","Enter Bioregion",IF($B$11="Wyoming Basin",IF(E68&lt;0.15,0,IF(E68&gt;1.18,1,ROUND(IF(E68&lt;0.64,'Reference Curves'!$AB$166*E68+'Reference Curves'!$AB$167, IF(E68&lt;0.82, 'Reference Curves'!$AC$166*E68+'Reference Curves'!$AC$167, 'Reference Curves'!$AD$166*E68+'Reference Curves'!$AD$167) ),2))), IF($B$11="Black Hills",IF(E68&lt;=0.37,0,IF(E68&gt;1.08,1,ROUND('Reference Curves'!$AE$166*E68+'Reference Curves'!$AE$167,2))), IF($B$11="High Valleys",IF(E68&lt;0.42,0,IF(E68&gt;1.14,1,ROUND(IF(E68&lt;0.68, 'Reference Curves'!$AF$166*E68+'Reference Curves'!$AF$167, IF(E68&lt;0.86, 'Reference Curves'!$AG$166*E68+'Reference Curves'!$AG$167, 'Reference Curves'!$AH$166*E68+'Reference Curves'!$AH$167)),2))), IF($B$11="Sedimentary Mountains",IF(E68&lt;0.42,0,IF(E68&gt;1.17,1,ROUND(IF(E68&lt;0.68, 'Reference Curves'!$AI$166*E68+'Reference Curves'!$AI$167, IF(E68&lt;0.82, 'Reference Curves'!$AJ$166*E68+'Reference Curves'!$AJ$167, 'Reference Curves'!$AK$166*E68+'Reference Curves'!$AK$167) ),2))),        IF($B$11="Southern Rockies",IF(E68&lt;0.27,0,IF(E68&gt;=1.18,1,ROUND(IF(E68&lt;0.62, 'Reference Curves'!$AB$204*E68+'Reference Curves'!$AB$205, IF(E68&lt;0.89, 'Reference Curves'!$AC$204*E68+'Reference Curves'!$AC$205, 'Reference Curves'!$AD$204*E68+'Reference Curves'!$AD$205) ),2))), IF($B$11="SE Plains",IF(E68&lt;0.34,0,IF(E68&gt;1.12,1,ROUND(IF(E68&lt;0.78, 'Reference Curves'!$AE$204*E68+'Reference Curves'!$AE$205, 'Reference Curves'!$AF$204*E68+'Reference Curves'!$AF$205),2))), IF($B$11="NE Plains",IF(E68&lt;0.11,0,IF(E68&gt;=0.98,1,ROUND(IF(E68&lt;0.52, 'Reference Curves'!$AG$204*E68+'Reference Curves'!$AG$205,'Reference Curves'!$AH$204*E68+'Reference Curves'!$AH$205 ),2))),    IF($B$11="Granitic Mountains",IF(E68&lt;=0.59,0,IF(E68&gt;=1.09,1,ROUND(IF(E68&lt;0.65, 'Reference Curves'!$AB$242*E68+'Reference Curves'!$AB$243, 'Reference Curves'!$AC$242*E68+'Reference Curves'!$AC$243),2))),IF($B$11="Bighorn Basin Foothills",IF(E68&lt;=0.41,0,IF(E68&gt;=0.92,1,ROUND(IF(E68&lt;0.84, 'Reference Curves'!$AD$242*E68+'Reference Curves'!$AD$243,  'Reference Curves'!$AE$242*E68+'Reference Curves'!$AE$243),2))),IF($B$11="Volcanic Mountains &amp; Valleys",IF(E68&lt;=0.21,0,IF(E68&gt;=1.21,1,ROUND(IF(E68&lt;0.65, 'Reference Curves'!$AI$242*E68+'Reference Curves'!$AI$243, IF(E68&lt;0.86,  'Reference Curves'!$AJ$242*E68+'Reference Curves'!$AJ$243,  'Reference Curves'!$AK$242*E68+'Reference Curves'!$AK$243)),2))), IF($B$11="Southern Foothills &amp; Laramie Range",IF(E68&lt;=0.29,0,IF(E68&gt;=1.2,1,ROUND(IF(E68&lt;0.68, 'Reference Curves'!$AF$242*E68+'Reference Curves'!$AF$243, IF(E68&lt;0.88,  'Reference Curves'!$AG$242*E68+'Reference Curves'!$AG$243, 'Reference Curves'!$AH$242*E68+'Reference Curves'!$AH$243)),2))) )))))))))))))</f>
        <v/>
      </c>
      <c r="G68" s="475"/>
      <c r="H68" s="476"/>
      <c r="I68" s="473"/>
      <c r="J68" s="119"/>
      <c r="L68" s="141"/>
    </row>
    <row r="69" spans="1:12" ht="15.75" x14ac:dyDescent="0.25">
      <c r="A69" s="509"/>
      <c r="B69" s="511" t="s">
        <v>75</v>
      </c>
      <c r="C69" s="58" t="s">
        <v>349</v>
      </c>
      <c r="D69" s="169"/>
      <c r="E69" s="154"/>
      <c r="F69" s="170" t="str">
        <f>IF(E69="","",IF(E69&lt;58,0,IF(E69&gt;=100,1,ROUND(E69*'Reference Curves'!$AB$280+'Reference Curves'!$AB$281,2))))</f>
        <v/>
      </c>
      <c r="G69" s="474" t="str">
        <f>IFERROR(AVERAGE(F69:F71),"")</f>
        <v/>
      </c>
      <c r="H69" s="476"/>
      <c r="I69" s="473"/>
      <c r="J69" s="119"/>
      <c r="L69" s="141"/>
    </row>
    <row r="70" spans="1:12" ht="15.75" x14ac:dyDescent="0.25">
      <c r="A70" s="509"/>
      <c r="B70" s="512"/>
      <c r="C70" s="59" t="s">
        <v>350</v>
      </c>
      <c r="D70" s="171"/>
      <c r="E70" s="152"/>
      <c r="F70" s="170" t="str">
        <f>IF(E70="","",ROUND(IF(E70&gt;=3,0,IF(E70&gt;=2,0.3,IF(E70&gt;=1,0.69,1))),2))</f>
        <v/>
      </c>
      <c r="G70" s="477"/>
      <c r="H70" s="476"/>
      <c r="I70" s="473"/>
      <c r="J70" s="119"/>
      <c r="L70" s="141"/>
    </row>
    <row r="71" spans="1:12" ht="15.75" x14ac:dyDescent="0.25">
      <c r="A71" s="510"/>
      <c r="B71" s="513"/>
      <c r="C71" s="39" t="s">
        <v>351</v>
      </c>
      <c r="D71" s="172"/>
      <c r="E71" s="157"/>
      <c r="F71" s="168" t="str">
        <f>IF(E71="","",IF($B$20="","Enter Stream Producitvity Rating",IF($B$20="Blue Ribbon and non-trout",IF(E71&lt;5,0,IF(E71&gt;=40,1,ROUND(E71*'Reference Curves'!$AB$319+'Reference Curves'!$AB$320,2))),IF($B$20="Red Ribbon",IF(E71&lt;10,0,IF(E71&gt;=80,1,ROUND(E71*'Reference Curves'!$AC$319+'Reference Curves'!$AC$320,2))),IF(OR($B$20="Yellow Ribbon",$B$20="Green Ribbon"),IF(E71&lt;15,0,IF(E71&gt;=119,1,ROUND(E71*'Reference Curves'!$AD$319+'Reference Curves'!$AD$320,2)))   )))))</f>
        <v/>
      </c>
      <c r="G71" s="475"/>
      <c r="H71" s="476"/>
      <c r="I71" s="473"/>
      <c r="J71" s="119"/>
    </row>
    <row r="72" spans="1:12" ht="15.75" x14ac:dyDescent="0.25">
      <c r="F72" s="262"/>
      <c r="J72" s="105"/>
      <c r="K72" s="119"/>
    </row>
    <row r="73" spans="1:12" x14ac:dyDescent="0.25">
      <c r="J73" s="105"/>
      <c r="K73" s="119"/>
    </row>
    <row r="74" spans="1:12" ht="21" x14ac:dyDescent="0.35">
      <c r="A74" s="490" t="s">
        <v>51</v>
      </c>
      <c r="B74" s="491"/>
      <c r="C74" s="491"/>
      <c r="D74" s="491"/>
      <c r="E74" s="491"/>
      <c r="F74" s="492"/>
      <c r="G74" s="490" t="s">
        <v>14</v>
      </c>
      <c r="H74" s="491"/>
      <c r="I74" s="492"/>
      <c r="J74" s="119"/>
    </row>
    <row r="75" spans="1:12" ht="15.75" x14ac:dyDescent="0.25">
      <c r="A75" s="138" t="s">
        <v>1</v>
      </c>
      <c r="B75" s="53" t="s">
        <v>352</v>
      </c>
      <c r="C75" s="494" t="s">
        <v>348</v>
      </c>
      <c r="D75" s="495"/>
      <c r="E75" s="138" t="s">
        <v>12</v>
      </c>
      <c r="F75" s="139" t="s">
        <v>13</v>
      </c>
      <c r="G75" s="138" t="s">
        <v>15</v>
      </c>
      <c r="H75" s="138" t="s">
        <v>16</v>
      </c>
      <c r="I75" s="138" t="s">
        <v>16</v>
      </c>
    </row>
    <row r="76" spans="1:12" ht="15.75" x14ac:dyDescent="0.25">
      <c r="A76" s="540" t="s">
        <v>345</v>
      </c>
      <c r="B76" s="485" t="s">
        <v>128</v>
      </c>
      <c r="C76" s="287" t="s">
        <v>341</v>
      </c>
      <c r="D76" s="288"/>
      <c r="E76" s="142"/>
      <c r="F76" s="389" t="str">
        <f>IF(E76="","",IF(E76&gt;=80,0,IF(E76&lt;=40,1,IF(E76&gt;=68,ROUND(E76*'Reference Curves'!$C$14+'Reference Curves'!$C$15,2),ROUND(E76*'Reference Curves'!$D$14+'Reference Curves'!$D$15,2)))))</f>
        <v/>
      </c>
      <c r="G76" s="501" t="str">
        <f>IFERROR(AVERAGE(F76:F77),"")</f>
        <v/>
      </c>
      <c r="H76" s="501" t="str">
        <f>IFERROR(ROUND(AVERAGE(G76:G80),2),"")</f>
        <v/>
      </c>
      <c r="I76" s="504" t="str">
        <f>IF(H76="","",IF(H76:H80&gt;0.69,"Functioning",IF(H76&gt;0.29,"Functioning At Risk",IF(H76&gt;-1,"Not Functioning"))))</f>
        <v/>
      </c>
    </row>
    <row r="77" spans="1:12" ht="15.75" x14ac:dyDescent="0.25">
      <c r="A77" s="541"/>
      <c r="B77" s="486"/>
      <c r="C77" s="289" t="s">
        <v>129</v>
      </c>
      <c r="D77" s="145"/>
      <c r="E77" s="143"/>
      <c r="F77" s="291" t="str">
        <f>IF(E77="","",   IF(E77&gt;3,0, IF(E77&lt;0, "", ROUND('Reference Curves'!$C$43*E77^2+'Reference Curves'!$C$44*E77+'Reference Curves'!$C$45,2))))</f>
        <v/>
      </c>
      <c r="G77" s="503"/>
      <c r="H77" s="502"/>
      <c r="I77" s="505"/>
    </row>
    <row r="78" spans="1:12" ht="15.6" customHeight="1" x14ac:dyDescent="0.25">
      <c r="A78" s="541"/>
      <c r="B78" s="290" t="s">
        <v>140</v>
      </c>
      <c r="C78" s="543" t="s">
        <v>237</v>
      </c>
      <c r="D78" s="544"/>
      <c r="E78" s="144"/>
      <c r="F78" s="291" t="str">
        <f>IF(E78="","",IF(OR(E78&gt;=2,E78&lt;=0.26),0,IF(AND(E78&gt;=0.9,E78&lt;=1.1),1,ROUND(IF(E78&lt;1,'Reference Curves'!$C$74*E78^2+'Reference Curves'!$C$75*E78+'Reference Curves'!$C$76,'Reference Curves'!$D$74*E78^2+'Reference Curves'!$D$75*E78+'Reference Curves'!$D$76),2))))</f>
        <v/>
      </c>
      <c r="G78" s="329" t="str">
        <f>IFERROR(F78,"")</f>
        <v/>
      </c>
      <c r="H78" s="502"/>
      <c r="I78" s="505"/>
    </row>
    <row r="79" spans="1:12" ht="15.75" x14ac:dyDescent="0.25">
      <c r="A79" s="541"/>
      <c r="B79" s="485" t="s">
        <v>5</v>
      </c>
      <c r="C79" s="145" t="s">
        <v>6</v>
      </c>
      <c r="D79" s="145"/>
      <c r="E79" s="140"/>
      <c r="F79" s="391" t="str">
        <f>IF(E79="","",ROUND(IF(E79&gt;1.71,0,IF(E79&lt;=1,1,E79*'Reference Curves'!C$107+'Reference Curves'!C$108)),2))</f>
        <v/>
      </c>
      <c r="G79" s="501" t="str">
        <f>IFERROR(AVERAGE(F79:F80),"")</f>
        <v/>
      </c>
      <c r="H79" s="502"/>
      <c r="I79" s="505"/>
    </row>
    <row r="80" spans="1:12" ht="15.75" x14ac:dyDescent="0.25">
      <c r="A80" s="542"/>
      <c r="B80" s="486"/>
      <c r="C80" s="146" t="s">
        <v>7</v>
      </c>
      <c r="D80" s="146"/>
      <c r="E80" s="143"/>
      <c r="F80" s="291" t="str">
        <f>IF(E80="","",IF(OR(B$9="A",B$9="Ba",B$9="B", B$9="Bc"),IF(E80&lt;1.05,0,IF(E80&gt;=2.2,1,ROUND(IF(E80&lt;1.4,E80*'Reference Curves'!$C$176+'Reference Curves'!$C$177,E80*'Reference Curves'!$D$176+'Reference Curves'!$D$177),2))),IF(OR(B$9="C",B$9="Cb",B$9="E"),IF(E80&lt;1.7,0,IF(E80&gt;=5,1,ROUND(IF(E80&lt;2.4,E80*'Reference Curves'!$D$141+'Reference Curves'!$D$142,E80*'Reference Curves'!$C$141+'Reference Curves'!$C$142),2))))))</f>
        <v/>
      </c>
      <c r="G80" s="503"/>
      <c r="H80" s="503"/>
      <c r="I80" s="506"/>
    </row>
    <row r="81" spans="1:10" ht="15.75" x14ac:dyDescent="0.25">
      <c r="A81" s="465" t="s">
        <v>20</v>
      </c>
      <c r="B81" s="465" t="s">
        <v>21</v>
      </c>
      <c r="C81" s="34" t="s">
        <v>19</v>
      </c>
      <c r="D81" s="148"/>
      <c r="E81" s="142"/>
      <c r="F81" s="149" t="str">
        <f>IF(E81="","",IF(E81&gt;=660,1,IF(E81&lt;=430,ROUND('Reference Curves'!$K$14*E81+'Reference Curves'!$K$15,2),ROUND('Reference Curves'!$L$14*E81+'Reference Curves'!$L$15,2))))</f>
        <v/>
      </c>
      <c r="G81" s="455" t="str">
        <f>IFERROR(AVERAGE(F81:F82),"")</f>
        <v/>
      </c>
      <c r="H81" s="455" t="str">
        <f>IFERROR(ROUND(AVERAGE(G81:G96),2),"")</f>
        <v/>
      </c>
      <c r="I81" s="458" t="str">
        <f>IF(H81="","",IF(H81&gt;0.69,"Functioning",IF(H81&gt;0.29,"Functioning At Risk",IF(H81&gt;-1,"Not Functioning"))))</f>
        <v/>
      </c>
    </row>
    <row r="82" spans="1:10" ht="15.75" x14ac:dyDescent="0.25">
      <c r="A82" s="462"/>
      <c r="B82" s="463"/>
      <c r="C82" s="279" t="s">
        <v>346</v>
      </c>
      <c r="D82" s="151"/>
      <c r="E82" s="140"/>
      <c r="F82" s="337" t="str">
        <f>IF(E82="","",IF(E82&gt;=28,1,ROUND(IF(E82&lt;=13,'Reference Curves'!$K$47*E82,'Reference Curves'!$L$47*E82+'Reference Curves'!$L$48),2)))</f>
        <v/>
      </c>
      <c r="G82" s="457"/>
      <c r="H82" s="456"/>
      <c r="I82" s="459"/>
    </row>
    <row r="83" spans="1:10" ht="15.75" x14ac:dyDescent="0.25">
      <c r="A83" s="462"/>
      <c r="B83" s="461" t="s">
        <v>402</v>
      </c>
      <c r="C83" s="148" t="s">
        <v>250</v>
      </c>
      <c r="D83" s="277"/>
      <c r="E83" s="142"/>
      <c r="F83" s="338" t="str">
        <f>IF(E83="","",ROUND(IF(E83&lt;=2,0,IF(E83&gt;=9,1,E83^3*'Reference Curves'!K$81+E83^2*'Reference Curves'!$K$82+E83*'Reference Curves'!$K$83+'Reference Curves'!$K$84)),2))</f>
        <v/>
      </c>
      <c r="G83" s="455" t="str">
        <f>IFERROR(AVERAGE(F83:F86),"")</f>
        <v/>
      </c>
      <c r="H83" s="456"/>
      <c r="I83" s="459"/>
    </row>
    <row r="84" spans="1:10" ht="15.75" x14ac:dyDescent="0.25">
      <c r="A84" s="462"/>
      <c r="B84" s="462"/>
      <c r="C84" s="151" t="s">
        <v>43</v>
      </c>
      <c r="D84" s="151"/>
      <c r="E84" s="140"/>
      <c r="F84" s="339" t="str">
        <f>IF(E84="","",IF(OR(E84="Ex/Ex",E84="Ex/VH",E84="Ex/H",E84="Ex/M",E84="VH/Ex",E84="VH/VH", E84="H/Ex",E84="H/VH"),0, IF(OR(E84="M/Ex"),0.1,IF(OR(E84="VH/H",E84="VH/M",E84="H/H",E84="H/M", E84="M/VH"),0.2, IF(OR(E84="Ex/VL",E84="Ex/L", E84="M/H"),0.3, IF(OR(E84="VH/L",E84="H/L"),0.4, IF(OR(E84="VH/VL",E84="H/VL",E84="M/M"),0.5, IF(OR(E84="M/L",E84="L/Ex"),0.6, IF(OR(E84="M/VL",E84="L/VH", E84="L/H",E84="L/M",E84="L/L",E84="L/VL"),1)))))))))</f>
        <v/>
      </c>
      <c r="G84" s="456"/>
      <c r="H84" s="456"/>
      <c r="I84" s="459"/>
    </row>
    <row r="85" spans="1:10" ht="15.75" x14ac:dyDescent="0.25">
      <c r="A85" s="462"/>
      <c r="B85" s="462"/>
      <c r="C85" s="368" t="s">
        <v>87</v>
      </c>
      <c r="D85" s="369"/>
      <c r="E85" s="358"/>
      <c r="F85" s="339" t="str">
        <f>IF(E85="","",ROUND(IF(E85&gt;=75,0,IF(E85&lt;=5,1,IF(E85&gt;10,E85*'Reference Curves'!K$115+'Reference Curves'!K$116,'Reference Curves'!$L$115*E85+'Reference Curves'!$L$116))),2))</f>
        <v/>
      </c>
      <c r="G85" s="464"/>
      <c r="H85" s="456"/>
      <c r="I85" s="459"/>
    </row>
    <row r="86" spans="1:10" ht="15.75" x14ac:dyDescent="0.25">
      <c r="A86" s="462"/>
      <c r="B86" s="463"/>
      <c r="C86" s="371" t="s">
        <v>401</v>
      </c>
      <c r="D86" s="370"/>
      <c r="E86" s="143"/>
      <c r="F86" s="340" t="str">
        <f>IF(E86="","",IF(E86&gt;=30,0,ROUND(E86*'Reference Curves'!$K$146+'Reference Curves'!$K$147,2)))</f>
        <v/>
      </c>
      <c r="G86" s="457"/>
      <c r="H86" s="456"/>
      <c r="I86" s="459"/>
    </row>
    <row r="87" spans="1:10" ht="15.75" x14ac:dyDescent="0.25">
      <c r="A87" s="462"/>
      <c r="B87" s="361" t="s">
        <v>105</v>
      </c>
      <c r="C87" s="33" t="s">
        <v>130</v>
      </c>
      <c r="D87" s="151"/>
      <c r="E87" s="143"/>
      <c r="F87" s="153" t="str">
        <f>IF(OR(E87="",B$13=""),"",IF(OR(B$13="Silt/Clay",B$13="Sand",B$13="Boulders",B$13="Bedrock"),"NA",IF(E87&gt;0.1,1,IF(E87&lt;=0.01,0,ROUND(E87*'Reference Curves'!$K$177+'Reference Curves'!$K$178,2)))))</f>
        <v/>
      </c>
      <c r="G87" s="153" t="str">
        <f>IFERROR(AVERAGE(F87),"")</f>
        <v/>
      </c>
      <c r="H87" s="456"/>
      <c r="I87" s="459"/>
    </row>
    <row r="88" spans="1:10" ht="15.75" x14ac:dyDescent="0.25">
      <c r="A88" s="462"/>
      <c r="B88" s="465" t="s">
        <v>45</v>
      </c>
      <c r="C88" s="148" t="s">
        <v>46</v>
      </c>
      <c r="D88" s="148"/>
      <c r="E88" s="154"/>
      <c r="F88" s="155" t="str">
        <f>IF(E88="","",IF($B$9="Bc",IF(OR(E88&gt;=12,E88&lt;=0.1),0,IF(E88&lt;=3.4,1,ROUND('Reference Curves'!$K$310*E88+'Reference Curves'!$K$311,2))),  IF(OR($B$9="B",$B$9="Ba"),IF(OR(E88&gt;=7.5,E88&lt;=0.1),0,IF(E88&lt;=3,1,ROUND(IF(E88&gt;4,'Reference Curves'!$K$279*E88+'Reference Curves'!$K$280,'Reference Curves'!$L$279*E88+'Reference Curves'!$L$280),2))),  IF($B$9="Cb",IF(OR(E88&gt;=8.35,E88&lt;1.4),0,IF(AND(E88&gt;=3.7,E88&lt;=5),1,ROUND(IF(E88&lt;3.7,'Reference Curves'!$K$247*E88+'Reference Curves'!$K$248,'Reference Curves'!$L$247*E88+'Reference Curves'!$L$248),2))),  IF($B$9="C",IF(OR(E88&gt;9.3,E88&lt;=3),0,IF(AND(E88&gt;=4,E88&lt;=6),1,ROUND(IF(E88&lt;4,'Reference Curves'!$K$213*E88+'Reference Curves'!$K$214,'Reference Curves'!$L$213*E88+'Reference Curves'!$L$214),2))),  IF($B$9="E",IF(OR(E88&gt;8.2,E88&lt;1.85),0,IF(AND(E88&gt;=3.5,E88&lt;=5),1,ROUND(IF(E88&lt;3.5,'Reference Curves'!$K$343*E88+'Reference Curves'!$K$344,'Reference Curves'!$L$343*E88+'Reference Curves'!$L$344),2)))      ))))))</f>
        <v/>
      </c>
      <c r="G88" s="480" t="str">
        <f>IFERROR(AVERAGE(F88:F91),"")</f>
        <v/>
      </c>
      <c r="H88" s="456"/>
      <c r="I88" s="459"/>
    </row>
    <row r="89" spans="1:10" ht="15.75" x14ac:dyDescent="0.25">
      <c r="A89" s="462"/>
      <c r="B89" s="462"/>
      <c r="C89" s="151" t="s">
        <v>47</v>
      </c>
      <c r="D89" s="151"/>
      <c r="E89" s="152"/>
      <c r="F89" s="156" t="str">
        <f>IF(E89="","",IF(E89&lt;=1,0,IF(E89&gt;=3.2,1,IF(E89&gt;=2.2,ROUND('Reference Curves'!$L$375*E89+'Reference Curves'!$L$376,2),(ROUND('Reference Curves'!$K$375*E89+'Reference Curves'!$K$376,2))))))</f>
        <v/>
      </c>
      <c r="G89" s="464"/>
      <c r="H89" s="456"/>
      <c r="I89" s="459"/>
    </row>
    <row r="90" spans="1:10" ht="15.75" x14ac:dyDescent="0.25">
      <c r="A90" s="462"/>
      <c r="B90" s="462"/>
      <c r="C90" s="31" t="s">
        <v>356</v>
      </c>
      <c r="D90" s="151"/>
      <c r="E90" s="152"/>
      <c r="F90" s="362" t="str">
        <f>IF(E90="","",IF($B$11="Volcanic Mountains &amp; Valleys", IF(OR(E90&gt;86.65,E90&lt;33),0,IF(AND(E90&gt;=73,E90&lt;=80),1, ROUND(IF(E90&lt;73,'Reference Curves'!$K$408*E90+'Reference Curves'!$K$409, 'Reference Curves'!$L$408*E90+'Reference Curves'!$L$409),2))), IF(B$16="","Need Slope",IF(B$16&lt;3,IF( OR(E90&gt;=91,E90&lt;=13.5),0, IF(AND(E90&gt;49,E90&lt;61), 1, ROUND(IF(E90&lt;50,'Reference Curves'!$K$441*E90+'Reference Curves'!$K$442, IF(E90&gt;60,'Reference Curves'!$L$441*E90+'Reference Curves'!$L$442)),2))), IF(B$16&gt;=3,IF(OR(E90&gt;94.5,E90&lt;41.5),0, IF(AND(E90 &gt;=68, E90&lt;=78),1, ROUND(IF(E90&lt;68,'Reference Curves'!$K$475*E90+'Reference Curves'!$K$476,'Reference Curves'!$L$475*E90+'Reference Curves'!$L$476),2) )))))))</f>
        <v/>
      </c>
      <c r="G90" s="464"/>
      <c r="H90" s="456"/>
      <c r="I90" s="459"/>
    </row>
    <row r="91" spans="1:10" ht="15.75" x14ac:dyDescent="0.25">
      <c r="A91" s="462"/>
      <c r="B91" s="463"/>
      <c r="C91" s="150" t="s">
        <v>213</v>
      </c>
      <c r="D91" s="150"/>
      <c r="E91" s="157"/>
      <c r="F91" s="360" t="str">
        <f>IF(E91="","",IF(E91&gt;=1.6,0,IF(E91&lt;=1,1,ROUND('Reference Curves'!$K$506*E91^3+'Reference Curves'!$K$507*E91^2+'Reference Curves'!$K$508*E91+'Reference Curves'!$K$509,2))))</f>
        <v/>
      </c>
      <c r="G91" s="481"/>
      <c r="H91" s="456"/>
      <c r="I91" s="459"/>
    </row>
    <row r="92" spans="1:10" ht="15.75" x14ac:dyDescent="0.25">
      <c r="A92" s="462"/>
      <c r="B92" s="361" t="s">
        <v>49</v>
      </c>
      <c r="C92" s="151" t="s">
        <v>48</v>
      </c>
      <c r="D92" s="151"/>
      <c r="E92" s="143"/>
      <c r="F92" s="341" t="str">
        <f>IF(E92="","",IF(B$9="E",IF(OR(E92&gt;2.14,E92&lt;1.13),0, IF(AND(E92&gt;=1.3, E92&lt;=1.8),1, ROUND(IF(E92&lt;1.3,E92*'Reference Curves'!K$542+'Reference Curves'!K$543, E92*'Reference Curves'!L$542+'Reference Curves'!$L$543),2))),  IF($B$21="Unconfined Alluvial", IF(OR(E92&lt;1.12, E92&gt;1.67),0, IF(AND(E92&lt;=1.5,E92&gt;=1.2),1,ROUND(IF(E92&lt;1.2,E92*'Reference Curves'!$K$575+'Reference Curves'!$K$576, E92*'Reference Curves'!$L$575+'Reference Curves'!$L$576),2))),  IF($B$21="Confined Alluvial",IF(E92&lt;=1,0, IF(E92&gt;=1.2,1, ROUND(E92*'Reference Curves'!$K$604+'Reference Curves'!$K$605,2))),    IF($B$21="Colluvial/V-Shaped",IF(OR(E92&lt;1, E92&gt;1.47),0, IF(AND(E92&lt;=1.3,E92&gt;=1.1),1,ROUND(IF(E92&lt;1.1,E92*'Reference Curves'!$K$637+'Reference Curves'!$K$638, E92*'Reference Curves'!$L$637+'Reference Curves'!$L$638),2)))  )))))</f>
        <v/>
      </c>
      <c r="G92" s="156" t="str">
        <f>IFERROR(AVERAGE(F92),"")</f>
        <v/>
      </c>
      <c r="H92" s="456"/>
      <c r="I92" s="459"/>
      <c r="J92" s="105"/>
    </row>
    <row r="93" spans="1:10" ht="15.75" x14ac:dyDescent="0.25">
      <c r="A93" s="462"/>
      <c r="B93" s="465" t="s">
        <v>44</v>
      </c>
      <c r="C93" s="32" t="s">
        <v>344</v>
      </c>
      <c r="D93" s="377"/>
      <c r="E93" s="378"/>
      <c r="F93" s="365" t="str">
        <f>IF(E93="","",IF($B$21="Unconfined Alluvial",IF(E93&gt;=100,1,IF(E93&lt;30,0,ROUND('Reference Curves'!$K$668*E93+'Reference Curves'!$K$669,2))),IF(OR($B$21="Confined Alluvial",$B$21="Colluvial/V-Shaped"),(IF(E93&gt;=100,1,IF(E93&lt;60,0,ROUND('Reference Curves'!$L$668*E93+'Reference Curves'!$L$669,2)))))))</f>
        <v/>
      </c>
      <c r="G93" s="455" t="str">
        <f>IFERROR(AVERAGE(F93:F96),"")</f>
        <v/>
      </c>
      <c r="H93" s="456"/>
      <c r="I93" s="459"/>
    </row>
    <row r="94" spans="1:10" ht="15.75" x14ac:dyDescent="0.25">
      <c r="A94" s="462"/>
      <c r="B94" s="462"/>
      <c r="C94" s="279" t="s">
        <v>390</v>
      </c>
      <c r="D94" s="359"/>
      <c r="E94" s="374"/>
      <c r="F94" s="156" t="str">
        <f>IF(E94="","",  IF(OR($B$10="Mountains",$B$10="Basins"),IF(E94&lt;=0,0, IF(E94&gt;=122,1,ROUND('Reference Curves'!$K$700*E94^2+'Reference Curves'!$K$701*E94+'Reference Curves'!$K$702,2))),   IF($B$10="Plains",IF(OR(E94&lt;=0,E94&gt;114),0, IF(AND(E94&lt;=69,E94&gt;=59),1, IF(E94&lt;59, ROUND(E94*'Reference Curves'!$K$735+'Reference Curves'!$K$736,2), ROUND(E94*'Reference Curves'!$L$735+'Reference Curves'!$L$736,2) )) ))))</f>
        <v/>
      </c>
      <c r="G94" s="456"/>
      <c r="H94" s="456"/>
      <c r="I94" s="459"/>
    </row>
    <row r="95" spans="1:10" ht="15.75" x14ac:dyDescent="0.25">
      <c r="A95" s="462"/>
      <c r="B95" s="466"/>
      <c r="C95" s="279" t="s">
        <v>391</v>
      </c>
      <c r="D95" s="359"/>
      <c r="E95" s="374"/>
      <c r="F95" s="156" t="str">
        <f>IF(E95="","",IF($B$19="Herbaceous", IF(E95&lt;=30,0,IF(E95&gt;=117,1, ROUND(E95*'Reference Curves'!$L$767+'Reference Curves'!$L$768,2))),  IF(E95&lt;=0,0, IF(E95&gt;=77,1, ROUND(E95*'Reference Curves'!$K$767+'Reference Curves'!$K$768,2)))  ))</f>
        <v/>
      </c>
      <c r="G95" s="464"/>
      <c r="H95" s="456"/>
      <c r="I95" s="459"/>
    </row>
    <row r="96" spans="1:10" ht="15.75" x14ac:dyDescent="0.25">
      <c r="A96" s="463"/>
      <c r="B96" s="463"/>
      <c r="C96" s="467" t="s">
        <v>400</v>
      </c>
      <c r="D96" s="468"/>
      <c r="E96" s="376"/>
      <c r="F96" s="384" t="str">
        <f>IF(E96="","",IF(E96&lt;=46,0,IF(E96&gt;=100,1,IF(E96&lt;=91,ROUND(E96*'Reference Curves'!$L$799+'Reference Curves'!$L$800,2),ROUND(E96*'Reference Curves'!$K$799+'Reference Curves'!$K$800,2)))))</f>
        <v/>
      </c>
      <c r="G96" s="457"/>
      <c r="H96" s="457"/>
      <c r="I96" s="460"/>
    </row>
    <row r="97" spans="1:11" ht="15.75" x14ac:dyDescent="0.25">
      <c r="A97" s="496" t="s">
        <v>53</v>
      </c>
      <c r="B97" s="313" t="s">
        <v>80</v>
      </c>
      <c r="C97" s="60" t="s">
        <v>347</v>
      </c>
      <c r="D97" s="292"/>
      <c r="E97" s="140"/>
      <c r="F97" s="357" t="str">
        <f>IF(E97="","",IF($B$18="","Enter Stream Temperature",IF($B$18="Tier I (Cold) ",IF(E97&gt;=20.1,0,IF(E97&lt;=13.5,1,ROUND(E97*'Reference Curves'!$S$18+'Reference Curves'!$S$19,2))),IF($B$18="Tier II (Cold-Cool)",IF(E97&gt;=20.5,0,IF(E97&lt;=16.5,1,ROUND(E97*'Reference Curves'!$T$18+'Reference Curves'!$T$19,2))),IF($B$18="Tier III (Cool) ",IF(E97&gt;=23.6,0,IF(E97&lt;=18.3,1,ROUND(E97*'Reference Curves'!$U$18+'Reference Curves'!$U$19,2))),IF($B$18="Tier IV (Cool-Warm)",IF(E97&gt;=27.2,0,IF(E97&lt;=23.2,1,ROUND(E97*'Reference Curves'!$V$18+'Reference Curves'!$V$19,2))),IF($B$18="Tier V (Warm)",IF(E97&gt;=30.3,0,IF(E97&lt;=26,1,ROUND(E97*'Reference Curves'!$W$18+'Reference Curves'!$W$19,2))))))))))</f>
        <v/>
      </c>
      <c r="G97" s="330" t="str">
        <f>IF(F97="","", ROUND(AVERAGE(F97),2))</f>
        <v/>
      </c>
      <c r="H97" s="507" t="str">
        <f>IFERROR(ROUND(AVERAGE(G97:G98),2),"")</f>
        <v/>
      </c>
      <c r="I97" s="473" t="str">
        <f>IF(H97="","",IF(H97&gt;0.69,"Functioning",IF(H97&gt;0.29,"Functioning At Risk",IF(H97&gt;-1,"Not Functioning"))))</f>
        <v/>
      </c>
      <c r="J97" s="105"/>
    </row>
    <row r="98" spans="1:11" ht="15.75" x14ac:dyDescent="0.25">
      <c r="A98" s="497"/>
      <c r="B98" s="308" t="s">
        <v>249</v>
      </c>
      <c r="C98" s="35" t="s">
        <v>357</v>
      </c>
      <c r="D98" s="160"/>
      <c r="E98" s="106"/>
      <c r="F98" s="342" t="str">
        <f>IF(E98="","",IF(OR($B$10="Basins",$B$10="Plains"),IF(E98&gt;=150,0,IF(E98&lt;16,1,ROUND('Reference Curves'!$S$53*LN(E98)+'Reference Curves'!$S$54,2))),IF(E98&gt;=97,0,IF(E98&lt;=13,1,ROUND('Reference Curves'!$T$53*LN(E98)+'Reference Curves'!$T$54,2)))))</f>
        <v/>
      </c>
      <c r="G98" s="173" t="str">
        <f>IFERROR(AVERAGE(F98),"")</f>
        <v/>
      </c>
      <c r="H98" s="507"/>
      <c r="I98" s="473"/>
      <c r="J98" s="119"/>
    </row>
    <row r="99" spans="1:11" ht="15.75" x14ac:dyDescent="0.25">
      <c r="A99" s="508" t="s">
        <v>54</v>
      </c>
      <c r="B99" s="511" t="s">
        <v>189</v>
      </c>
      <c r="C99" s="163" t="s">
        <v>186</v>
      </c>
      <c r="D99" s="164"/>
      <c r="E99" s="142"/>
      <c r="F99" s="165" t="str">
        <f>IF(E99="","",IF($B$11="","Enter Bioregion",IF($B$11="Wyoming Basin",IF(E99&lt;=5.3,0,IF(E99&gt;=64.5,1,ROUND(IF(E99&lt;26.2,'Reference Curves'!$AB$17*E99+'Reference Curves'!$AB$18,IF(E99&lt;39.9, 'Reference Curves'!$AC$17*E99+'Reference Curves'!$AC$18,'Reference Curves'!$AD$17*E99+'Reference Curves'!$AD$18)),2))), IF($B$11="Black Hills",IF(E99&lt;=12.8,0,IF(E99&gt;=65.7,1,ROUND(IF(E99&lt;30.7,'Reference Curves'!$AE$17*E99+'Reference Curves'!$AE$18,IF(E99&lt;46.1,'Reference Curves'!$AF$17*E99+'Reference Curves'!$AF$18,'Reference Curves'!$AG$17*E99+'Reference Curves'!$AG$18)),2))), IF($B$11="High Valleys",IF(E99&lt;=17.1,0,IF(E99&gt;=78.2,1,ROUND(IF(E99&lt;48.8,'Reference Curves'!$AH$17*E99+'Reference Curves'!$AH$18,'Reference Curves'!$AI$17*E99+'Reference Curves'!$AI$18),2))),     IF($B$11="Southern Rockies",IF(E99&lt;=5.1,0,IF(E99&gt;=82.2,1,ROUND(IF(E99&lt;32.6, 'Reference Curves'!$AB$54*E99+'Reference Curves'!$AB$55, IF(E99&lt;48.8, 'Reference Curves'!$AC$54*E99+'Reference Curves'!$AC$55,  'Reference Curves'!$AD$54*E99+'Reference Curves'!$AD$55)), 2))), IF($B$11="SE Plains",IF(E99&lt;=10.4,0,IF(E99&gt;=87,1,ROUND(IF(E99&lt;36.7,'Reference Curves'!$AE$54*E99+'Reference Curves'!$AE$55, IF(E99&lt;55.1, 'Reference Curves'!$AF$54*E99+'Reference Curves'!$AF$55, 'Reference Curves'!$AG$54*E99+'Reference Curves'!$AG$55)),2))),   IF($B$11="NE Plains",IF(E99&lt;=1.6,0,IF(E99&gt;=95.8,1,ROUND(IF(E99&lt;38.9,'Reference Curves'!$AH$54*E99+'Reference Curves'!$AH$55, IF(E99&lt;58.4, 'Reference Curves'!$AI$54*E99+'Reference Curves'!$AI$55, 'Reference Curves'!$AJ$54*E99+'Reference Curves'!$AJ$55)),2))),      IF($B$11="Granitic Mountains",IF(E99&lt;=32.6,0,IF(E99&gt;=74.9,1,ROUND(IF(E99&lt;40.2, 'Reference Curves'!$AB$92*E99+'Reference Curves'!$AB$93, 'Reference Curves'!$AC$92*E99+'Reference Curves'!$AC$93),2))), IF($B$11="Volcanic Mountains &amp; Valleys",IF(E99&lt;=26,0,IF(E99&gt;=88.1,1,ROUND('Reference Curves'!$AF$92*E99+'Reference Curves'!$AF$93,2))), IF($B$11="Southern Foothills &amp; Laramie Range",IF(E99&lt;=30.7,0,IF(E99&gt;=85,1,ROUND(IF(E99&lt;44.5, 'Reference Curves'!$AD$92*E99+'Reference Curves'!$AD$93,  'Reference Curves'!$AE$92*E99+'Reference Curves'!$AE$93),2))),     IF($B$11="Sedimentary Mountains",IF(E99&lt;=17,0,IF(E99&gt;=70,1,ROUND('Reference Curves'!$AB$127*E99+'Reference Curves'!$AB$128,2))), IF($B$11="Bighorn Basin Foothills",IF(E99&lt;=3.9,0,IF(E99&gt;=80,1,ROUND(IF(E99&lt;40.6,'Reference Curves'!$AC$127*E99+'Reference Curves'!$AC$128,'Reference Curves'!$AD$127*E99+'Reference Curves'!$AD$128),2)))  )))))))))))))</f>
        <v/>
      </c>
      <c r="G99" s="474" t="str">
        <f>IFERROR(IF(AND(F99="",F100=""),"",IF(OR(F99="",F100=""),AVERAGE(F99:F100),IF(OR(F99&lt;0.3,F100&lt;0.3),IF(OR(F99&gt;=0.7,F100&gt;=0.7),MIN(0.69,AVERAGE(F99:F100)),MIN(0.29,AVERAGE(F99:F100))), IF(OR(F99&gt;=0.7,F100&gt;=0.7),IF(AVERAGE(F99:F100)&lt;0.7,0.7,AVERAGE(F99:F100)),AVERAGE(F99:F100))))),"")</f>
        <v/>
      </c>
      <c r="H99" s="476" t="str">
        <f>IFERROR(ROUND(AVERAGE(G99:G102),2),"")</f>
        <v/>
      </c>
      <c r="I99" s="473" t="str">
        <f>IF(H99="","",IF(H99&gt;0.69,"Functioning",IF(H99&gt;0.29,"Functioning At Risk",IF(H99&gt;-1,"Not Functioning"))))</f>
        <v/>
      </c>
      <c r="J99" s="119"/>
    </row>
    <row r="100" spans="1:11" ht="15.75" x14ac:dyDescent="0.25">
      <c r="A100" s="509"/>
      <c r="B100" s="513"/>
      <c r="C100" s="166" t="s">
        <v>187</v>
      </c>
      <c r="D100" s="167"/>
      <c r="E100" s="157"/>
      <c r="F100" s="168" t="str">
        <f>IF(E100="","",IF($B$11="","Enter Bioregion",IF($B$11="Wyoming Basin",IF(E100&lt;0.15,0,IF(E100&gt;1.18,1,ROUND(IF(E100&lt;0.64,'Reference Curves'!$AB$166*E100+'Reference Curves'!$AB$167, IF(E100&lt;0.82, 'Reference Curves'!$AC$166*E100+'Reference Curves'!$AC$167, 'Reference Curves'!$AD$166*E100+'Reference Curves'!$AD$167) ),2))), IF($B$11="Black Hills",IF(E100&lt;=0.37,0,IF(E100&gt;1.08,1,ROUND('Reference Curves'!$AE$166*E100+'Reference Curves'!$AE$167,2))), IF($B$11="High Valleys",IF(E100&lt;0.42,0,IF(E100&gt;1.14,1,ROUND(IF(E100&lt;0.68, 'Reference Curves'!$AF$166*E100+'Reference Curves'!$AF$167, IF(E100&lt;0.86, 'Reference Curves'!$AG$166*E100+'Reference Curves'!$AG$167, 'Reference Curves'!$AH$166*E100+'Reference Curves'!$AH$167)),2))), IF($B$11="Sedimentary Mountains",IF(E100&lt;0.42,0,IF(E100&gt;1.17,1,ROUND(IF(E100&lt;0.68, 'Reference Curves'!$AI$166*E100+'Reference Curves'!$AI$167, IF(E100&lt;0.82, 'Reference Curves'!$AJ$166*E100+'Reference Curves'!$AJ$167, 'Reference Curves'!$AK$166*E100+'Reference Curves'!$AK$167) ),2))),        IF($B$11="Southern Rockies",IF(E100&lt;0.27,0,IF(E100&gt;=1.18,1,ROUND(IF(E100&lt;0.62, 'Reference Curves'!$AB$204*E100+'Reference Curves'!$AB$205, IF(E100&lt;0.89, 'Reference Curves'!$AC$204*E100+'Reference Curves'!$AC$205, 'Reference Curves'!$AD$204*E100+'Reference Curves'!$AD$205) ),2))), IF($B$11="SE Plains",IF(E100&lt;0.34,0,IF(E100&gt;1.12,1,ROUND(IF(E100&lt;0.78, 'Reference Curves'!$AE$204*E100+'Reference Curves'!$AE$205, 'Reference Curves'!$AF$204*E100+'Reference Curves'!$AF$205),2))), IF($B$11="NE Plains",IF(E100&lt;0.11,0,IF(E100&gt;=0.98,1,ROUND(IF(E100&lt;0.52, 'Reference Curves'!$AG$204*E100+'Reference Curves'!$AG$205,'Reference Curves'!$AH$204*E100+'Reference Curves'!$AH$205 ),2))),    IF($B$11="Granitic Mountains",IF(E100&lt;=0.59,0,IF(E100&gt;=1.09,1,ROUND(IF(E100&lt;0.65, 'Reference Curves'!$AB$242*E100+'Reference Curves'!$AB$243, 'Reference Curves'!$AC$242*E100+'Reference Curves'!$AC$243),2))),IF($B$11="Bighorn Basin Foothills",IF(E100&lt;=0.41,0,IF(E100&gt;=0.92,1,ROUND(IF(E100&lt;0.84, 'Reference Curves'!$AD$242*E100+'Reference Curves'!$AD$243,  'Reference Curves'!$AE$242*E100+'Reference Curves'!$AE$243),2))),IF($B$11="Volcanic Mountains &amp; Valleys",IF(E100&lt;=0.21,0,IF(E100&gt;=1.21,1,ROUND(IF(E100&lt;0.65, 'Reference Curves'!$AI$242*E100+'Reference Curves'!$AI$243, IF(E100&lt;0.86,  'Reference Curves'!$AJ$242*E100+'Reference Curves'!$AJ$243,  'Reference Curves'!$AK$242*E100+'Reference Curves'!$AK$243)),2))), IF($B$11="Southern Foothills &amp; Laramie Range",IF(E100&lt;=0.29,0,IF(E100&gt;=1.2,1,ROUND(IF(E100&lt;0.68, 'Reference Curves'!$AF$242*E100+'Reference Curves'!$AF$243, IF(E100&lt;0.88,  'Reference Curves'!$AG$242*E100+'Reference Curves'!$AG$243, 'Reference Curves'!$AH$242*E100+'Reference Curves'!$AH$243)),2))) )))))))))))))</f>
        <v/>
      </c>
      <c r="G100" s="475"/>
      <c r="H100" s="476"/>
      <c r="I100" s="473"/>
      <c r="J100" s="119"/>
    </row>
    <row r="101" spans="1:11" ht="15.75" x14ac:dyDescent="0.25">
      <c r="A101" s="509"/>
      <c r="B101" s="511" t="s">
        <v>75</v>
      </c>
      <c r="C101" s="58" t="s">
        <v>349</v>
      </c>
      <c r="D101" s="169"/>
      <c r="E101" s="154"/>
      <c r="F101" s="170" t="str">
        <f>IF(E101="","",IF(E101&lt;58,0,IF(E101&gt;=100,1,ROUND(E101*'Reference Curves'!$AB$280+'Reference Curves'!$AB$281,2))))</f>
        <v/>
      </c>
      <c r="G101" s="474" t="str">
        <f>IFERROR(AVERAGE(F101:F103),"")</f>
        <v/>
      </c>
      <c r="H101" s="476"/>
      <c r="I101" s="473"/>
      <c r="J101" s="119"/>
    </row>
    <row r="102" spans="1:11" ht="15.75" x14ac:dyDescent="0.25">
      <c r="A102" s="509"/>
      <c r="B102" s="512"/>
      <c r="C102" s="59" t="s">
        <v>350</v>
      </c>
      <c r="D102" s="171"/>
      <c r="E102" s="152"/>
      <c r="F102" s="170" t="str">
        <f>IF(E102="","",ROUND(IF(E102&gt;=3,0,IF(E102&gt;=2,0.3,IF(E102&gt;=1,0.69,1))),2))</f>
        <v/>
      </c>
      <c r="G102" s="477"/>
      <c r="H102" s="476"/>
      <c r="I102" s="473"/>
      <c r="J102" s="119"/>
    </row>
    <row r="103" spans="1:11" ht="15.75" x14ac:dyDescent="0.25">
      <c r="A103" s="510"/>
      <c r="B103" s="513"/>
      <c r="C103" s="39" t="s">
        <v>351</v>
      </c>
      <c r="D103" s="172"/>
      <c r="E103" s="157"/>
      <c r="F103" s="168" t="str">
        <f>IF(E103="","",IF($B$20="","Enter Stream Producitvity Rating",IF($B$20="Blue Ribbon and non-trout",IF(E103&lt;5,0,IF(E103&gt;=40,1,ROUND(E103*'Reference Curves'!$AB$319+'Reference Curves'!$AB$320,2))),IF($B$20="Red Ribbon",IF(E103&lt;10,0,IF(E103&gt;=80,1,ROUND(E103*'Reference Curves'!$AC$319+'Reference Curves'!$AC$320,2))),IF(OR($B$20="Yellow Ribbon",$B$20="Green Ribbon"),IF(E103&lt;15,0,IF(E103&gt;=119,1,ROUND(E103*'Reference Curves'!$AD$319+'Reference Curves'!$AD$320,2)))   )))))</f>
        <v/>
      </c>
      <c r="G103" s="475"/>
      <c r="H103" s="476"/>
      <c r="I103" s="473"/>
      <c r="J103" s="119"/>
    </row>
    <row r="104" spans="1:11" x14ac:dyDescent="0.25">
      <c r="K104" s="119"/>
    </row>
    <row r="105" spans="1:11" x14ac:dyDescent="0.25">
      <c r="K105" s="119"/>
    </row>
  </sheetData>
  <sheetProtection algorithmName="SHA-512" hashValue="Y7+rXycgPIMQAXSNTb3GT3vub6JWMyGueXWyLetdI092pO1bXa0Ufy3qh/OAapBSfcjDlnABPtEM6hVWz8H5pA==" saltValue="lEVO2Jrx87cHRL2FzN76Sw==" spinCount="100000" sheet="1" formatColumns="0" formatRows="0"/>
  <dataConsolidate link="1"/>
  <mergeCells count="114">
    <mergeCell ref="J33:J34"/>
    <mergeCell ref="H76:H80"/>
    <mergeCell ref="I76:I80"/>
    <mergeCell ref="G79:G80"/>
    <mergeCell ref="G74:I74"/>
    <mergeCell ref="D8:F8"/>
    <mergeCell ref="H8:J8"/>
    <mergeCell ref="G44:G45"/>
    <mergeCell ref="D20:J21"/>
    <mergeCell ref="D9:E9"/>
    <mergeCell ref="D10:E10"/>
    <mergeCell ref="D11:E11"/>
    <mergeCell ref="D17:E17"/>
    <mergeCell ref="D15:E15"/>
    <mergeCell ref="D16:E16"/>
    <mergeCell ref="J25:J26"/>
    <mergeCell ref="D25:D26"/>
    <mergeCell ref="C46:D46"/>
    <mergeCell ref="I27:I28"/>
    <mergeCell ref="J27:J28"/>
    <mergeCell ref="D12:E12"/>
    <mergeCell ref="D13:E13"/>
    <mergeCell ref="D14:E14"/>
    <mergeCell ref="G47:G48"/>
    <mergeCell ref="B69:B71"/>
    <mergeCell ref="B67:B68"/>
    <mergeCell ref="C75:D75"/>
    <mergeCell ref="A74:F74"/>
    <mergeCell ref="A76:A80"/>
    <mergeCell ref="C78:D78"/>
    <mergeCell ref="B79:B80"/>
    <mergeCell ref="A67:A71"/>
    <mergeCell ref="A81:A96"/>
    <mergeCell ref="D4:J4"/>
    <mergeCell ref="D5:J5"/>
    <mergeCell ref="F25:G26"/>
    <mergeCell ref="A42:F42"/>
    <mergeCell ref="I25:I26"/>
    <mergeCell ref="H25:H26"/>
    <mergeCell ref="A3:B4"/>
    <mergeCell ref="D3:J3"/>
    <mergeCell ref="A30:A35"/>
    <mergeCell ref="D6:J6"/>
    <mergeCell ref="A24:D24"/>
    <mergeCell ref="F24:J24"/>
    <mergeCell ref="F29:G30"/>
    <mergeCell ref="F31:G32"/>
    <mergeCell ref="F33:G34"/>
    <mergeCell ref="H29:H30"/>
    <mergeCell ref="I29:I30"/>
    <mergeCell ref="J29:J30"/>
    <mergeCell ref="H31:H32"/>
    <mergeCell ref="I31:I32"/>
    <mergeCell ref="J31:J32"/>
    <mergeCell ref="H33:H34"/>
    <mergeCell ref="I33:I34"/>
    <mergeCell ref="A25:A26"/>
    <mergeCell ref="A65:A66"/>
    <mergeCell ref="A44:A48"/>
    <mergeCell ref="B47:B48"/>
    <mergeCell ref="B56:B59"/>
    <mergeCell ref="H44:H48"/>
    <mergeCell ref="I44:I48"/>
    <mergeCell ref="B51:B54"/>
    <mergeCell ref="G51:G54"/>
    <mergeCell ref="H99:H103"/>
    <mergeCell ref="I97:I98"/>
    <mergeCell ref="H97:H98"/>
    <mergeCell ref="A97:A98"/>
    <mergeCell ref="A99:A103"/>
    <mergeCell ref="I99:I103"/>
    <mergeCell ref="G101:G103"/>
    <mergeCell ref="B101:B103"/>
    <mergeCell ref="B81:B82"/>
    <mergeCell ref="G81:G82"/>
    <mergeCell ref="G99:G100"/>
    <mergeCell ref="B88:B91"/>
    <mergeCell ref="B99:B100"/>
    <mergeCell ref="G88:G91"/>
    <mergeCell ref="B76:B77"/>
    <mergeCell ref="G76:G77"/>
    <mergeCell ref="B25:B26"/>
    <mergeCell ref="A36:A37"/>
    <mergeCell ref="B44:B45"/>
    <mergeCell ref="D18:E18"/>
    <mergeCell ref="A38:A39"/>
    <mergeCell ref="C25:C26"/>
    <mergeCell ref="G42:I42"/>
    <mergeCell ref="F27:G28"/>
    <mergeCell ref="C43:D43"/>
    <mergeCell ref="H81:H96"/>
    <mergeCell ref="I81:I96"/>
    <mergeCell ref="B83:B86"/>
    <mergeCell ref="G83:G86"/>
    <mergeCell ref="B93:B96"/>
    <mergeCell ref="G93:G96"/>
    <mergeCell ref="C96:D96"/>
    <mergeCell ref="A27:A29"/>
    <mergeCell ref="H27:H28"/>
    <mergeCell ref="I67:I71"/>
    <mergeCell ref="I65:I66"/>
    <mergeCell ref="G49:G50"/>
    <mergeCell ref="G67:G68"/>
    <mergeCell ref="H67:H71"/>
    <mergeCell ref="G69:G71"/>
    <mergeCell ref="H65:H66"/>
    <mergeCell ref="B49:B50"/>
    <mergeCell ref="G56:G59"/>
    <mergeCell ref="B61:B64"/>
    <mergeCell ref="A49:A64"/>
    <mergeCell ref="H49:H64"/>
    <mergeCell ref="G61:G64"/>
    <mergeCell ref="C64:D64"/>
    <mergeCell ref="I49:I64"/>
  </mergeCells>
  <conditionalFormatting sqref="I76 I49 I65:I71 I97:I103">
    <cfRule type="containsText" dxfId="174" priority="26" stopIfTrue="1" operator="containsText" text="Functioning At Risk">
      <formula>NOT(ISERROR(SEARCH("Functioning At Risk",I49)))</formula>
    </cfRule>
    <cfRule type="containsText" dxfId="173" priority="28" stopIfTrue="1" operator="containsText" text="Not Functioning">
      <formula>NOT(ISERROR(SEARCH("Not Functioning",I49)))</formula>
    </cfRule>
    <cfRule type="containsText" dxfId="172" priority="29" operator="containsText" text="Functioning">
      <formula>NOT(ISERROR(SEARCH("Functioning",I49)))</formula>
    </cfRule>
  </conditionalFormatting>
  <conditionalFormatting sqref="H27:I27 C27:D39 H29:I29 H31:I31 H33:I33">
    <cfRule type="cellIs" dxfId="171" priority="23" operator="between">
      <formula>0.7</formula>
      <formula>1</formula>
    </cfRule>
    <cfRule type="cellIs" dxfId="170" priority="24" operator="between">
      <formula>0.6999999</formula>
      <formula>0.3</formula>
    </cfRule>
    <cfRule type="cellIs" dxfId="169" priority="25" operator="between">
      <formula>0</formula>
      <formula>0.299999</formula>
    </cfRule>
  </conditionalFormatting>
  <conditionalFormatting sqref="I3:J9 J10 I11:J19 I24:J27 J23 I22:J22 I29:J29 I31:J31 I33:J33">
    <cfRule type="containsText" dxfId="168" priority="21" stopIfTrue="1" operator="containsText" text="Not Functioning">
      <formula>NOT(ISERROR(SEARCH("Not Functioning",I3)))</formula>
    </cfRule>
    <cfRule type="containsText" dxfId="167" priority="22" operator="containsText" text="Functioning">
      <formula>NOT(ISERROR(SEARCH("Functioning",I3)))</formula>
    </cfRule>
  </conditionalFormatting>
  <conditionalFormatting sqref="H27:I27 H29:I29 H31:I31 H33:I33">
    <cfRule type="expression" dxfId="166" priority="11">
      <formula>$C$27:$D$39="&gt;1"</formula>
    </cfRule>
  </conditionalFormatting>
  <conditionalFormatting sqref="I44">
    <cfRule type="containsText" dxfId="165" priority="7" stopIfTrue="1" operator="containsText" text="Functioning At Risk">
      <formula>NOT(ISERROR(SEARCH("Functioning At Risk",I44)))</formula>
    </cfRule>
    <cfRule type="containsText" dxfId="164" priority="8" stopIfTrue="1" operator="containsText" text="Not Functioning">
      <formula>NOT(ISERROR(SEARCH("Not Functioning",I44)))</formula>
    </cfRule>
    <cfRule type="containsText" dxfId="163" priority="9" operator="containsText" text="Functioning">
      <formula>NOT(ISERROR(SEARCH("Functioning",I44)))</formula>
    </cfRule>
  </conditionalFormatting>
  <conditionalFormatting sqref="I81">
    <cfRule type="containsText" dxfId="162" priority="1" stopIfTrue="1" operator="containsText" text="Functioning At Risk">
      <formula>NOT(ISERROR(SEARCH("Functioning At Risk",I81)))</formula>
    </cfRule>
    <cfRule type="containsText" dxfId="161" priority="2" stopIfTrue="1" operator="containsText" text="Not Functioning">
      <formula>NOT(ISERROR(SEARCH("Not Functioning",I81)))</formula>
    </cfRule>
    <cfRule type="containsText" dxfId="160" priority="3" operator="containsText" text="Functioning">
      <formula>NOT(ISERROR(SEARCH("Functioning",I81)))</formula>
    </cfRule>
  </conditionalFormatting>
  <dataValidations xWindow="656" yWindow="505" count="13">
    <dataValidation allowBlank="1" showErrorMessage="1" sqref="B12 E46 E55 E78 E87"/>
    <dataValidation type="list" allowBlank="1" showErrorMessage="1" sqref="B13">
      <formula1>BedMaterial</formula1>
    </dataValidation>
    <dataValidation type="list" allowBlank="1" showErrorMessage="1" prompt="Select the dominant BEHI/NBS.  _x000a_If erosion rate was measured select blank. The user should only input a value for either BEHI/NBS or Erosion Rate, not both. " sqref="E52 E84">
      <formula1>BEHI.NBS</formula1>
    </dataValidation>
    <dataValidation type="list" allowBlank="1" showInputMessage="1" showErrorMessage="1" prompt="Value from Catchment Assessment" sqref="B7">
      <formula1>Level</formula1>
    </dataValidation>
    <dataValidation type="list" allowBlank="1" showErrorMessage="1" sqref="B11">
      <formula1>Region</formula1>
    </dataValidation>
    <dataValidation type="list" allowBlank="1" showInputMessage="1" showErrorMessage="1" sqref="B17">
      <formula1>RiverBasins</formula1>
    </dataValidation>
    <dataValidation type="list" allowBlank="1" showErrorMessage="1" prompt="If coldwater stream enter stream temperature in field value. If not a coldwater stream leave blank." sqref="B18">
      <formula1>WaterTypes</formula1>
    </dataValidation>
    <dataValidation allowBlank="1" showErrorMessage="1" prompt="Leave field value blank if not a coldwater stream." sqref="F71:F72 F65 F106 F103 F97"/>
    <dataValidation allowBlank="1" showErrorMessage="1" prompt="This measurement method should be used in combination with either Erosion Rate or Dominant BEHI/NBS." sqref="E53:E54 E85:E86"/>
    <dataValidation type="decimal" allowBlank="1" showInputMessage="1" showErrorMessage="1" sqref="E61:E62 E93:E94">
      <formula1>0</formula1>
      <formula2>5280</formula2>
    </dataValidation>
    <dataValidation allowBlank="1" showErrorMessage="1" prompt="Select catchment conditon level from the completed catchment assessment form. " sqref="E44:E45 E76:E77"/>
    <dataValidation allowBlank="1" showInputMessage="1" showErrorMessage="1" prompt="If values for both RIVPACS and WSII are provided, cell does not necessarily average scores to determine parameter score." sqref="G67:G68 G99:G100"/>
    <dataValidation type="decimal" allowBlank="1" showErrorMessage="1" prompt="The user should input a value for either basal area or density, not both. " sqref="E63:E64 E95:E96">
      <formula1>0</formula1>
      <formula2>5280</formula2>
    </dataValidation>
  </dataValidations>
  <pageMargins left="0.25" right="0.25" top="0.75" bottom="0.75" header="0.3" footer="0.3"/>
  <pageSetup scale="63" fitToHeight="0" orientation="landscape" r:id="rId1"/>
  <rowBreaks count="2" manualBreakCount="2">
    <brk id="40" max="16383" man="1"/>
    <brk id="72" max="16383"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97" stopIfTrue="1" operator="containsText" text="Functioning At Risk" id="{0ECA20A0-4989-4885-BB38-82282DB98CC2}">
            <xm:f>NOT(ISERROR(SEARCH("Functioning At Risk",'Monitoring Data'!I3)))</xm:f>
            <x14:dxf>
              <fill>
                <patternFill>
                  <bgColor rgb="FFFFFF00"/>
                </patternFill>
              </fill>
            </x14:dxf>
          </x14:cfRule>
          <xm:sqref>I19 I3</xm:sqref>
        </x14:conditionalFormatting>
        <x14:conditionalFormatting xmlns:xm="http://schemas.microsoft.com/office/excel/2006/main">
          <x14:cfRule type="containsText" priority="102" stopIfTrue="1" operator="containsText" text="Functioning At Risk" id="{0ECA20A0-4989-4885-BB38-82282DB98CC2}">
            <xm:f>NOT(ISERROR(SEARCH("Functioning At Risk",'Monitoring Data'!I25)))</xm:f>
            <x14:dxf>
              <fill>
                <patternFill>
                  <bgColor rgb="FFFFFF00"/>
                </patternFill>
              </fill>
            </x14:dxf>
          </x14:cfRule>
          <xm:sqref>I22 I24:I27</xm:sqref>
        </x14:conditionalFormatting>
        <x14:conditionalFormatting xmlns:xm="http://schemas.microsoft.com/office/excel/2006/main">
          <x14:cfRule type="containsText" priority="105" stopIfTrue="1" operator="containsText" text="Functioning At Risk" id="{0ECA20A0-4989-4885-BB38-82282DB98CC2}">
            <xm:f>NOT(ISERROR(SEARCH("Functioning At Risk",'Monitoring Data'!#REF!)))</xm:f>
            <x14:dxf>
              <fill>
                <patternFill>
                  <bgColor rgb="FFFFFF00"/>
                </patternFill>
              </fill>
            </x14:dxf>
          </x14:cfRule>
          <xm:sqref>J22:J27 J29 J31 J33</xm:sqref>
        </x14:conditionalFormatting>
        <x14:conditionalFormatting xmlns:xm="http://schemas.microsoft.com/office/excel/2006/main">
          <x14:cfRule type="containsText" priority="108" stopIfTrue="1" operator="containsText" text="Functioning At Risk" id="{0ECA20A0-4989-4885-BB38-82282DB98CC2}">
            <xm:f>NOT(ISERROR(SEARCH("Functioning At Risk",'Monitoring Data'!#REF!)))</xm:f>
            <x14:dxf>
              <fill>
                <patternFill>
                  <bgColor rgb="FFFFFF00"/>
                </patternFill>
              </fill>
            </x14:dxf>
          </x14:cfRule>
          <xm:sqref>J3:J19</xm:sqref>
        </x14:conditionalFormatting>
        <x14:conditionalFormatting xmlns:xm="http://schemas.microsoft.com/office/excel/2006/main">
          <x14:cfRule type="containsText" priority="132" stopIfTrue="1" operator="containsText" text="Functioning At Risk" id="{0ECA20A0-4989-4885-BB38-82282DB98CC2}">
            <xm:f>NOT(ISERROR(SEARCH("Functioning At Risk",'Monitoring Data'!I5)))</xm:f>
            <x14:dxf>
              <fill>
                <patternFill>
                  <bgColor rgb="FFFFFF00"/>
                </patternFill>
              </fill>
            </x14:dxf>
          </x14:cfRule>
          <xm:sqref>I81 I7:I9 I11:I14</xm:sqref>
        </x14:conditionalFormatting>
        <x14:conditionalFormatting xmlns:xm="http://schemas.microsoft.com/office/excel/2006/main">
          <x14:cfRule type="containsText" priority="150" stopIfTrue="1" operator="containsText" text="Functioning At Risk" id="{0ECA20A0-4989-4885-BB38-82282DB98CC2}">
            <xm:f>NOT(ISERROR(SEARCH("Functioning At Risk",'Monitoring Data'!I36)))</xm:f>
            <x14:dxf>
              <fill>
                <patternFill>
                  <bgColor rgb="FFFFFF00"/>
                </patternFill>
              </fill>
            </x14:dxf>
          </x14:cfRule>
          <xm:sqref>I43</xm:sqref>
        </x14:conditionalFormatting>
        <x14:conditionalFormatting xmlns:xm="http://schemas.microsoft.com/office/excel/2006/main">
          <x14:cfRule type="containsText" priority="228" stopIfTrue="1" operator="containsText" text="Functioning At Risk" id="{0ECA20A0-4989-4885-BB38-82282DB98CC2}">
            <xm:f>NOT(ISERROR(SEARCH("Functioning At Risk",'Monitoring Data'!#REF!)))</xm:f>
            <x14:dxf>
              <fill>
                <patternFill>
                  <bgColor rgb="FFFFFF00"/>
                </patternFill>
              </fill>
            </x14:dxf>
          </x14:cfRule>
          <xm:sqref>I4</xm:sqref>
        </x14:conditionalFormatting>
        <x14:conditionalFormatting xmlns:xm="http://schemas.microsoft.com/office/excel/2006/main">
          <x14:cfRule type="containsText" priority="231" stopIfTrue="1" operator="containsText" text="Functioning At Risk" id="{0ECA20A0-4989-4885-BB38-82282DB98CC2}">
            <xm:f>NOT(ISERROR(SEARCH("Functioning At Risk",'Monitoring Data'!#REF!)))</xm:f>
            <x14:dxf>
              <fill>
                <patternFill>
                  <bgColor rgb="FFFFFF00"/>
                </patternFill>
              </fill>
            </x14:dxf>
          </x14:cfRule>
          <xm:sqref>I6</xm:sqref>
        </x14:conditionalFormatting>
        <x14:conditionalFormatting xmlns:xm="http://schemas.microsoft.com/office/excel/2006/main">
          <x14:cfRule type="containsText" priority="234" stopIfTrue="1" operator="containsText" text="Functioning At Risk" id="{0ECA20A0-4989-4885-BB38-82282DB98CC2}">
            <xm:f>NOT(ISERROR(SEARCH("Functioning At Risk",'Monitoring Data'!#REF!)))</xm:f>
            <x14:dxf>
              <fill>
                <patternFill>
                  <bgColor rgb="FFFFFF00"/>
                </patternFill>
              </fill>
            </x14:dxf>
          </x14:cfRule>
          <xm:sqref>I29 I65</xm:sqref>
        </x14:conditionalFormatting>
        <x14:conditionalFormatting xmlns:xm="http://schemas.microsoft.com/office/excel/2006/main">
          <x14:cfRule type="containsText" priority="235" stopIfTrue="1" operator="containsText" text="Functioning At Risk" id="{0ECA20A0-4989-4885-BB38-82282DB98CC2}">
            <xm:f>NOT(ISERROR(SEARCH("Functioning At Risk",'Monitoring Data'!#REF!)))</xm:f>
            <x14:dxf>
              <fill>
                <patternFill>
                  <bgColor rgb="FFFFFF00"/>
                </patternFill>
              </fill>
            </x14:dxf>
          </x14:cfRule>
          <xm:sqref>I31 I66:I69</xm:sqref>
        </x14:conditionalFormatting>
        <x14:conditionalFormatting xmlns:xm="http://schemas.microsoft.com/office/excel/2006/main">
          <x14:cfRule type="containsText" priority="238" stopIfTrue="1" operator="containsText" text="Functioning At Risk" id="{0ECA20A0-4989-4885-BB38-82282DB98CC2}">
            <xm:f>NOT(ISERROR(SEARCH("Functioning At Risk",'Monitoring Data'!#REF!)))</xm:f>
            <x14:dxf>
              <fill>
                <patternFill>
                  <bgColor rgb="FFFFFF00"/>
                </patternFill>
              </fill>
            </x14:dxf>
          </x14:cfRule>
          <xm:sqref>I33</xm:sqref>
        </x14:conditionalFormatting>
        <x14:conditionalFormatting xmlns:xm="http://schemas.microsoft.com/office/excel/2006/main">
          <x14:cfRule type="containsText" priority="5" stopIfTrue="1" operator="containsText" text="Functioning At Risk" id="{9CB5CFA1-2CD3-43AB-9453-76CD509591C8}">
            <xm:f>NOT(ISERROR(SEARCH("Functioning At Risk",'Monitoring Data'!#REF!)))</xm:f>
            <x14:dxf>
              <fill>
                <patternFill>
                  <bgColor rgb="FFFFFF00"/>
                </patternFill>
              </fill>
            </x14:dxf>
          </x14:cfRule>
          <xm:sqref>I97</xm:sqref>
        </x14:conditionalFormatting>
        <x14:conditionalFormatting xmlns:xm="http://schemas.microsoft.com/office/excel/2006/main">
          <x14:cfRule type="containsText" priority="6" stopIfTrue="1" operator="containsText" text="Functioning At Risk" id="{D3FA476A-0BC5-408B-8588-8BF61510151A}">
            <xm:f>NOT(ISERROR(SEARCH("Functioning At Risk",'Monitoring Data'!#REF!)))</xm:f>
            <x14:dxf>
              <fill>
                <patternFill>
                  <bgColor rgb="FFFFFF00"/>
                </patternFill>
              </fill>
            </x14:dxf>
          </x14:cfRule>
          <xm:sqref>I98</xm:sqref>
        </x14:conditionalFormatting>
        <x14:conditionalFormatting xmlns:xm="http://schemas.microsoft.com/office/excel/2006/main">
          <x14:cfRule type="containsText" priority="338" stopIfTrue="1" operator="containsText" text="Functioning At Risk" id="{0ECA20A0-4989-4885-BB38-82282DB98CC2}">
            <xm:f>NOT(ISERROR(SEARCH("Functioning At Risk",'Monitoring Data'!I4)))</xm:f>
            <x14:dxf>
              <fill>
                <patternFill>
                  <bgColor rgb="FFFFFF00"/>
                </patternFill>
              </fill>
            </x14:dxf>
          </x14:cfRule>
          <xm:sqref>I5 I15:I18</xm:sqref>
        </x14:conditionalFormatting>
        <x14:conditionalFormatting xmlns:xm="http://schemas.microsoft.com/office/excel/2006/main">
          <x14:cfRule type="containsText" priority="346" stopIfTrue="1" operator="containsText" text="Functioning At Risk" id="{0ECA20A0-4989-4885-BB38-82282DB98CC2}">
            <xm:f>NOT(ISERROR(SEARCH("Functioning At Risk",'Monitoring Data'!I44)))</xm:f>
            <x14:dxf>
              <fill>
                <patternFill>
                  <bgColor rgb="FFFFFF00"/>
                </patternFill>
              </fill>
            </x14:dxf>
          </x14:cfRule>
          <xm:sqref>I49</xm:sqref>
        </x14:conditionalFormatting>
      </x14:conditionalFormattings>
    </ext>
    <ext xmlns:x14="http://schemas.microsoft.com/office/spreadsheetml/2009/9/main" uri="{CCE6A557-97BC-4b89-ADB6-D9C93CAAB3DF}">
      <x14:dataValidations xmlns:xm="http://schemas.microsoft.com/office/excel/2006/main" xWindow="656" yWindow="505" count="6">
        <x14:dataValidation type="list" allowBlank="1" showInputMessage="1" showErrorMessage="1">
          <x14:formula1>
            <xm:f>'Pull Down Notes'!$B$58:$B$61</xm:f>
          </x14:formula1>
          <xm:sqref>B10</xm:sqref>
        </x14:dataValidation>
        <x14:dataValidation type="list" allowBlank="1" showInputMessage="1" showErrorMessage="1">
          <x14:formula1>
            <xm:f>'Pull Down Notes'!$B$134:$B$137</xm:f>
          </x14:formula1>
          <xm:sqref>B21</xm:sqref>
        </x14:dataValidation>
        <x14:dataValidation type="list" allowBlank="1" showInputMessage="1" showErrorMessage="1">
          <x14:formula1>
            <xm:f>'Pull Down Notes'!$B$129:$B$132</xm:f>
          </x14:formula1>
          <xm:sqref>B19</xm:sqref>
        </x14:dataValidation>
        <x14:dataValidation type="list" allowBlank="1" showInputMessage="1" showErrorMessage="1">
          <x14:formula1>
            <xm:f>'Pull Down Notes'!$B$123:$B$127</xm:f>
          </x14:formula1>
          <xm:sqref>B20</xm:sqref>
        </x14:dataValidation>
        <x14:dataValidation type="list" allowBlank="1" showErrorMessage="1">
          <x14:formula1>
            <xm:f>'Pull Down Notes'!$B$2:$B$11</xm:f>
          </x14:formula1>
          <xm:sqref>B8</xm:sqref>
        </x14:dataValidation>
        <x14:dataValidation type="list" allowBlank="1" showInputMessage="1" showErrorMessage="1" prompt="Value from Project Assessment ">
          <x14:formula1>
            <xm:f>'Pull Down Notes'!$B$2:$B$11</xm:f>
          </x14:formula1>
          <xm:sqref>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9"/>
  <sheetViews>
    <sheetView zoomScale="70" zoomScaleNormal="70" workbookViewId="0">
      <selection activeCell="E41" sqref="E41:E56"/>
    </sheetView>
  </sheetViews>
  <sheetFormatPr defaultColWidth="8.85546875" defaultRowHeight="15" x14ac:dyDescent="0.25"/>
  <cols>
    <col min="1" max="2" width="28.85546875" style="317" customWidth="1"/>
    <col min="3" max="3" width="22.140625" style="317" customWidth="1"/>
    <col min="4" max="4" width="20.5703125" style="317" customWidth="1"/>
    <col min="5" max="6" width="13" style="317" customWidth="1"/>
    <col min="7" max="8" width="15.7109375" style="317" customWidth="1"/>
    <col min="9" max="9" width="15.7109375" style="414" customWidth="1"/>
    <col min="10" max="10" width="18.5703125" style="2" customWidth="1"/>
    <col min="11" max="11" width="13.7109375" style="2" customWidth="1"/>
    <col min="12" max="16384" width="8.85546875" style="2"/>
  </cols>
  <sheetData>
    <row r="1" spans="1:13" ht="21" x14ac:dyDescent="0.35">
      <c r="A1" s="554" t="s">
        <v>131</v>
      </c>
      <c r="B1" s="555"/>
      <c r="C1" s="555"/>
      <c r="D1" s="555"/>
      <c r="E1" s="555"/>
      <c r="F1" s="556"/>
      <c r="G1" s="554" t="s">
        <v>14</v>
      </c>
      <c r="H1" s="555"/>
      <c r="I1" s="556"/>
      <c r="J1" s="5"/>
    </row>
    <row r="2" spans="1:13" ht="15.75" x14ac:dyDescent="0.25">
      <c r="A2" s="53" t="s">
        <v>1</v>
      </c>
      <c r="B2" s="53" t="s">
        <v>2</v>
      </c>
      <c r="C2" s="327" t="s">
        <v>3</v>
      </c>
      <c r="D2" s="328"/>
      <c r="E2" s="53" t="s">
        <v>12</v>
      </c>
      <c r="F2" s="53" t="s">
        <v>13</v>
      </c>
      <c r="G2" s="53" t="s">
        <v>15</v>
      </c>
      <c r="H2" s="53" t="s">
        <v>16</v>
      </c>
      <c r="I2" s="413" t="s">
        <v>16</v>
      </c>
      <c r="J2" s="5"/>
    </row>
    <row r="3" spans="1:13" ht="15.75" x14ac:dyDescent="0.25">
      <c r="A3" s="540" t="s">
        <v>345</v>
      </c>
      <c r="B3" s="485" t="s">
        <v>128</v>
      </c>
      <c r="C3" s="287" t="s">
        <v>341</v>
      </c>
      <c r="D3" s="288"/>
      <c r="E3" s="142"/>
      <c r="F3" s="335" t="str">
        <f>IF(E3="","",IF(E3&gt;=80,0,IF(E3&lt;=40,1,IF(E3&gt;=68,ROUND(E3*'Reference Curves'!$C$14+'Reference Curves'!$C$15,2),ROUND(E3*'Reference Curves'!$D$14+'Reference Curves'!$D$15,2)))))</f>
        <v/>
      </c>
      <c r="G3" s="501" t="str">
        <f>IFERROR(AVERAGE(F3:F4),"")</f>
        <v/>
      </c>
      <c r="H3" s="501" t="str">
        <f>IFERROR(ROUND(AVERAGE(G3:G7),2),"")</f>
        <v/>
      </c>
      <c r="I3" s="504" t="str">
        <f>IF(H3="","",IF(H3:H7&gt;0.69,"Functioning",IF(H3&gt;0.29,"Functioning At Risk",IF(H3&gt;-1,"Not Functioning"))))</f>
        <v/>
      </c>
      <c r="J3" s="5"/>
      <c r="L3" s="4"/>
    </row>
    <row r="4" spans="1:13" ht="15.75" x14ac:dyDescent="0.25">
      <c r="A4" s="541"/>
      <c r="B4" s="486"/>
      <c r="C4" s="289" t="s">
        <v>129</v>
      </c>
      <c r="D4" s="145"/>
      <c r="E4" s="143"/>
      <c r="F4" s="291" t="str">
        <f>IF(E4="","",   IF(E4&gt;3.22,0, IF(E4&lt;0, "", ROUND('Reference Curves'!$C$44*E4+'Reference Curves'!$C$45,2))))</f>
        <v/>
      </c>
      <c r="G4" s="503"/>
      <c r="H4" s="502"/>
      <c r="I4" s="505"/>
      <c r="J4" s="5"/>
      <c r="L4" s="4"/>
    </row>
    <row r="5" spans="1:13" ht="14.45" customHeight="1" x14ac:dyDescent="0.25">
      <c r="A5" s="541"/>
      <c r="B5" s="290" t="s">
        <v>140</v>
      </c>
      <c r="C5" s="543" t="s">
        <v>237</v>
      </c>
      <c r="D5" s="544"/>
      <c r="E5" s="144"/>
      <c r="F5" s="291" t="str">
        <f>IF(E5="","",IF(OR(E5&gt;=2,E5&lt;=0.26),0,IF(AND(E5&gt;=0.9,E5&lt;=1.1),1,ROUND(IF(E5&lt;0.9,'Reference Curves'!$C$75*E5+'Reference Curves'!$C$76,'Reference Curves'!$D$75*E5+'Reference Curves'!$D$76),2))))</f>
        <v/>
      </c>
      <c r="G5" s="310" t="str">
        <f>IFERROR(F5,"")</f>
        <v/>
      </c>
      <c r="H5" s="502"/>
      <c r="I5" s="505"/>
      <c r="J5" s="5"/>
      <c r="L5" s="4"/>
      <c r="M5" s="4"/>
    </row>
    <row r="6" spans="1:13" ht="15.75" x14ac:dyDescent="0.25">
      <c r="A6" s="541"/>
      <c r="B6" s="485" t="s">
        <v>5</v>
      </c>
      <c r="C6" s="145" t="s">
        <v>6</v>
      </c>
      <c r="D6" s="145"/>
      <c r="E6" s="140"/>
      <c r="F6" s="336" t="str">
        <f>IF(E6="","",ROUND(IF(E6&gt;1.71,0,IF(E6&lt;=1,1,E6*'Reference Curves'!C$107+'Reference Curves'!C$108)),2))</f>
        <v/>
      </c>
      <c r="G6" s="501" t="str">
        <f>IFERROR(AVERAGE(F6:F7),"")</f>
        <v/>
      </c>
      <c r="H6" s="502"/>
      <c r="I6" s="505"/>
      <c r="J6" s="5"/>
      <c r="L6" s="4"/>
      <c r="M6" s="4"/>
    </row>
    <row r="7" spans="1:13" ht="15.75" x14ac:dyDescent="0.25">
      <c r="A7" s="542"/>
      <c r="B7" s="486"/>
      <c r="C7" s="146" t="s">
        <v>7</v>
      </c>
      <c r="D7" s="146"/>
      <c r="E7" s="143"/>
      <c r="F7" s="147" t="str">
        <f>IF(E7="","",IF(OR('Quantification Tool'!$B$9="A",'Quantification Tool'!$B$9="Ba",'Quantification Tool'!$B$9="B", 'Quantification Tool'!$B$9="Bc"),IF(E7&lt;1.05,0,IF(E7&gt;=2.2,1,ROUND(IF(E7&lt;1.4,E7*'Reference Curves'!$C$176+'Reference Curves'!$C$177,E7*'Reference Curves'!$D$176+'Reference Curves'!$D$177),2))),IF(OR('Quantification Tool'!$B$9="C",'Quantification Tool'!$B$9="Cb",'Quantification Tool'!$B$9="E"),IF(E7&lt;1.7,0,IF(E7&gt;=5,1,ROUND(IF(E7&lt;2.4,E7*'Reference Curves'!$D$141+'Reference Curves'!$D$142,E7*'Reference Curves'!$C$141+'Reference Curves'!$C$142),2))))))</f>
        <v/>
      </c>
      <c r="G7" s="503"/>
      <c r="H7" s="503"/>
      <c r="I7" s="506"/>
      <c r="J7" s="5"/>
      <c r="L7" s="4"/>
      <c r="M7" s="4"/>
    </row>
    <row r="8" spans="1:13" ht="15.75" x14ac:dyDescent="0.25">
      <c r="A8" s="465" t="s">
        <v>20</v>
      </c>
      <c r="B8" s="465" t="s">
        <v>21</v>
      </c>
      <c r="C8" s="34" t="s">
        <v>19</v>
      </c>
      <c r="D8" s="148"/>
      <c r="E8" s="142"/>
      <c r="F8" s="149" t="str">
        <f>IF(E8="","",IF(E8&gt;=660,1,IF(E8&lt;=430,ROUND('Reference Curves'!$K$14*E8+'Reference Curves'!$K$15,2),ROUND('Reference Curves'!$L$14*E8+'Reference Curves'!$L$15,2))))</f>
        <v/>
      </c>
      <c r="G8" s="455" t="str">
        <f>IFERROR(AVERAGE(F8:F9),"")</f>
        <v/>
      </c>
      <c r="H8" s="455" t="str">
        <f>IFERROR(ROUND(AVERAGE(G8:G23),2),"")</f>
        <v/>
      </c>
      <c r="I8" s="458" t="str">
        <f>IF(H8="","",IF(H8&gt;0.69,"Functioning",IF(H8&gt;0.29,"Functioning At Risk",IF(H8&gt;-1,"Not Functioning"))))</f>
        <v/>
      </c>
      <c r="J8" s="5"/>
      <c r="L8" s="4"/>
      <c r="M8" s="4"/>
    </row>
    <row r="9" spans="1:13" ht="15.75" x14ac:dyDescent="0.25">
      <c r="A9" s="462"/>
      <c r="B9" s="463"/>
      <c r="C9" s="279" t="s">
        <v>346</v>
      </c>
      <c r="D9" s="151"/>
      <c r="E9" s="140"/>
      <c r="F9" s="337" t="str">
        <f>IF(E9="","",IF(E9&gt;=28,1,ROUND(IF(E9&lt;=13,'Reference Curves'!$K$47*E9,'Reference Curves'!$L$47*E9+'Reference Curves'!$L$48),2)))</f>
        <v/>
      </c>
      <c r="G9" s="457"/>
      <c r="H9" s="456"/>
      <c r="I9" s="459"/>
      <c r="J9" s="5"/>
      <c r="L9" s="4"/>
      <c r="M9" s="4"/>
    </row>
    <row r="10" spans="1:13" ht="15.75" x14ac:dyDescent="0.25">
      <c r="A10" s="462"/>
      <c r="B10" s="461" t="s">
        <v>402</v>
      </c>
      <c r="C10" s="148" t="s">
        <v>250</v>
      </c>
      <c r="D10" s="277"/>
      <c r="E10" s="142"/>
      <c r="F10" s="385" t="str">
        <f>IF(E10="","",ROUND(IF(E10&lt;=2,0,IF(E10&gt;=9,1,E10^3*'Reference Curves'!K$81+E10^2*'Reference Curves'!$K$82+E10*'Reference Curves'!$K$83+'Reference Curves'!$K$84)),2))</f>
        <v/>
      </c>
      <c r="G10" s="455" t="str">
        <f>IFERROR(AVERAGE(F10:F13),"")</f>
        <v/>
      </c>
      <c r="H10" s="456"/>
      <c r="I10" s="459"/>
      <c r="J10" s="5"/>
      <c r="L10" s="4"/>
      <c r="M10" s="4"/>
    </row>
    <row r="11" spans="1:13" ht="15.75" x14ac:dyDescent="0.25">
      <c r="A11" s="462"/>
      <c r="B11" s="462"/>
      <c r="C11" s="151" t="s">
        <v>43</v>
      </c>
      <c r="D11" s="151"/>
      <c r="E11" s="140"/>
      <c r="F11" s="339" t="str">
        <f>IF(E11="","",IF(OR(E11="Ex/Ex",E11="Ex/VH",E11="Ex/H",E11="Ex/M",E11="VH/Ex",E11="VH/VH", E11="H/Ex",E11="H/VH"),0, IF(OR(E11="M/Ex"),0.1,IF(OR(E11="VH/H",E11="VH/M",E11="H/H",E11="H/M", E11="M/VH"),0.2, IF(OR(E11="Ex/VL",E11="Ex/L", E11="M/H"),0.3, IF(OR(E11="VH/L",E11="H/L"),0.4, IF(OR(E11="VH/VL",E11="H/VL",E11="M/M"),0.5, IF(OR(E11="M/L",E11="L/Ex"),0.6, IF(OR(E11="M/VL",E11="L/VH", E11="L/H",E11="L/M",E11="L/L",E11="L/VL"),1)))))))))</f>
        <v/>
      </c>
      <c r="G11" s="456"/>
      <c r="H11" s="456"/>
      <c r="I11" s="459"/>
      <c r="J11" s="5"/>
      <c r="L11" s="4"/>
      <c r="M11" s="4"/>
    </row>
    <row r="12" spans="1:13" ht="15.75" x14ac:dyDescent="0.25">
      <c r="A12" s="462"/>
      <c r="B12" s="462"/>
      <c r="C12" s="368" t="s">
        <v>87</v>
      </c>
      <c r="D12" s="368"/>
      <c r="E12" s="140"/>
      <c r="F12" s="339" t="str">
        <f>IF(E12="","",ROUND(IF(E12&gt;=75,0,IF(E12&lt;=5,1,IF(E12&gt;10,E12*'Reference Curves'!K$115+'Reference Curves'!K$116,'Reference Curves'!$L$115*E12+'Reference Curves'!$L$116))),2))</f>
        <v/>
      </c>
      <c r="G12" s="456"/>
      <c r="H12" s="456"/>
      <c r="I12" s="459"/>
      <c r="J12" s="5"/>
      <c r="L12" s="4"/>
      <c r="M12" s="4"/>
    </row>
    <row r="13" spans="1:13" s="317" customFormat="1" ht="15.75" x14ac:dyDescent="0.25">
      <c r="A13" s="462"/>
      <c r="B13" s="463"/>
      <c r="C13" s="371" t="s">
        <v>401</v>
      </c>
      <c r="D13" s="278"/>
      <c r="E13" s="143"/>
      <c r="F13" s="386" t="str">
        <f>IF(E13="","",IF(E13&gt;=30,0,ROUND(E13*'Reference Curves'!$K$146+'Reference Curves'!$K$147,2)))</f>
        <v/>
      </c>
      <c r="G13" s="457"/>
      <c r="H13" s="456"/>
      <c r="I13" s="459"/>
      <c r="J13" s="5"/>
      <c r="L13" s="4"/>
      <c r="M13" s="4"/>
    </row>
    <row r="14" spans="1:13" ht="15.75" x14ac:dyDescent="0.25">
      <c r="A14" s="462"/>
      <c r="B14" s="361" t="s">
        <v>105</v>
      </c>
      <c r="C14" s="33" t="s">
        <v>130</v>
      </c>
      <c r="D14" s="151"/>
      <c r="E14" s="143"/>
      <c r="F14" s="332" t="str">
        <f>IF(OR(E14="",'Quantification Tool'!$B$13=""),"",IF(OR('Quantification Tool'!$B$13="Silt/Clay",'Quantification Tool'!$B$13="Sand",'Quantification Tool'!$B$13="Boulders",'Quantification Tool'!$B$13="Bedrock"),"NA",IF(E14&gt;0.1,1,IF(E14&lt;=0.01,0,ROUND(E14*'Reference Curves'!$K$177+'Reference Curves'!$K$178,2)))))</f>
        <v/>
      </c>
      <c r="G14" s="153" t="str">
        <f>IFERROR(AVERAGE(F14),"")</f>
        <v/>
      </c>
      <c r="H14" s="456"/>
      <c r="I14" s="459"/>
      <c r="J14" s="5"/>
      <c r="L14" s="4"/>
      <c r="M14" s="4"/>
    </row>
    <row r="15" spans="1:13" ht="15.75" x14ac:dyDescent="0.25">
      <c r="A15" s="462"/>
      <c r="B15" s="465" t="s">
        <v>45</v>
      </c>
      <c r="C15" s="148" t="s">
        <v>46</v>
      </c>
      <c r="D15" s="148"/>
      <c r="E15" s="142"/>
      <c r="F15" s="155" t="str">
        <f>IF(E15="","",IF('Quantification Tool'!$B$9="Bc",IF(OR(E15&gt;=12,E15&lt;=0.1),0,IF(E15&lt;=3.4,1,ROUND('Reference Curves'!$K$310*E15+'Reference Curves'!$K$311,2))),  IF(OR('Quantification Tool'!$B$9="B",'Quantification Tool'!$B$9="Ba"),IF(OR(E15&gt;=7.5,E15&lt;=0.1),0,IF(E15&lt;=3,1,ROUND(IF(E15&gt;4,'Reference Curves'!$K$279*E15+'Reference Curves'!$K$280,'Reference Curves'!$L$279*E15+'Reference Curves'!$L$280),2))),  IF('Quantification Tool'!$B$9="Cb",IF(OR(E15&gt;=8.35,E15&lt;1.4),0,IF(AND(E15&gt;=3.7,E15&lt;=5),1,ROUND(IF(E15&lt;3.7,'Reference Curves'!$K$247*E15+'Reference Curves'!$K$248,'Reference Curves'!$L$247*E15+'Reference Curves'!$L$248),2))),  IF('Quantification Tool'!$B$9="C",IF(OR(E15&gt;9.3,E15&lt;=3),0,IF(AND(E15&gt;=4,E15&lt;=6),1,ROUND(IF(E15&lt;4,'Reference Curves'!$K$213*E15+'Reference Curves'!$K$214,'Reference Curves'!$L$213*E15+'Reference Curves'!$L$214),2))),  IF('Quantification Tool'!$B$9="E",IF(OR(E15&gt;8.2,E15&lt;1.85),0,IF(AND(E15&gt;=3.5,E15&lt;=5),1,ROUND(IF(E15&lt;3.5,'Reference Curves'!$K$343*E15+'Reference Curves'!$K$344,'Reference Curves'!$L$343*E15+'Reference Curves'!$L$344),2)))      ))))))</f>
        <v/>
      </c>
      <c r="G15" s="480" t="str">
        <f>IFERROR(AVERAGE(F15:F18),"")</f>
        <v/>
      </c>
      <c r="H15" s="456"/>
      <c r="I15" s="459"/>
      <c r="J15" s="5"/>
      <c r="L15" s="4"/>
      <c r="M15" s="4"/>
    </row>
    <row r="16" spans="1:13" ht="15.75" x14ac:dyDescent="0.25">
      <c r="A16" s="462"/>
      <c r="B16" s="462"/>
      <c r="C16" s="151" t="s">
        <v>47</v>
      </c>
      <c r="D16" s="151"/>
      <c r="E16" s="140"/>
      <c r="F16" s="156" t="str">
        <f>IF(E16="","",IF(E16&lt;=1,0,IF(E16&gt;=3.2,1,IF(E16&gt;=2.2,ROUND('Reference Curves'!$L$375*E16+'Reference Curves'!$L$376,2),(ROUND('Reference Curves'!$K$375*E16+'Reference Curves'!$K$376,2))))))</f>
        <v/>
      </c>
      <c r="G16" s="464"/>
      <c r="H16" s="456"/>
      <c r="I16" s="459"/>
      <c r="J16" s="5"/>
      <c r="L16" s="4"/>
      <c r="M16" s="4"/>
    </row>
    <row r="17" spans="1:13" ht="15.75" x14ac:dyDescent="0.25">
      <c r="A17" s="462"/>
      <c r="B17" s="462"/>
      <c r="C17" s="31" t="s">
        <v>356</v>
      </c>
      <c r="D17" s="151"/>
      <c r="E17" s="140"/>
      <c r="F17" s="362" t="str">
        <f>IF(E17="","",IF('Quantification Tool'!$B$11="Volcanic Mountains &amp; Valleys", IF(OR(E17&gt;86.65,E17&lt;33),0,IF(AND(E17&gt;=73,E17&lt;=80),1, ROUND(IF(E17&lt;73,'Reference Curves'!$K$408*E17+'Reference Curves'!$K$409, 'Reference Curves'!$L$408*E17+'Reference Curves'!$L$409),2))), IF('Quantification Tool'!B$16="","Need Slope",IF('Quantification Tool'!B$16&lt;3,IF( OR(E17&gt;=91,E17&lt;=13.5),0, IF(AND(E17&gt;49,E17&lt;61), 1, ROUND(IF(E17&lt;50,'Reference Curves'!$K$441*E17+'Reference Curves'!$K$442, IF(E17&gt;60,'Reference Curves'!$L$441*E17+'Reference Curves'!$L$442)),2))), IF('Quantification Tool'!B$16&gt;=3,IF(OR(E17&gt;94.5,E17&lt;41.5),0, IF(AND(E17 &gt;=68, E17&lt;=78),1, ROUND(IF(E17&lt;68,'Reference Curves'!$K$475*E17+'Reference Curves'!$K$476,'Reference Curves'!$L$475*E17+'Reference Curves'!$L$476),2) )))))))</f>
        <v/>
      </c>
      <c r="G17" s="464"/>
      <c r="H17" s="456"/>
      <c r="I17" s="459"/>
      <c r="J17" s="5"/>
      <c r="L17" s="4"/>
      <c r="M17" s="4"/>
    </row>
    <row r="18" spans="1:13" ht="15.75" x14ac:dyDescent="0.25">
      <c r="A18" s="462"/>
      <c r="B18" s="463"/>
      <c r="C18" s="150" t="s">
        <v>213</v>
      </c>
      <c r="D18" s="150"/>
      <c r="E18" s="143"/>
      <c r="F18" s="360" t="str">
        <f>IF(E18="","",IF(E18&gt;=1.6,0,IF(E18&lt;=1,1,ROUND('Reference Curves'!$K$506*E18^3+'Reference Curves'!$K$507*E18^2+'Reference Curves'!$K$508*E18+'Reference Curves'!$K$509,2))))</f>
        <v/>
      </c>
      <c r="G18" s="481"/>
      <c r="H18" s="456"/>
      <c r="I18" s="459"/>
      <c r="J18" s="5"/>
      <c r="L18" s="4"/>
      <c r="M18" s="4"/>
    </row>
    <row r="19" spans="1:13" ht="15.75" x14ac:dyDescent="0.25">
      <c r="A19" s="462"/>
      <c r="B19" s="361" t="s">
        <v>49</v>
      </c>
      <c r="C19" s="151" t="s">
        <v>48</v>
      </c>
      <c r="D19" s="151"/>
      <c r="E19" s="140"/>
      <c r="F19" s="341" t="str">
        <f>IF(E19="","",IF('Quantification Tool'!B$9="E",IF(OR(E19&gt;2.14,E19&lt;1.13),0, IF(AND(E19&gt;=1.3, E19&lt;=1.8),1, ROUND(IF(E19&lt;1.3,E19*'Reference Curves'!K$542+'Reference Curves'!K$543, E19*'Reference Curves'!L$542+'Reference Curves'!$L$543),2))),    IF('Quantification Tool'!$B$21="Unconfined Alluvial",IF(OR(E19&lt;1.12, E19&gt;1.67),0, IF(AND(E19&lt;=1.5,E19&gt;=1.2),1,ROUND(IF(E19&lt;1.2,E19*'Reference Curves'!$K$575+'Reference Curves'!$K$576, E19*'Reference Curves'!$L$575+'Reference Curves'!$L$576),2))),  IF('Quantification Tool'!$B$21="Confined Alluvial",IF(E19&lt;=1,0, IF(E19&gt;=1.2,1, ROUND(E19*'Reference Curves'!$K$604+'Reference Curves'!$K$605,2))),    IF('Quantification Tool'!$B$21="Colluvial/V-Shaped",IF(OR(E19&lt;1, E19&gt;1.47),0, IF(AND(E19&lt;=1.3,E19&gt;=1.1),1,ROUND(IF(E19&lt;1.1,E19*'Reference Curves'!$K$637+'Reference Curves'!$K$638, E19*'Reference Curves'!$L$637+'Reference Curves'!$L$638),2)))  )))))</f>
        <v/>
      </c>
      <c r="G19" s="156" t="str">
        <f>IFERROR(AVERAGE(F19),"")</f>
        <v/>
      </c>
      <c r="H19" s="456"/>
      <c r="I19" s="459"/>
      <c r="J19" s="5"/>
      <c r="L19" s="4"/>
      <c r="M19" s="4"/>
    </row>
    <row r="20" spans="1:13" ht="15.75" x14ac:dyDescent="0.25">
      <c r="A20" s="462"/>
      <c r="B20" s="465" t="s">
        <v>44</v>
      </c>
      <c r="C20" s="32" t="s">
        <v>344</v>
      </c>
      <c r="D20" s="148"/>
      <c r="E20" s="142"/>
      <c r="F20" s="365" t="str">
        <f>IF(E20="","",IF('Quantification Tool'!$B$21="Unconfined Alluvial",IF(E20&gt;=100,1,IF(E20&lt;30,0,ROUND('Reference Curves'!$K$668*E20+'Reference Curves'!$K$669,2))),IF(OR('Quantification Tool'!$B$21="Confined Alluvial",'Quantification Tool'!$B$21="Colluvial/V-Shaped"),(IF(E20&gt;=100,1,IF(E20&lt;60,0,ROUND('Reference Curves'!$L$668*E20+'Reference Curves'!$L$669,2)))))))</f>
        <v/>
      </c>
      <c r="G20" s="480" t="str">
        <f>IFERROR(AVERAGE(F20:F23),"")</f>
        <v/>
      </c>
      <c r="H20" s="456"/>
      <c r="I20" s="459"/>
      <c r="J20" s="5"/>
      <c r="L20" s="4"/>
      <c r="M20" s="4"/>
    </row>
    <row r="21" spans="1:13" ht="15.75" x14ac:dyDescent="0.25">
      <c r="A21" s="462"/>
      <c r="B21" s="462"/>
      <c r="C21" s="279" t="s">
        <v>390</v>
      </c>
      <c r="D21" s="151"/>
      <c r="E21" s="140"/>
      <c r="F21" s="156" t="str">
        <f>IF(E21="","",  IF(OR('Quantification Tool'!$B$10="Mountains",'Quantification Tool'!$B$10="Basins"),IF(E21&lt;=0,0, IF(E21&gt;=122,1,ROUND('Reference Curves'!$K$700*E21^2+'Reference Curves'!$K$701*E21+'Reference Curves'!$K$702,2))),   IF('Quantification Tool'!$B$10="Plains",IF(OR(E21&lt;=0,E21&gt;114),0, IF(AND(E21&lt;=69,E21&gt;=59),1, IF(E21&lt;59, ROUND(E21*'Reference Curves'!$K$735+'Reference Curves'!$K$736,2), ROUND(E21*'Reference Curves'!$L$735+'Reference Curves'!$L$736,2) )) ))))</f>
        <v/>
      </c>
      <c r="G21" s="464"/>
      <c r="H21" s="456"/>
      <c r="I21" s="459"/>
      <c r="J21" s="5"/>
      <c r="L21" s="4"/>
      <c r="M21" s="4"/>
    </row>
    <row r="22" spans="1:13" ht="15.75" x14ac:dyDescent="0.25">
      <c r="A22" s="462"/>
      <c r="B22" s="466"/>
      <c r="C22" s="279" t="s">
        <v>391</v>
      </c>
      <c r="D22" s="151"/>
      <c r="E22" s="140"/>
      <c r="F22" s="156" t="str">
        <f>IF(E22="","",IF('Quantification Tool'!$B$19="Herbaceous", IF(E22&lt;=30,0,IF(E22&gt;=117,1, ROUND(E22*'Reference Curves'!$L$767+'Reference Curves'!$L$768,2))),  IF(E22&lt;=0,0, IF(E22&gt;=77,1, ROUND(E22*'Reference Curves'!$K$767+'Reference Curves'!$K$768,2)))  ))</f>
        <v/>
      </c>
      <c r="G22" s="464"/>
      <c r="H22" s="456"/>
      <c r="I22" s="459"/>
      <c r="J22" s="5"/>
      <c r="L22" s="4"/>
      <c r="M22" s="4"/>
    </row>
    <row r="23" spans="1:13" s="317" customFormat="1" ht="15.75" x14ac:dyDescent="0.25">
      <c r="A23" s="463"/>
      <c r="B23" s="463"/>
      <c r="C23" s="467" t="s">
        <v>400</v>
      </c>
      <c r="D23" s="467"/>
      <c r="E23" s="143"/>
      <c r="F23" s="384" t="str">
        <f>IF(E23="","",IF(E23&lt;=46,0,IF(E23&gt;=100,1,IF(E23&lt;=91,ROUND(E23*'Reference Curves'!$L$799+'Reference Curves'!$L$800,2),ROUND(E23*'Reference Curves'!$K$799+'Reference Curves'!$K$800,2)))))</f>
        <v/>
      </c>
      <c r="G23" s="481"/>
      <c r="H23" s="457"/>
      <c r="I23" s="460"/>
      <c r="J23" s="5"/>
      <c r="L23" s="4"/>
      <c r="M23" s="4"/>
    </row>
    <row r="24" spans="1:13" ht="15.75" x14ac:dyDescent="0.25">
      <c r="A24" s="496" t="s">
        <v>53</v>
      </c>
      <c r="B24" s="313" t="s">
        <v>80</v>
      </c>
      <c r="C24" s="60" t="s">
        <v>347</v>
      </c>
      <c r="D24" s="292"/>
      <c r="E24" s="140"/>
      <c r="F24" s="357" t="str">
        <f>IF(E24="","",IF('Quantification Tool'!$B$18="","Enter Stream Temperature",IF('Quantification Tool'!$B$18="Tier I (Cold) ",IF(E24&gt;=20.1,0,IF(E24&lt;=13.5,1,ROUND(E24*'Reference Curves'!$S$18+'Reference Curves'!$S$19,2))),IF('Quantification Tool'!$B$18="Tier II (Cold-Cool)",IF(E24&gt;=20.5,0,IF(E24&lt;=16.5,1,ROUND(E24*'Reference Curves'!$T$18+'Reference Curves'!$T$19,2))),IF('Quantification Tool'!$B$18="Tier III (Cool) ",IF(E24&gt;=23.6,0,IF(E24&lt;=18.3,1,ROUND(E24*'Reference Curves'!$U$18+'Reference Curves'!$U$19,2))),IF('Quantification Tool'!$B$18="Tier IV (Cool-Warm)",IF(E24&gt;=27.2,0,IF(E24&lt;=23.2,1,ROUND(E24*'Reference Curves'!$V$18+'Reference Curves'!$V$19,2))),IF('Quantification Tool'!$B$18="Tier V (Warm)",IF(E24&gt;=30.3,0,IF(E24&lt;=26,1,ROUND(E24*'Reference Curves'!$W$18+'Reference Curves'!$W$19,2))))))))))</f>
        <v/>
      </c>
      <c r="G24" s="309" t="str">
        <f>IF(F24="","", ROUND(AVERAGE(F24),2))</f>
        <v/>
      </c>
      <c r="H24" s="478" t="str">
        <f>IFERROR(ROUND(AVERAGE(G24:G25),2),"")</f>
        <v/>
      </c>
      <c r="I24" s="473" t="str">
        <f>IF(H24="","",IF(H24&gt;0.69,"Functioning",IF(H24&gt;0.29,"Functioning At Risk",IF(H24&gt;-1,"Not Functioning"))))</f>
        <v/>
      </c>
      <c r="J24" s="5"/>
      <c r="L24" s="4"/>
      <c r="M24" s="4"/>
    </row>
    <row r="25" spans="1:13" ht="15.75" x14ac:dyDescent="0.25">
      <c r="A25" s="497"/>
      <c r="B25" s="308" t="s">
        <v>249</v>
      </c>
      <c r="C25" s="35" t="s">
        <v>357</v>
      </c>
      <c r="D25" s="160"/>
      <c r="E25" s="106"/>
      <c r="F25" s="161" t="str">
        <f>IF(E25="","",IF(OR('Quantification Tool'!$B$10="Basins",'Quantification Tool'!$B$10="Plains"),IF(E25&gt;=150,0,IF(E25&lt;16,1,ROUND('Reference Curves'!$S$53*LN(E25)+'Reference Curves'!$S$54,2))),IF(E25&gt;=97,0,IF(E25&lt;=13,1,ROUND('Reference Curves'!$T$53*LN(E25)+'Reference Curves'!$T$54,2)))))</f>
        <v/>
      </c>
      <c r="G25" s="162" t="str">
        <f>IFERROR(AVERAGE(F25),"")</f>
        <v/>
      </c>
      <c r="H25" s="479"/>
      <c r="I25" s="473"/>
      <c r="J25" s="5"/>
      <c r="L25" s="4"/>
      <c r="M25" s="4"/>
    </row>
    <row r="26" spans="1:13" ht="15.75" x14ac:dyDescent="0.25">
      <c r="A26" s="508" t="s">
        <v>54</v>
      </c>
      <c r="B26" s="511" t="s">
        <v>189</v>
      </c>
      <c r="C26" s="163" t="s">
        <v>186</v>
      </c>
      <c r="D26" s="164"/>
      <c r="E26" s="142"/>
      <c r="F26" s="165" t="str">
        <f>IF(E26="","",IF('Quantification Tool'!$B$11="","Enter Bioregion",IF('Quantification Tool'!$B$11="Wyoming Basin",IF(E26&lt;=5.3,0,IF(E26&gt;=64.5,1,ROUND(IF(E26&lt;26.2,'Reference Curves'!$AB$17*E26+'Reference Curves'!$AB$18,IF(E26&lt;39.9, 'Reference Curves'!$AC$17*E26+'Reference Curves'!$AC$18,'Reference Curves'!$AD$17*E26+'Reference Curves'!$AD$18)),2))), IF('Quantification Tool'!$B$11="Black Hills",IF(E26&lt;=12.8,0,IF(E26&gt;=65.7,1,ROUND(IF(E26&lt;30.7,'Reference Curves'!$AE$17*E26+'Reference Curves'!$AE$18,IF(E26&lt;46.1,'Reference Curves'!$AF$17*E26+'Reference Curves'!$AF$18,'Reference Curves'!$AG$17*E26+'Reference Curves'!$AG$18)),2))), IF('Quantification Tool'!$B$11="High Valleys",IF(E26&lt;=17.1,0,IF(E26&gt;=78.2,1,ROUND(IF(E26&lt;48.8,'Reference Curves'!$AH$17*E26+'Reference Curves'!$AH$18,'Reference Curves'!$AI$17*E26+'Reference Curves'!$AI$18),2))),     IF('Quantification Tool'!$B$11="Southern Rockies",IF(E26&lt;=5.1,0,IF(E26&gt;=82.2,1,ROUND(IF(E26&lt;32.6, 'Reference Curves'!$AB$54*E26+'Reference Curves'!$AB$55, IF(E26&lt;48.8, 'Reference Curves'!$AC$54*E26+'Reference Curves'!$AC$55,  'Reference Curves'!$AD$54*E26+'Reference Curves'!$AD$55)), 2))), IF('Quantification Tool'!$B$11="SE Plains",IF(E26&lt;=10.4,0,IF(E26&gt;=87,1,ROUND(IF(E26&lt;36.7,'Reference Curves'!$AE$54*E26+'Reference Curves'!$AE$55, IF(E26&lt;55.1, 'Reference Curves'!$AF$54*E26+'Reference Curves'!$AF$55, 'Reference Curves'!$AG$54*E26+'Reference Curves'!$AG$55)),2))),   IF('Quantification Tool'!$B$11="NE Plains",IF(E26&lt;=1.6,0,IF(E26&gt;=95.8,1,ROUND(IF(E26&lt;38.9,'Reference Curves'!$AH$54*E26+'Reference Curves'!$AH$55, IF(E26&lt;58.4, 'Reference Curves'!$AI$54*E26+'Reference Curves'!$AI$55, 'Reference Curves'!$AJ$54*E26+'Reference Curves'!$AJ$55)),2))),      IF('Quantification Tool'!$B$11="Granitic Mountains",IF(E26&lt;=32.6,0,IF(E26&gt;=74.9,1,ROUND(IF(E26&lt;40.2, 'Reference Curves'!$AB$92*E26+'Reference Curves'!$AB$93, 'Reference Curves'!$AC$92*E26+'Reference Curves'!$AC$93),2))), IF('Quantification Tool'!$B$11="Volcanic Mountains &amp; Valleys",IF(E26&lt;=26,0,IF(E26&gt;=88.1,1,ROUND('Reference Curves'!$AF$92*E26+'Reference Curves'!$AF$93,2))), IF('Quantification Tool'!$B$11="Southern Foothills &amp; Laramie Range",IF(E26&lt;=30.7,0,IF(E26&gt;=85,1,ROUND(IF(E26&lt;44.5, 'Reference Curves'!$AD$92*E26+'Reference Curves'!$AD$93,  'Reference Curves'!$AE$92*E26+'Reference Curves'!$AE$93 ),2))),     IF('Quantification Tool'!$B$11="Sedimentary Mountains",IF(E26&lt;=17,0,IF(E26&gt;=70,1,ROUND('Reference Curves'!$AB$127*E26+'Reference Curves'!$AB$128,2))), IF('Quantification Tool'!$B$11="Bighorn Basin Foothills",IF(E26&lt;=3.9,0,IF(E26&gt;=80,1,ROUND(IF(E26&lt;40.6,'Reference Curves'!$AC$127*E26+'Reference Curves'!$AC$128,'Reference Curves'!$AD$127*E26+'Reference Curves'!$AD$128),2)))  )))))))))))))</f>
        <v/>
      </c>
      <c r="G26" s="474" t="str">
        <f>IFERROR(IF(AND(F26="",F27=""),"",IF(OR(F26="",F27=""),AVERAGE(F26:F27),IF(OR(F26&lt;0.3,F27&lt;0.3),IF(OR(F26&gt;=0.7,F27&gt;=0.7),MIN(0.69,AVERAGE(F26:F27)),MIN(0.29,AVERAGE(F26:F27))), IF(OR(F26&gt;=0.7,F27&gt;=0.7),IF(AVERAGE(F26:F27)&lt;0.7,0.7,AVERAGE(F26:F27)),AVERAGE(F26:F27))))),"")</f>
        <v/>
      </c>
      <c r="H26" s="476" t="str">
        <f>IFERROR(ROUND(AVERAGE(G26:G30),2),"")</f>
        <v/>
      </c>
      <c r="I26" s="473" t="str">
        <f>IF(H26="","",IF(H26&gt;0.69,"Functioning",IF(H26&gt;0.29,"Functioning At Risk",IF(H26&gt;-1,"Not Functioning"))))</f>
        <v/>
      </c>
      <c r="J26" s="5"/>
      <c r="L26" s="4"/>
      <c r="M26" s="4"/>
    </row>
    <row r="27" spans="1:13" ht="15.75" x14ac:dyDescent="0.25">
      <c r="A27" s="509"/>
      <c r="B27" s="513"/>
      <c r="C27" s="166" t="s">
        <v>187</v>
      </c>
      <c r="D27" s="167"/>
      <c r="E27" s="143"/>
      <c r="F27" s="168" t="str">
        <f>IF(E27="","",IF('Quantification Tool'!$B$11="","Enter Bioregion",IF('Quantification Tool'!$B$11="Wyoming Basin",IF(E27&lt;0.15,0,IF(E27&gt;1.18,1,ROUND(IF(E27&lt;0.64,'Reference Curves'!$AB$166*E27+'Reference Curves'!$AB$167, IF(E27&lt;0.82, 'Reference Curves'!$AC$166*E27+'Reference Curves'!$AC$167, 'Reference Curves'!$AD$166*E27+'Reference Curves'!$AD$167) ),2))), IF('Quantification Tool'!$B$11="Black Hills",IF(E27&lt;=0.37,0,IF(E27&gt;1.08,1,ROUND('Reference Curves'!$AE$166*E27+'Reference Curves'!$AE$167,2))), IF('Quantification Tool'!$B$11="High Valleys",IF(E27&lt;0.42,0,IF(E27&gt;1.14,1,ROUND(IF(E27&lt;0.68, 'Reference Curves'!$AF$166*E27+'Reference Curves'!$AF$167, IF(E27&lt;0.86, 'Reference Curves'!$AG$166*E27+'Reference Curves'!$AG$167, 'Reference Curves'!$AH$166*E27+'Reference Curves'!$AH$167)),2))), IF('Quantification Tool'!$B$11="Sedimentary Mountains",IF(E27&lt;0.42,0,IF(E27&gt;1.17,1,ROUND(IF(E27&lt;0.68, 'Reference Curves'!$AI$166*E27+'Reference Curves'!$AI$167, IF(E27&lt;0.82, 'Reference Curves'!$AJ$166*E27+'Reference Curves'!$AJ$167, 'Reference Curves'!$AK$166*E27+'Reference Curves'!$AK$167) ),2))),        IF('Quantification Tool'!$B$11="Southern Rockies",IF(E27&lt;0.27,0,IF(E27&gt;=1.18,1,ROUND(IF(E27&lt;0.62, 'Reference Curves'!$AB$204*E27+'Reference Curves'!$AB$205, IF(E27&lt;0.89, 'Reference Curves'!$AC$204*E27+'Reference Curves'!$AC$205, 'Reference Curves'!$AD$204*E27+'Reference Curves'!$AD$205) ),2))), IF('Quantification Tool'!$B$11="SE Plains",IF(E27&lt;0.34,0,IF(E27&gt;1.12,1,ROUND(IF(E27&lt;0.78, 'Reference Curves'!$AE$204*E27+'Reference Curves'!$AE$205, 'Reference Curves'!$AF$204*E27+'Reference Curves'!$AF$205),2))), IF('Quantification Tool'!$B$11="NE Plains",IF(E27&lt;0.11,0,IF(E27&gt;=0.98,1,ROUND(IF(E27&lt;0.52, 'Reference Curves'!$AG$204*E27+'Reference Curves'!$AG$205,'Reference Curves'!$AH$204*E27+'Reference Curves'!$AH$205 ),2))),    IF('Quantification Tool'!$B$11="Granitic Mountains",IF(E27&lt;=0.59,0,IF(E27&gt;=1.09,1,ROUND(IF(E27&lt;0.65, 'Reference Curves'!$AB$242*E27+'Reference Curves'!$AB$243, 'Reference Curves'!$AC$242*E27+'Reference Curves'!$AC$243),2))),IF('Quantification Tool'!$B$11="Bighorn Basin Foothills",IF(E27&lt;=0.41,0,IF(E27&gt;=0.92,1,ROUND(IF(E27&lt;0.84, 'Reference Curves'!$AD$242*E27+'Reference Curves'!$AD$243,  'Reference Curves'!$AE$242*E27+'Reference Curves'!$AE$243),2))),IF('Quantification Tool'!$B$11="Volcanic Mountains &amp; Valleys",IF(E27&lt;=0.21,0,IF(E27&gt;=1.21,1,ROUND(IF(E27&lt;0.65, 'Reference Curves'!$AI$242*E27+'Reference Curves'!$AI$243, IF(E27&lt;0.86,  'Reference Curves'!$AJ$242*E27+'Reference Curves'!$AJ$243,  'Reference Curves'!$AK$242*E27+'Reference Curves'!$AK$243)),2))), IF('Quantification Tool'!$B$11="Southern Foothills &amp; Laramie Range",IF(E27&lt;=0.29,0,IF(E27&gt;=1.2,1,ROUND(IF(E27&lt;0.68, 'Reference Curves'!$AF$242*E27+'Reference Curves'!$AF$243, IF(E27&lt;0.88,  'Reference Curves'!$AG$242*E27+'Reference Curves'!$AG$243, 'Reference Curves'!$AH$242*E27+'Reference Curves'!$AH$243)),2))) )))))))))))))</f>
        <v/>
      </c>
      <c r="G27" s="475"/>
      <c r="H27" s="476"/>
      <c r="I27" s="473"/>
      <c r="J27" s="5"/>
      <c r="L27" s="4"/>
      <c r="M27" s="4"/>
    </row>
    <row r="28" spans="1:13" ht="15.75" x14ac:dyDescent="0.25">
      <c r="A28" s="509"/>
      <c r="B28" s="511" t="s">
        <v>75</v>
      </c>
      <c r="C28" s="58" t="s">
        <v>349</v>
      </c>
      <c r="D28" s="169"/>
      <c r="E28" s="142"/>
      <c r="F28" s="170" t="str">
        <f>IF(E28="","",IF(E28&lt;58,0,IF(E28&gt;=100,1,ROUND(E28*'Reference Curves'!$AB$280+'Reference Curves'!$AB$281,2))))</f>
        <v/>
      </c>
      <c r="G28" s="474" t="str">
        <f>IFERROR(AVERAGE(F28:F30),"")</f>
        <v/>
      </c>
      <c r="H28" s="476"/>
      <c r="I28" s="473"/>
      <c r="J28" s="5"/>
      <c r="L28" s="4"/>
      <c r="M28" s="4"/>
    </row>
    <row r="29" spans="1:13" ht="15.75" x14ac:dyDescent="0.25">
      <c r="A29" s="509"/>
      <c r="B29" s="512"/>
      <c r="C29" s="59" t="s">
        <v>350</v>
      </c>
      <c r="D29" s="171"/>
      <c r="E29" s="140"/>
      <c r="F29" s="170" t="str">
        <f>IF(E29="","",ROUND(IF(E29&gt;=3,0,IF(E29&gt;=2,0.3,IF(E29&gt;=1,0.69,1))),2))</f>
        <v/>
      </c>
      <c r="G29" s="477"/>
      <c r="H29" s="476"/>
      <c r="I29" s="473"/>
      <c r="J29" s="5"/>
      <c r="L29" s="4"/>
      <c r="M29" s="4"/>
    </row>
    <row r="30" spans="1:13" ht="15.75" x14ac:dyDescent="0.25">
      <c r="A30" s="510"/>
      <c r="B30" s="513"/>
      <c r="C30" s="39" t="s">
        <v>351</v>
      </c>
      <c r="D30" s="172"/>
      <c r="E30" s="143"/>
      <c r="F30" s="168" t="str">
        <f>IF(E30="","",IF('Quantification Tool'!$B$20="","Enter Stream Producitvity Rating",IF('Quantification Tool'!$B$20="Blue Ribbon and non-trout",IF(E30&lt;5,0,IF(E30&gt;=40,1,ROUND(E30*'Reference Curves'!$AB$319+'Reference Curves'!$AB$320,2))),IF('Quantification Tool'!$B$20="Red Ribbon",IF(E30&lt;10,0,IF(E30&gt;=80,1,ROUND(E30*'Reference Curves'!$AC$319+'Reference Curves'!$AC$320,2))),IF(OR('Quantification Tool'!$B$20="Yellow Ribbon",'Quantification Tool'!$B$20="Green Ribbon"),IF(E30&lt;15,0,IF(E30&gt;=119,1,ROUND(E30*'Reference Curves'!$AD$319+'Reference Curves'!$AD$320,2)))   )))))</f>
        <v/>
      </c>
      <c r="G30" s="475"/>
      <c r="H30" s="476"/>
      <c r="I30" s="473"/>
      <c r="J30" s="5"/>
      <c r="L30" s="4"/>
      <c r="M30" s="4"/>
    </row>
    <row r="31" spans="1:13" x14ac:dyDescent="0.25">
      <c r="J31" s="5"/>
    </row>
    <row r="32" spans="1:13" x14ac:dyDescent="0.25">
      <c r="J32" s="5"/>
    </row>
    <row r="33" spans="1:10" ht="21" x14ac:dyDescent="0.35">
      <c r="A33" s="47" t="s">
        <v>135</v>
      </c>
      <c r="B33" s="352"/>
      <c r="C33" s="355" t="s">
        <v>383</v>
      </c>
      <c r="D33" s="560"/>
      <c r="E33" s="560"/>
      <c r="F33" s="561"/>
      <c r="G33" s="554" t="s">
        <v>14</v>
      </c>
      <c r="H33" s="555"/>
      <c r="I33" s="556"/>
      <c r="J33" s="5"/>
    </row>
    <row r="34" spans="1:10" ht="15.75" x14ac:dyDescent="0.25">
      <c r="A34" s="53" t="s">
        <v>1</v>
      </c>
      <c r="B34" s="53" t="s">
        <v>2</v>
      </c>
      <c r="C34" s="327" t="s">
        <v>3</v>
      </c>
      <c r="D34" s="328"/>
      <c r="E34" s="53" t="s">
        <v>12</v>
      </c>
      <c r="F34" s="53" t="s">
        <v>13</v>
      </c>
      <c r="G34" s="53" t="s">
        <v>15</v>
      </c>
      <c r="H34" s="53" t="s">
        <v>16</v>
      </c>
      <c r="I34" s="413" t="s">
        <v>16</v>
      </c>
    </row>
    <row r="35" spans="1:10" ht="15.75" x14ac:dyDescent="0.25">
      <c r="A35" s="540" t="s">
        <v>345</v>
      </c>
      <c r="B35" s="485" t="s">
        <v>128</v>
      </c>
      <c r="C35" s="287" t="s">
        <v>341</v>
      </c>
      <c r="D35" s="288"/>
      <c r="E35" s="142"/>
      <c r="F35" s="335" t="str">
        <f>IF(E35="","",IF(E35&gt;=80,0,IF(E35&lt;=40,1,IF(E35&gt;=68,ROUND(E35*'Reference Curves'!$C$14+'Reference Curves'!$C$15,2),ROUND(E35*'Reference Curves'!$D$14+'Reference Curves'!$D$15,2)))))</f>
        <v/>
      </c>
      <c r="G35" s="501" t="str">
        <f>IFERROR(AVERAGE(F35:F36),"")</f>
        <v/>
      </c>
      <c r="H35" s="501" t="str">
        <f>IFERROR(ROUND(AVERAGE(G35:G39),2),"")</f>
        <v/>
      </c>
      <c r="I35" s="504" t="str">
        <f>IF(H35="","",IF(H35:H39&gt;0.69,"Functioning",IF(H35&gt;0.29,"Functioning At Risk",IF(H35&gt;-1,"Not Functioning"))))</f>
        <v/>
      </c>
    </row>
    <row r="36" spans="1:10" ht="15.75" x14ac:dyDescent="0.25">
      <c r="A36" s="541"/>
      <c r="B36" s="486"/>
      <c r="C36" s="289" t="s">
        <v>129</v>
      </c>
      <c r="D36" s="145"/>
      <c r="E36" s="143"/>
      <c r="F36" s="291" t="str">
        <f>IF(E36="","",   IF(E36&gt;3.22,0, IF(E36&lt;0, "", ROUND('Reference Curves'!$C$44*E36+'Reference Curves'!$C$45,2))))</f>
        <v/>
      </c>
      <c r="G36" s="503"/>
      <c r="H36" s="502"/>
      <c r="I36" s="505"/>
    </row>
    <row r="37" spans="1:10" ht="15.6" customHeight="1" x14ac:dyDescent="0.25">
      <c r="A37" s="541"/>
      <c r="B37" s="290" t="s">
        <v>140</v>
      </c>
      <c r="C37" s="543" t="s">
        <v>237</v>
      </c>
      <c r="D37" s="544"/>
      <c r="E37" s="144"/>
      <c r="F37" s="291" t="str">
        <f>IF(E37="","",IF(OR(E37&gt;=2,E37&lt;=0.26),0,IF(AND(E37&gt;=0.9,E37&lt;=1.1),1,ROUND(IF(E37&lt;0.9,'Reference Curves'!$C$75*E37+'Reference Curves'!$C$76,'Reference Curves'!$D$75*E37+'Reference Curves'!$D$76),2))))</f>
        <v/>
      </c>
      <c r="G37" s="364" t="str">
        <f>IFERROR(F37,"")</f>
        <v/>
      </c>
      <c r="H37" s="502"/>
      <c r="I37" s="505"/>
    </row>
    <row r="38" spans="1:10" ht="15.75" x14ac:dyDescent="0.25">
      <c r="A38" s="541"/>
      <c r="B38" s="485" t="s">
        <v>5</v>
      </c>
      <c r="C38" s="145" t="s">
        <v>6</v>
      </c>
      <c r="D38" s="145"/>
      <c r="E38" s="140"/>
      <c r="F38" s="336" t="str">
        <f>IF(E38="","",ROUND(IF(E38&gt;1.71,0,IF(E38&lt;=1,1,E38*'Reference Curves'!C$107+'Reference Curves'!C$108)),2))</f>
        <v/>
      </c>
      <c r="G38" s="501" t="str">
        <f>IFERROR(AVERAGE(F38:F39),"")</f>
        <v/>
      </c>
      <c r="H38" s="502"/>
      <c r="I38" s="505"/>
    </row>
    <row r="39" spans="1:10" ht="15.6" customHeight="1" x14ac:dyDescent="0.25">
      <c r="A39" s="542"/>
      <c r="B39" s="486"/>
      <c r="C39" s="146" t="s">
        <v>7</v>
      </c>
      <c r="D39" s="146"/>
      <c r="E39" s="143"/>
      <c r="F39" s="147" t="str">
        <f>IF(E39="","",IF(OR('Quantification Tool'!$B$9="A",'Quantification Tool'!$B$9="Ba",'Quantification Tool'!$B$9="B", 'Quantification Tool'!$B$9="Bc"),IF(E39&lt;1.05,0,IF(E39&gt;=2.2,1,ROUND(IF(E39&lt;1.4,E39*'Reference Curves'!$C$176+'Reference Curves'!$C$177,E39*'Reference Curves'!$D$176+'Reference Curves'!$D$177),2))),IF(OR('Quantification Tool'!$B$9="C",'Quantification Tool'!$B$9="Cb",'Quantification Tool'!$B$9="E"),IF(E39&lt;1.7,0,IF(E39&gt;=5,1,ROUND(IF(E39&lt;2.4,E39*'Reference Curves'!$D$141+'Reference Curves'!$D$142,E39*'Reference Curves'!$C$141+'Reference Curves'!$C$142),2))))))</f>
        <v/>
      </c>
      <c r="G39" s="503"/>
      <c r="H39" s="503"/>
      <c r="I39" s="506"/>
    </row>
    <row r="40" spans="1:10" ht="15.75" x14ac:dyDescent="0.25">
      <c r="A40" s="465" t="s">
        <v>20</v>
      </c>
      <c r="B40" s="465" t="s">
        <v>21</v>
      </c>
      <c r="C40" s="34" t="s">
        <v>19</v>
      </c>
      <c r="D40" s="148"/>
      <c r="E40" s="142"/>
      <c r="F40" s="149" t="str">
        <f>IF(E40="","",IF(E40&gt;=660,1,IF(E40&lt;=430,ROUND('Reference Curves'!$K$14*E40+'Reference Curves'!$K$15,2),ROUND('Reference Curves'!$L$14*E40+'Reference Curves'!$L$15,2))))</f>
        <v/>
      </c>
      <c r="G40" s="455" t="str">
        <f>IFERROR(AVERAGE(F40:F41),"")</f>
        <v/>
      </c>
      <c r="H40" s="455" t="str">
        <f>IFERROR(ROUND(AVERAGE(G40:G55),2),"")</f>
        <v/>
      </c>
      <c r="I40" s="458" t="str">
        <f>IF(H40="","",IF(H40&gt;0.69,"Functioning",IF(H40&gt;0.29,"Functioning At Risk",IF(H40&gt;-1,"Not Functioning"))))</f>
        <v/>
      </c>
    </row>
    <row r="41" spans="1:10" ht="15.75" x14ac:dyDescent="0.25">
      <c r="A41" s="462"/>
      <c r="B41" s="463"/>
      <c r="C41" s="279" t="s">
        <v>346</v>
      </c>
      <c r="D41" s="151"/>
      <c r="E41" s="140"/>
      <c r="F41" s="337" t="str">
        <f>IF(E41="","",IF(E41&gt;=28,1,ROUND(IF(E41&lt;=13,'Reference Curves'!$K$47*E41,'Reference Curves'!$L$47*E41+'Reference Curves'!$L$48),2)))</f>
        <v/>
      </c>
      <c r="G41" s="457"/>
      <c r="H41" s="456"/>
      <c r="I41" s="459"/>
    </row>
    <row r="42" spans="1:10" ht="15.75" x14ac:dyDescent="0.25">
      <c r="A42" s="462"/>
      <c r="B42" s="461" t="s">
        <v>402</v>
      </c>
      <c r="C42" s="148" t="s">
        <v>250</v>
      </c>
      <c r="D42" s="277"/>
      <c r="E42" s="142"/>
      <c r="F42" s="385" t="str">
        <f>IF(E42="","",ROUND(IF(E42&lt;=2,0,IF(E42&gt;=9,1,E42^3*'Reference Curves'!K$81+E42^2*'Reference Curves'!$K$82+E42*'Reference Curves'!$K$83+'Reference Curves'!$K$84)),2))</f>
        <v/>
      </c>
      <c r="G42" s="455" t="str">
        <f>IFERROR(AVERAGE(F42:F45),"")</f>
        <v/>
      </c>
      <c r="H42" s="456"/>
      <c r="I42" s="459"/>
    </row>
    <row r="43" spans="1:10" ht="15.75" x14ac:dyDescent="0.25">
      <c r="A43" s="462"/>
      <c r="B43" s="462"/>
      <c r="C43" s="151" t="s">
        <v>43</v>
      </c>
      <c r="D43" s="151"/>
      <c r="E43" s="140"/>
      <c r="F43" s="339" t="str">
        <f>IF(E43="","",IF(OR(E43="Ex/Ex",E43="Ex/VH",E43="Ex/H",E43="Ex/M",E43="VH/Ex",E43="VH/VH", E43="H/Ex",E43="H/VH"),0, IF(OR(E43="M/Ex"),0.1,IF(OR(E43="VH/H",E43="VH/M",E43="H/H",E43="H/M", E43="M/VH"),0.2, IF(OR(E43="Ex/VL",E43="Ex/L", E43="M/H"),0.3, IF(OR(E43="VH/L",E43="H/L"),0.4, IF(OR(E43="VH/VL",E43="H/VL",E43="M/M"),0.5, IF(OR(E43="M/L",E43="L/Ex"),0.6, IF(OR(E43="M/VL",E43="L/VH", E43="L/H",E43="L/M",E43="L/L",E43="L/VL"),1)))))))))</f>
        <v/>
      </c>
      <c r="G43" s="456"/>
      <c r="H43" s="456"/>
      <c r="I43" s="459"/>
    </row>
    <row r="44" spans="1:10" ht="15.75" x14ac:dyDescent="0.25">
      <c r="A44" s="462"/>
      <c r="B44" s="462"/>
      <c r="C44" s="368" t="s">
        <v>87</v>
      </c>
      <c r="D44" s="368"/>
      <c r="E44" s="140"/>
      <c r="F44" s="339" t="str">
        <f>IF(E44="","",ROUND(IF(E44&gt;=75,0,IF(E44&lt;=5,1,IF(E44&gt;10,E44*'Reference Curves'!K$115+'Reference Curves'!K$116,'Reference Curves'!$L$115*E44+'Reference Curves'!$L$116))),2))</f>
        <v/>
      </c>
      <c r="G44" s="456"/>
      <c r="H44" s="456"/>
      <c r="I44" s="459"/>
    </row>
    <row r="45" spans="1:10" s="317" customFormat="1" ht="15.75" x14ac:dyDescent="0.25">
      <c r="A45" s="462"/>
      <c r="B45" s="463"/>
      <c r="C45" s="371" t="s">
        <v>401</v>
      </c>
      <c r="D45" s="278"/>
      <c r="E45" s="143"/>
      <c r="F45" s="386" t="str">
        <f>IF(E45="","",IF(E45&gt;=30,0,ROUND(E45*'Reference Curves'!$K$146+'Reference Curves'!$K$147,2)))</f>
        <v/>
      </c>
      <c r="G45" s="457"/>
      <c r="H45" s="456"/>
      <c r="I45" s="459"/>
    </row>
    <row r="46" spans="1:10" ht="15.75" x14ac:dyDescent="0.25">
      <c r="A46" s="462"/>
      <c r="B46" s="361" t="s">
        <v>105</v>
      </c>
      <c r="C46" s="33" t="s">
        <v>130</v>
      </c>
      <c r="D46" s="151"/>
      <c r="E46" s="143"/>
      <c r="F46" s="332" t="str">
        <f>IF(OR(E46="",'Quantification Tool'!$B$13=""),"",IF(OR('Quantification Tool'!$B$13="Silt/Clay",'Quantification Tool'!$B$13="Sand",'Quantification Tool'!$B$13="Boulders",'Quantification Tool'!$B$13="Bedrock"),"NA",IF(E46&gt;0.1,1,IF(E46&lt;=0.01,0,ROUND(E46*'Reference Curves'!$K$177+'Reference Curves'!$K$178,2)))))</f>
        <v/>
      </c>
      <c r="G46" s="153" t="str">
        <f>IFERROR(AVERAGE(F46),"")</f>
        <v/>
      </c>
      <c r="H46" s="456"/>
      <c r="I46" s="459"/>
    </row>
    <row r="47" spans="1:10" ht="15.75" x14ac:dyDescent="0.25">
      <c r="A47" s="462"/>
      <c r="B47" s="465" t="s">
        <v>45</v>
      </c>
      <c r="C47" s="148" t="s">
        <v>46</v>
      </c>
      <c r="D47" s="148"/>
      <c r="E47" s="142"/>
      <c r="F47" s="155" t="str">
        <f>IF(E47="","",IF('Quantification Tool'!$B$9="Bc",IF(OR(E47&gt;=12,E47&lt;=0.1),0,IF(E47&lt;=3.4,1,ROUND('Reference Curves'!$K$310*E47+'Reference Curves'!$K$311,2))),  IF(OR('Quantification Tool'!$B$9="B",'Quantification Tool'!$B$9="Ba"),IF(OR(E47&gt;=7.5,E47&lt;=0.1),0,IF(E47&lt;=3,1,ROUND(IF(E47&gt;4,'Reference Curves'!$K$279*E47+'Reference Curves'!$K$280,'Reference Curves'!$L$279*E47+'Reference Curves'!$L$280),2))),  IF('Quantification Tool'!$B$9="Cb",IF(OR(E47&gt;=8.35,E47&lt;1.4),0,IF(AND(E47&gt;=3.7,E47&lt;=5),1,ROUND(IF(E47&lt;3.7,'Reference Curves'!$K$247*E47+'Reference Curves'!$K$248,'Reference Curves'!$L$247*E47+'Reference Curves'!$L$248),2))),  IF('Quantification Tool'!$B$9="C",IF(OR(E47&gt;9.3,E47&lt;=3),0,IF(AND(E47&gt;=4,E47&lt;=6),1,ROUND(IF(E47&lt;4,'Reference Curves'!$K$213*E47+'Reference Curves'!$K$214,'Reference Curves'!$L$213*E47+'Reference Curves'!$L$214),2))),  IF('Quantification Tool'!$B$9="E",IF(OR(E47&gt;8.2,E47&lt;1.85),0,IF(AND(E47&gt;=3.5,E47&lt;=5),1,ROUND(IF(E47&lt;3.5,'Reference Curves'!$K$343*E47+'Reference Curves'!$K$344,'Reference Curves'!$L$343*E47+'Reference Curves'!$L$344),2)))      ))))))</f>
        <v/>
      </c>
      <c r="G47" s="480" t="str">
        <f>IFERROR(AVERAGE(F47:F50),"")</f>
        <v/>
      </c>
      <c r="H47" s="456"/>
      <c r="I47" s="459"/>
    </row>
    <row r="48" spans="1:10" ht="15.75" x14ac:dyDescent="0.25">
      <c r="A48" s="462"/>
      <c r="B48" s="462"/>
      <c r="C48" s="151" t="s">
        <v>47</v>
      </c>
      <c r="D48" s="151"/>
      <c r="E48" s="140"/>
      <c r="F48" s="156" t="str">
        <f>IF(E48="","",IF(E48&lt;=1,0,IF(E48&gt;=3.2,1,IF(E48&gt;=2.2,ROUND('Reference Curves'!$L$375*E48+'Reference Curves'!$L$376,2),(ROUND('Reference Curves'!$K$375*E48+'Reference Curves'!$K$376,2))))))</f>
        <v/>
      </c>
      <c r="G48" s="464"/>
      <c r="H48" s="456"/>
      <c r="I48" s="459"/>
    </row>
    <row r="49" spans="1:11" ht="15.75" x14ac:dyDescent="0.25">
      <c r="A49" s="462"/>
      <c r="B49" s="462"/>
      <c r="C49" s="31" t="s">
        <v>356</v>
      </c>
      <c r="D49" s="151"/>
      <c r="E49" s="140"/>
      <c r="F49" s="362" t="str">
        <f>IF(E49="","",IF('Quantification Tool'!$B$11="Volcanic Mountains &amp; Valleys", IF(OR(E49&gt;86.65,E49&lt;33),0,IF(AND(E49&gt;=73,E49&lt;=80),1, ROUND(IF(E49&lt;73,'Reference Curves'!$K$408*E49+'Reference Curves'!$K$409, 'Reference Curves'!$L$408*E49+'Reference Curves'!$L$409),2))), IF('Quantification Tool'!B$16="","Need Slope",IF('Quantification Tool'!B$16&lt;3,IF( OR(E49&gt;=91,E49&lt;=13.5),0, IF(AND(E49&gt;49,E49&lt;61), 1, ROUND(IF(E49&lt;50,'Reference Curves'!$K$441*E49+'Reference Curves'!$K$442, IF(E49&gt;60,'Reference Curves'!$L$441*E49+'Reference Curves'!$L$442)),2))), IF('Quantification Tool'!B$16&gt;=3,IF(OR(E49&gt;94.5,E49&lt;41.5),0, IF(AND(E49 &gt;=68, E49&lt;=78),1, ROUND(IF(E49&lt;68,'Reference Curves'!$K$475*E49+'Reference Curves'!$K$476,'Reference Curves'!$L$475*E49+'Reference Curves'!$L$476),2) )))))))</f>
        <v/>
      </c>
      <c r="G49" s="464"/>
      <c r="H49" s="456"/>
      <c r="I49" s="459"/>
    </row>
    <row r="50" spans="1:11" ht="15.75" x14ac:dyDescent="0.25">
      <c r="A50" s="462"/>
      <c r="B50" s="463"/>
      <c r="C50" s="150" t="s">
        <v>213</v>
      </c>
      <c r="D50" s="150"/>
      <c r="E50" s="143"/>
      <c r="F50" s="360" t="str">
        <f>IF(E50="","",IF(E50&gt;=1.6,0,IF(E50&lt;=1,1,ROUND('Reference Curves'!$K$506*E50^3+'Reference Curves'!$K$507*E50^2+'Reference Curves'!$K$508*E50+'Reference Curves'!$K$509,2))))</f>
        <v/>
      </c>
      <c r="G50" s="481"/>
      <c r="H50" s="456"/>
      <c r="I50" s="459"/>
    </row>
    <row r="51" spans="1:11" ht="15.75" x14ac:dyDescent="0.25">
      <c r="A51" s="462"/>
      <c r="B51" s="361" t="s">
        <v>49</v>
      </c>
      <c r="C51" s="151" t="s">
        <v>48</v>
      </c>
      <c r="D51" s="151"/>
      <c r="E51" s="140"/>
      <c r="F51" s="341" t="str">
        <f>IF(E51="","",IF('Quantification Tool'!B$9="E",IF(OR(E51&gt;2.14,E51&lt;1.13),0, IF(AND(E51&gt;=1.3, E51&lt;=1.8),1, ROUND(IF(E51&lt;1.3,E51*'Reference Curves'!K$542+'Reference Curves'!K$543, E51*'Reference Curves'!L$542+'Reference Curves'!$L$543),2))),    IF('Quantification Tool'!$B$21="Unconfined Alluvial",IF(OR(E51&lt;1.12, E51&gt;1.67),0, IF(AND(E51&lt;=1.5,E51&gt;=1.2),1,ROUND(IF(E51&lt;1.2,E51*'Reference Curves'!$K$575+'Reference Curves'!$K$576, E51*'Reference Curves'!$L$575+'Reference Curves'!$L$576),2))),  IF('Quantification Tool'!$B$21="Confined Alluvial",IF(E51&lt;=1,0, IF(E51&gt;=1.2,1, ROUND(E51*'Reference Curves'!$K$604+'Reference Curves'!$K$605,2))),    IF('Quantification Tool'!$B$21="Colluvial/V-Shaped",IF(OR(E51&lt;1, E51&gt;1.47),0, IF(AND(E51&lt;=1.3,E51&gt;=1.1),1,ROUND(IF(E51&lt;1.1,E51*'Reference Curves'!$K$637+'Reference Curves'!$K$638, E51*'Reference Curves'!$L$637+'Reference Curves'!$L$638),2)))  )))))</f>
        <v/>
      </c>
      <c r="G51" s="156" t="str">
        <f>IFERROR(AVERAGE(F51),"")</f>
        <v/>
      </c>
      <c r="H51" s="456"/>
      <c r="I51" s="459"/>
    </row>
    <row r="52" spans="1:11" ht="15.75" x14ac:dyDescent="0.25">
      <c r="A52" s="462"/>
      <c r="B52" s="465" t="s">
        <v>44</v>
      </c>
      <c r="C52" s="32" t="s">
        <v>344</v>
      </c>
      <c r="D52" s="148"/>
      <c r="E52" s="142"/>
      <c r="F52" s="365" t="str">
        <f>IF(E52="","",IF('Quantification Tool'!$B$21="Unconfined Alluvial",IF(E52&gt;=100,1,IF(E52&lt;30,0,ROUND('Reference Curves'!$K$668*E52+'Reference Curves'!$K$669,2))),IF(OR('Quantification Tool'!$B$21="Confined Alluvial",'Quantification Tool'!$B$21="Colluvial/V-Shaped"),(IF(E52&gt;=100,1,IF(E52&lt;60,0,ROUND('Reference Curves'!$L$668*E52+'Reference Curves'!$L$669,2)))))))</f>
        <v/>
      </c>
      <c r="G52" s="480" t="str">
        <f>IFERROR(AVERAGE(F52:F55),"")</f>
        <v/>
      </c>
      <c r="H52" s="456"/>
      <c r="I52" s="459"/>
    </row>
    <row r="53" spans="1:11" ht="15.75" x14ac:dyDescent="0.25">
      <c r="A53" s="462"/>
      <c r="B53" s="462"/>
      <c r="C53" s="279" t="s">
        <v>390</v>
      </c>
      <c r="D53" s="151"/>
      <c r="E53" s="140"/>
      <c r="F53" s="156" t="str">
        <f>IF(E53="","",  IF(OR('Quantification Tool'!$B$10="Mountains",'Quantification Tool'!$B$10="Basins"),IF(E53&lt;=0,0, IF(E53&gt;=122,1,ROUND('Reference Curves'!$K$700*E53^2+'Reference Curves'!$K$701*E53+'Reference Curves'!$K$702,2))),   IF('Quantification Tool'!$B$10="Plains",IF(OR(E53&lt;=0,E53&gt;114),0, IF(AND(E53&lt;=69,E53&gt;=59),1, IF(E53&lt;59, ROUND(E53*'Reference Curves'!$K$735+'Reference Curves'!$K$736,2), ROUND(E53*'Reference Curves'!$L$735+'Reference Curves'!$L$736,2) )) ))))</f>
        <v/>
      </c>
      <c r="G53" s="464"/>
      <c r="H53" s="456"/>
      <c r="I53" s="459"/>
    </row>
    <row r="54" spans="1:11" ht="15.75" x14ac:dyDescent="0.25">
      <c r="A54" s="462"/>
      <c r="B54" s="466"/>
      <c r="C54" s="279" t="s">
        <v>391</v>
      </c>
      <c r="D54" s="151"/>
      <c r="E54" s="140"/>
      <c r="F54" s="156" t="str">
        <f>IF(E54="","",IF('Quantification Tool'!$B$19="Herbaceous", IF(E54&lt;=30,0,IF(E54&gt;=117,1, ROUND(E54*'Reference Curves'!$L$767+'Reference Curves'!$L$768,2))),  IF(E54&lt;=0,0, IF(E54&gt;=77,1, ROUND(E54*'Reference Curves'!$K$767+'Reference Curves'!$K$768,2)))  ))</f>
        <v/>
      </c>
      <c r="G54" s="464"/>
      <c r="H54" s="456"/>
      <c r="I54" s="459"/>
    </row>
    <row r="55" spans="1:11" s="317" customFormat="1" ht="15.75" x14ac:dyDescent="0.25">
      <c r="A55" s="463"/>
      <c r="B55" s="463"/>
      <c r="C55" s="467" t="s">
        <v>400</v>
      </c>
      <c r="D55" s="467"/>
      <c r="E55" s="143"/>
      <c r="F55" s="384" t="str">
        <f>IF(E55="","",IF(E55&lt;=46,0,IF(E55&gt;=100,1,IF(E55&lt;=91,ROUND(E55*'Reference Curves'!$L$799+'Reference Curves'!$L$800,2),ROUND(E55*'Reference Curves'!$K$799+'Reference Curves'!$K$800,2)))))</f>
        <v/>
      </c>
      <c r="G55" s="481"/>
      <c r="H55" s="457"/>
      <c r="I55" s="460"/>
    </row>
    <row r="56" spans="1:11" ht="15.75" x14ac:dyDescent="0.25">
      <c r="A56" s="496" t="s">
        <v>53</v>
      </c>
      <c r="B56" s="313" t="s">
        <v>80</v>
      </c>
      <c r="C56" s="60" t="s">
        <v>347</v>
      </c>
      <c r="D56" s="292"/>
      <c r="E56" s="140"/>
      <c r="F56" s="357" t="str">
        <f>IF(E56="","",IF('Quantification Tool'!$B$18="","Enter Stream Temperature",IF('Quantification Tool'!$B$18="Tier I (Cold) ",IF(E56&gt;=20.1,0,IF(E56&lt;=13.5,1,ROUND(E56*'Reference Curves'!$S$18+'Reference Curves'!$S$19,2))),IF('Quantification Tool'!$B$18="Tier II (Cold-Cool)",IF(E56&gt;=20.5,0,IF(E56&lt;=16.5,1,ROUND(E56*'Reference Curves'!$T$18+'Reference Curves'!$T$19,2))),IF('Quantification Tool'!$B$18="Tier III (Cool) ",IF(E56&gt;=23.6,0,IF(E56&lt;=18.3,1,ROUND(E56*'Reference Curves'!$U$18+'Reference Curves'!$U$19,2))),IF('Quantification Tool'!$B$18="Tier IV (Cool-Warm)",IF(E56&gt;=27.2,0,IF(E56&lt;=23.2,1,ROUND(E56*'Reference Curves'!$V$18+'Reference Curves'!$V$19,2))),IF('Quantification Tool'!$B$18="Tier V (Warm)",IF(E56&gt;=30.3,0,IF(E56&lt;=26,1,ROUND(E56*'Reference Curves'!$W$18+'Reference Curves'!$W$19,2))))))))))</f>
        <v/>
      </c>
      <c r="G56" s="309" t="str">
        <f>IF(F56="","", ROUND(AVERAGE(F56),2))</f>
        <v/>
      </c>
      <c r="H56" s="478" t="str">
        <f>IFERROR(ROUND(AVERAGE(G56:G57),2),"")</f>
        <v/>
      </c>
      <c r="I56" s="473" t="str">
        <f>IF(H56="","",IF(H56&gt;0.69,"Functioning",IF(H56&gt;0.29,"Functioning At Risk",IF(H56&gt;-1,"Not Functioning"))))</f>
        <v/>
      </c>
    </row>
    <row r="57" spans="1:11" ht="15.75" x14ac:dyDescent="0.25">
      <c r="A57" s="497"/>
      <c r="B57" s="363" t="s">
        <v>249</v>
      </c>
      <c r="C57" s="35" t="s">
        <v>357</v>
      </c>
      <c r="D57" s="160"/>
      <c r="E57" s="106"/>
      <c r="F57" s="161" t="str">
        <f>IF(E57="","",IF(OR('Quantification Tool'!$B$10="Basins",'Quantification Tool'!$B$10="Plains"),IF(E57&gt;=150,0,IF(E57&lt;16,1,ROUND('Reference Curves'!$S$53*LN(E57)+'Reference Curves'!$S$54,2))),IF(E57&gt;=97,0,IF(E57&lt;=13,1,ROUND('Reference Curves'!$T$53*LN(E57)+'Reference Curves'!$T$54,2)))))</f>
        <v/>
      </c>
      <c r="G57" s="162" t="str">
        <f>IFERROR(AVERAGE(F57),"")</f>
        <v/>
      </c>
      <c r="H57" s="479"/>
      <c r="I57" s="473"/>
    </row>
    <row r="58" spans="1:11" ht="15.75" x14ac:dyDescent="0.25">
      <c r="A58" s="508" t="s">
        <v>54</v>
      </c>
      <c r="B58" s="511" t="s">
        <v>189</v>
      </c>
      <c r="C58" s="163" t="s">
        <v>186</v>
      </c>
      <c r="D58" s="164"/>
      <c r="E58" s="142"/>
      <c r="F58" s="165" t="str">
        <f>IF(E58="","",IF('Quantification Tool'!$B$11="","Enter Bioregion",IF('Quantification Tool'!$B$11="Wyoming Basin",IF(E58&lt;=5.3,0,IF(E58&gt;=64.5,1,ROUND(IF(E58&lt;26.2,'Reference Curves'!$AB$17*E58+'Reference Curves'!$AB$18,IF(E58&lt;39.9, 'Reference Curves'!$AC$17*E58+'Reference Curves'!$AC$18,'Reference Curves'!$AD$17*E58+'Reference Curves'!$AD$18)),2))), IF('Quantification Tool'!$B$11="Black Hills",IF(E58&lt;=12.8,0,IF(E58&gt;=65.7,1,ROUND(IF(E58&lt;30.7,'Reference Curves'!$AE$17*E58+'Reference Curves'!$AE$18,IF(E58&lt;46.1,'Reference Curves'!$AF$17*E58+'Reference Curves'!$AF$18,'Reference Curves'!$AG$17*E58+'Reference Curves'!$AG$18)),2))), IF('Quantification Tool'!$B$11="High Valleys",IF(E58&lt;=17.1,0,IF(E58&gt;=78.2,1,ROUND(IF(E58&lt;48.8,'Reference Curves'!$AH$17*E58+'Reference Curves'!$AH$18,'Reference Curves'!$AI$17*E58+'Reference Curves'!$AI$18),2))),     IF('Quantification Tool'!$B$11="Southern Rockies",IF(E58&lt;=5.1,0,IF(E58&gt;=82.2,1,ROUND(IF(E58&lt;32.6, 'Reference Curves'!$AB$54*E58+'Reference Curves'!$AB$55, IF(E58&lt;48.8, 'Reference Curves'!$AC$54*E58+'Reference Curves'!$AC$55,  'Reference Curves'!$AD$54*E58+'Reference Curves'!$AD$55)), 2))), IF('Quantification Tool'!$B$11="SE Plains",IF(E58&lt;=10.4,0,IF(E58&gt;=87,1,ROUND(IF(E58&lt;36.7,'Reference Curves'!$AE$54*E58+'Reference Curves'!$AE$55, IF(E58&lt;55.1, 'Reference Curves'!$AF$54*E58+'Reference Curves'!$AF$55, 'Reference Curves'!$AG$54*E58+'Reference Curves'!$AG$55)),2))),   IF('Quantification Tool'!$B$11="NE Plains",IF(E58&lt;=1.6,0,IF(E58&gt;=95.8,1,ROUND(IF(E58&lt;38.9,'Reference Curves'!$AH$54*E58+'Reference Curves'!$AH$55, IF(E58&lt;58.4, 'Reference Curves'!$AI$54*E58+'Reference Curves'!$AI$55, 'Reference Curves'!$AJ$54*E58+'Reference Curves'!$AJ$55)),2))),      IF('Quantification Tool'!$B$11="Granitic Mountains",IF(E58&lt;=32.6,0,IF(E58&gt;=74.9,1,ROUND(IF(E58&lt;40.2, 'Reference Curves'!$AB$92*E58+'Reference Curves'!$AB$93, 'Reference Curves'!$AC$92*E58+'Reference Curves'!$AC$93),2))), IF('Quantification Tool'!$B$11="Volcanic Mountains &amp; Valleys",IF(E58&lt;=26,0,IF(E58&gt;=88.1,1,ROUND('Reference Curves'!$AF$92*E58+'Reference Curves'!$AF$93,2))), IF('Quantification Tool'!$B$11="Southern Foothills &amp; Laramie Range",IF(E58&lt;=30.7,0,IF(E58&gt;=85,1,ROUND(IF(E58&lt;44.5, 'Reference Curves'!$AD$92*E58+'Reference Curves'!$AD$93,  'Reference Curves'!$AE$92*E58+'Reference Curves'!$AE$93 ),2))),     IF('Quantification Tool'!$B$11="Sedimentary Mountains",IF(E58&lt;=17,0,IF(E58&gt;=70,1,ROUND('Reference Curves'!$AB$127*E58+'Reference Curves'!$AB$128,2))), IF('Quantification Tool'!$B$11="Bighorn Basin Foothills",IF(E58&lt;=3.9,0,IF(E58&gt;=80,1,ROUND(IF(E58&lt;40.6,'Reference Curves'!$AC$127*E58+'Reference Curves'!$AC$128,'Reference Curves'!$AD$127*E58+'Reference Curves'!$AD$128),2)))  )))))))))))))</f>
        <v/>
      </c>
      <c r="G58" s="474" t="str">
        <f>IFERROR(IF(AND(F58="",F59=""),"",IF(OR(F58="",F59=""),AVERAGE(F58:F59),IF(OR(F58&lt;0.3,F59&lt;0.3),IF(OR(F58&gt;=0.7,F59&gt;=0.7),MIN(0.69,AVERAGE(F58:F59)),MIN(0.29,AVERAGE(F58:F59))), IF(OR(F58&gt;=0.7,F59&gt;=0.7),IF(AVERAGE(F58:F59)&lt;0.7,0.7,AVERAGE(F58:F59)),AVERAGE(F58:F59))))),"")</f>
        <v/>
      </c>
      <c r="H58" s="476" t="str">
        <f>IFERROR(ROUND(AVERAGE(G58:G62),2),"")</f>
        <v/>
      </c>
      <c r="I58" s="473" t="str">
        <f>IF(H58="","",IF(H58&gt;0.69,"Functioning",IF(H58&gt;0.29,"Functioning At Risk",IF(H58&gt;-1,"Not Functioning"))))</f>
        <v/>
      </c>
    </row>
    <row r="59" spans="1:11" ht="15.75" x14ac:dyDescent="0.25">
      <c r="A59" s="509"/>
      <c r="B59" s="513"/>
      <c r="C59" s="166" t="s">
        <v>187</v>
      </c>
      <c r="D59" s="167"/>
      <c r="E59" s="143"/>
      <c r="F59" s="168" t="str">
        <f>IF(E59="","",IF('Quantification Tool'!$B$11="","Enter Bioregion",IF('Quantification Tool'!$B$11="Wyoming Basin",IF(E59&lt;0.15,0,IF(E59&gt;1.18,1,ROUND(IF(E59&lt;0.64,'Reference Curves'!$AB$166*E59+'Reference Curves'!$AB$167, IF(E59&lt;0.82, 'Reference Curves'!$AC$166*E59+'Reference Curves'!$AC$167, 'Reference Curves'!$AD$166*E59+'Reference Curves'!$AD$167) ),2))), IF('Quantification Tool'!$B$11="Black Hills",IF(E59&lt;=0.37,0,IF(E59&gt;1.08,1,ROUND('Reference Curves'!$AE$166*E59+'Reference Curves'!$AE$167,2))), IF('Quantification Tool'!$B$11="High Valleys",IF(E59&lt;0.42,0,IF(E59&gt;1.14,1,ROUND(IF(E59&lt;0.68, 'Reference Curves'!$AF$166*E59+'Reference Curves'!$AF$167, IF(E59&lt;0.86, 'Reference Curves'!$AG$166*E59+'Reference Curves'!$AG$167, 'Reference Curves'!$AH$166*E59+'Reference Curves'!$AH$167)),2))), IF('Quantification Tool'!$B$11="Sedimentary Mountains",IF(E59&lt;0.42,0,IF(E59&gt;1.17,1,ROUND(IF(E59&lt;0.68, 'Reference Curves'!$AI$166*E59+'Reference Curves'!$AI$167, IF(E59&lt;0.82, 'Reference Curves'!$AJ$166*E59+'Reference Curves'!$AJ$167, 'Reference Curves'!$AK$166*E59+'Reference Curves'!$AK$167) ),2))),        IF('Quantification Tool'!$B$11="Southern Rockies",IF(E59&lt;0.27,0,IF(E59&gt;=1.18,1,ROUND(IF(E59&lt;0.62, 'Reference Curves'!$AB$204*E59+'Reference Curves'!$AB$205, IF(E59&lt;0.89, 'Reference Curves'!$AC$204*E59+'Reference Curves'!$AC$205, 'Reference Curves'!$AD$204*E59+'Reference Curves'!$AD$205) ),2))), IF('Quantification Tool'!$B$11="SE Plains",IF(E59&lt;0.34,0,IF(E59&gt;1.12,1,ROUND(IF(E59&lt;0.78, 'Reference Curves'!$AE$204*E59+'Reference Curves'!$AE$205, 'Reference Curves'!$AF$204*E59+'Reference Curves'!$AF$205),2))), IF('Quantification Tool'!$B$11="NE Plains",IF(E59&lt;0.11,0,IF(E59&gt;=0.98,1,ROUND(IF(E59&lt;0.52, 'Reference Curves'!$AG$204*E59+'Reference Curves'!$AG$205,'Reference Curves'!$AH$204*E59+'Reference Curves'!$AH$205 ),2))),    IF('Quantification Tool'!$B$11="Granitic Mountains",IF(E59&lt;=0.59,0,IF(E59&gt;=1.09,1,ROUND(IF(E59&lt;0.65, 'Reference Curves'!$AB$242*E59+'Reference Curves'!$AB$243, 'Reference Curves'!$AC$242*E59+'Reference Curves'!$AC$243),2))),IF('Quantification Tool'!$B$11="Bighorn Basin Foothills",IF(E59&lt;=0.41,0,IF(E59&gt;=0.92,1,ROUND(IF(E59&lt;0.84, 'Reference Curves'!$AD$242*E59+'Reference Curves'!$AD$243,  'Reference Curves'!$AE$242*E59+'Reference Curves'!$AE$243),2))),IF('Quantification Tool'!$B$11="Volcanic Mountains &amp; Valleys",IF(E59&lt;=0.21,0,IF(E59&gt;=1.21,1,ROUND(IF(E59&lt;0.65, 'Reference Curves'!$AI$242*E59+'Reference Curves'!$AI$243, IF(E59&lt;0.86,  'Reference Curves'!$AJ$242*E59+'Reference Curves'!$AJ$243,  'Reference Curves'!$AK$242*E59+'Reference Curves'!$AK$243)),2))), IF('Quantification Tool'!$B$11="Southern Foothills &amp; Laramie Range",IF(E59&lt;=0.29,0,IF(E59&gt;=1.2,1,ROUND(IF(E59&lt;0.68, 'Reference Curves'!$AF$242*E59+'Reference Curves'!$AF$243, IF(E59&lt;0.88,  'Reference Curves'!$AG$242*E59+'Reference Curves'!$AG$243, 'Reference Curves'!$AH$242*E59+'Reference Curves'!$AH$243)),2))) )))))))))))))</f>
        <v/>
      </c>
      <c r="G59" s="475"/>
      <c r="H59" s="476"/>
      <c r="I59" s="473"/>
      <c r="K59" s="5"/>
    </row>
    <row r="60" spans="1:11" ht="15.75" x14ac:dyDescent="0.25">
      <c r="A60" s="509"/>
      <c r="B60" s="511" t="s">
        <v>75</v>
      </c>
      <c r="C60" s="58" t="s">
        <v>349</v>
      </c>
      <c r="D60" s="169"/>
      <c r="E60" s="142"/>
      <c r="F60" s="170" t="str">
        <f>IF(E60="","",IF(E60&lt;58,0,IF(E60&gt;=100,1,ROUND(E60*'Reference Curves'!$AB$280+'Reference Curves'!$AB$281,2))))</f>
        <v/>
      </c>
      <c r="G60" s="474" t="str">
        <f>IFERROR(AVERAGE(F60:F62),"")</f>
        <v/>
      </c>
      <c r="H60" s="476"/>
      <c r="I60" s="473"/>
    </row>
    <row r="61" spans="1:11" ht="15.75" x14ac:dyDescent="0.25">
      <c r="A61" s="509"/>
      <c r="B61" s="512"/>
      <c r="C61" s="59" t="s">
        <v>350</v>
      </c>
      <c r="D61" s="171"/>
      <c r="E61" s="140"/>
      <c r="F61" s="170" t="str">
        <f>IF(E61="","",ROUND(IF(E61&gt;=3,0,IF(E61&gt;=2,0.3,IF(E61&gt;=1,0.69,1))),2))</f>
        <v/>
      </c>
      <c r="G61" s="477"/>
      <c r="H61" s="476"/>
      <c r="I61" s="473"/>
    </row>
    <row r="62" spans="1:11" ht="15.75" x14ac:dyDescent="0.25">
      <c r="A62" s="510"/>
      <c r="B62" s="513"/>
      <c r="C62" s="39" t="s">
        <v>351</v>
      </c>
      <c r="D62" s="172"/>
      <c r="E62" s="143"/>
      <c r="F62" s="168" t="str">
        <f>IF(E62="","",IF('Quantification Tool'!$B$20="","Enter Stream Producitvity Rating",IF('Quantification Tool'!$B$20="Blue Ribbon and non-trout",IF(E62&lt;5,0,IF(E62&gt;=40,1,ROUND(E62*'Reference Curves'!$AB$319+'Reference Curves'!$AB$320,2))),IF('Quantification Tool'!$B$20="Red Ribbon",IF(E62&lt;10,0,IF(E62&gt;=80,1,ROUND(E62*'Reference Curves'!$AC$319+'Reference Curves'!$AC$320,2))),IF(OR('Quantification Tool'!$B$20="Yellow Ribbon",'Quantification Tool'!$B$20="Green Ribbon"),IF(E62&lt;15,0,IF(E62&gt;=119,1,ROUND(E62*'Reference Curves'!$AD$319+'Reference Curves'!$AD$320,2)))   )))))</f>
        <v/>
      </c>
      <c r="G62" s="475"/>
      <c r="H62" s="476"/>
      <c r="I62" s="473"/>
    </row>
    <row r="63" spans="1:11" x14ac:dyDescent="0.25">
      <c r="J63" s="5"/>
    </row>
    <row r="64" spans="1:11" ht="21" x14ac:dyDescent="0.35">
      <c r="A64" s="47" t="s">
        <v>135</v>
      </c>
      <c r="B64" s="352"/>
      <c r="C64" s="355" t="s">
        <v>383</v>
      </c>
      <c r="D64" s="560"/>
      <c r="E64" s="560"/>
      <c r="F64" s="561"/>
      <c r="G64" s="554" t="s">
        <v>14</v>
      </c>
      <c r="H64" s="555"/>
      <c r="I64" s="556"/>
      <c r="J64" s="5"/>
    </row>
    <row r="65" spans="1:9" ht="15.75" x14ac:dyDescent="0.25">
      <c r="A65" s="53" t="s">
        <v>1</v>
      </c>
      <c r="B65" s="53" t="s">
        <v>2</v>
      </c>
      <c r="C65" s="327" t="s">
        <v>3</v>
      </c>
      <c r="D65" s="328"/>
      <c r="E65" s="53" t="s">
        <v>12</v>
      </c>
      <c r="F65" s="53" t="s">
        <v>13</v>
      </c>
      <c r="G65" s="53" t="s">
        <v>15</v>
      </c>
      <c r="H65" s="53" t="s">
        <v>16</v>
      </c>
      <c r="I65" s="413" t="s">
        <v>16</v>
      </c>
    </row>
    <row r="66" spans="1:9" ht="15.75" x14ac:dyDescent="0.25">
      <c r="A66" s="540" t="s">
        <v>345</v>
      </c>
      <c r="B66" s="485" t="s">
        <v>128</v>
      </c>
      <c r="C66" s="287" t="s">
        <v>341</v>
      </c>
      <c r="D66" s="288"/>
      <c r="E66" s="142"/>
      <c r="F66" s="335" t="str">
        <f>IF(E66="","",IF(E66&gt;=80,0,IF(E66&lt;=40,1,IF(E66&gt;=68,ROUND(E66*'Reference Curves'!$C$14+'Reference Curves'!$C$15,2),ROUND(E66*'Reference Curves'!$D$14+'Reference Curves'!$D$15,2)))))</f>
        <v/>
      </c>
      <c r="G66" s="501" t="str">
        <f>IFERROR(AVERAGE(F66:F67),"")</f>
        <v/>
      </c>
      <c r="H66" s="501" t="str">
        <f>IFERROR(ROUND(AVERAGE(G66:G70),2),"")</f>
        <v/>
      </c>
      <c r="I66" s="504" t="str">
        <f>IF(H66="","",IF(H66:H70&gt;0.69,"Functioning",IF(H66&gt;0.29,"Functioning At Risk",IF(H66&gt;-1,"Not Functioning"))))</f>
        <v/>
      </c>
    </row>
    <row r="67" spans="1:9" ht="15.75" x14ac:dyDescent="0.25">
      <c r="A67" s="541"/>
      <c r="B67" s="486"/>
      <c r="C67" s="289" t="s">
        <v>129</v>
      </c>
      <c r="D67" s="145"/>
      <c r="E67" s="143"/>
      <c r="F67" s="291" t="str">
        <f>IF(E67="","",   IF(E67&gt;3.22,0, IF(E67&lt;0, "", ROUND('Reference Curves'!$C$44*E67+'Reference Curves'!$C$45,2))))</f>
        <v/>
      </c>
      <c r="G67" s="503"/>
      <c r="H67" s="502"/>
      <c r="I67" s="505"/>
    </row>
    <row r="68" spans="1:9" ht="15.6" customHeight="1" x14ac:dyDescent="0.25">
      <c r="A68" s="541"/>
      <c r="B68" s="290" t="s">
        <v>140</v>
      </c>
      <c r="C68" s="543" t="s">
        <v>237</v>
      </c>
      <c r="D68" s="544"/>
      <c r="E68" s="144"/>
      <c r="F68" s="291" t="str">
        <f>IF(E68="","",IF(OR(E68&gt;=2,E68&lt;=0.26),0,IF(AND(E68&gt;=0.9,E68&lt;=1.1),1,ROUND(IF(E68&lt;0.9,'Reference Curves'!$C$75*E68+'Reference Curves'!$C$76,'Reference Curves'!$D$75*E68+'Reference Curves'!$D$76),2))))</f>
        <v/>
      </c>
      <c r="G68" s="364" t="str">
        <f>IFERROR(F68,"")</f>
        <v/>
      </c>
      <c r="H68" s="502"/>
      <c r="I68" s="505"/>
    </row>
    <row r="69" spans="1:9" ht="15.75" x14ac:dyDescent="0.25">
      <c r="A69" s="541"/>
      <c r="B69" s="485" t="s">
        <v>5</v>
      </c>
      <c r="C69" s="145" t="s">
        <v>6</v>
      </c>
      <c r="D69" s="145"/>
      <c r="E69" s="140"/>
      <c r="F69" s="336" t="str">
        <f>IF(E69="","",ROUND(IF(E69&gt;1.71,0,IF(E69&lt;=1,1,E69*'Reference Curves'!C$107+'Reference Curves'!C$108)),2))</f>
        <v/>
      </c>
      <c r="G69" s="501" t="str">
        <f>IFERROR(AVERAGE(F69:F70),"")</f>
        <v/>
      </c>
      <c r="H69" s="502"/>
      <c r="I69" s="505"/>
    </row>
    <row r="70" spans="1:9" ht="15.6" customHeight="1" x14ac:dyDescent="0.25">
      <c r="A70" s="542"/>
      <c r="B70" s="486"/>
      <c r="C70" s="146" t="s">
        <v>7</v>
      </c>
      <c r="D70" s="146"/>
      <c r="E70" s="143"/>
      <c r="F70" s="147" t="str">
        <f>IF(E70="","",IF(OR('Quantification Tool'!$B$9="A",'Quantification Tool'!$B$9="Ba",'Quantification Tool'!$B$9="B", 'Quantification Tool'!$B$9="Bc"),IF(E70&lt;1.05,0,IF(E70&gt;=2.2,1,ROUND(IF(E70&lt;1.4,E70*'Reference Curves'!$C$176+'Reference Curves'!$C$177,E70*'Reference Curves'!$D$176+'Reference Curves'!$D$177),2))),IF(OR('Quantification Tool'!$B$9="C",'Quantification Tool'!$B$9="Cb",'Quantification Tool'!$B$9="E"),IF(E70&lt;1.7,0,IF(E70&gt;=5,1,ROUND(IF(E70&lt;2.4,E70*'Reference Curves'!$D$141+'Reference Curves'!$D$142,E70*'Reference Curves'!$C$141+'Reference Curves'!$C$142),2))))))</f>
        <v/>
      </c>
      <c r="G70" s="503"/>
      <c r="H70" s="503"/>
      <c r="I70" s="506"/>
    </row>
    <row r="71" spans="1:9" ht="15.75" x14ac:dyDescent="0.25">
      <c r="A71" s="465" t="s">
        <v>20</v>
      </c>
      <c r="B71" s="465" t="s">
        <v>21</v>
      </c>
      <c r="C71" s="34" t="s">
        <v>19</v>
      </c>
      <c r="D71" s="148"/>
      <c r="E71" s="142"/>
      <c r="F71" s="149" t="str">
        <f>IF(E71="","",IF(E71&gt;=660,1,IF(E71&lt;=430,ROUND('Reference Curves'!$K$14*E71+'Reference Curves'!$K$15,2),ROUND('Reference Curves'!$L$14*E71+'Reference Curves'!$L$15,2))))</f>
        <v/>
      </c>
      <c r="G71" s="455" t="str">
        <f>IFERROR(AVERAGE(F71:F72),"")</f>
        <v/>
      </c>
      <c r="H71" s="455" t="str">
        <f>IFERROR(ROUND(AVERAGE(G71:G86),2),"")</f>
        <v/>
      </c>
      <c r="I71" s="458" t="str">
        <f>IF(H71="","",IF(H71&gt;0.69,"Functioning",IF(H71&gt;0.29,"Functioning At Risk",IF(H71&gt;-1,"Not Functioning"))))</f>
        <v/>
      </c>
    </row>
    <row r="72" spans="1:9" ht="15.6" customHeight="1" x14ac:dyDescent="0.25">
      <c r="A72" s="462"/>
      <c r="B72" s="463"/>
      <c r="C72" s="279" t="s">
        <v>346</v>
      </c>
      <c r="D72" s="151"/>
      <c r="E72" s="140"/>
      <c r="F72" s="337" t="str">
        <f>IF(E72="","",IF(E72&gt;=28,1,ROUND(IF(E72&lt;=13,'Reference Curves'!$K$47*E72,'Reference Curves'!$L$47*E72+'Reference Curves'!$L$48),2)))</f>
        <v/>
      </c>
      <c r="G72" s="457"/>
      <c r="H72" s="456"/>
      <c r="I72" s="459"/>
    </row>
    <row r="73" spans="1:9" ht="15.75" x14ac:dyDescent="0.25">
      <c r="A73" s="462"/>
      <c r="B73" s="461" t="s">
        <v>402</v>
      </c>
      <c r="C73" s="148" t="s">
        <v>250</v>
      </c>
      <c r="D73" s="277"/>
      <c r="E73" s="142"/>
      <c r="F73" s="385" t="str">
        <f>IF(E73="","",ROUND(IF(E73&lt;=2,0,IF(E73&gt;=9,1,E73^3*'Reference Curves'!K$81+E73^2*'Reference Curves'!$K$82+E73*'Reference Curves'!$K$83+'Reference Curves'!$K$84)),2))</f>
        <v/>
      </c>
      <c r="G73" s="455" t="str">
        <f>IFERROR(AVERAGE(F73:F76),"")</f>
        <v/>
      </c>
      <c r="H73" s="456"/>
      <c r="I73" s="459"/>
    </row>
    <row r="74" spans="1:9" ht="15.75" x14ac:dyDescent="0.25">
      <c r="A74" s="462"/>
      <c r="B74" s="462"/>
      <c r="C74" s="151" t="s">
        <v>43</v>
      </c>
      <c r="D74" s="151"/>
      <c r="E74" s="140"/>
      <c r="F74" s="339" t="str">
        <f>IF(E74="","",IF(OR(E74="Ex/Ex",E74="Ex/VH",E74="Ex/H",E74="Ex/M",E74="VH/Ex",E74="VH/VH", E74="H/Ex",E74="H/VH"),0, IF(OR(E74="M/Ex"),0.1,IF(OR(E74="VH/H",E74="VH/M",E74="H/H",E74="H/M", E74="M/VH"),0.2, IF(OR(E74="Ex/VL",E74="Ex/L", E74="M/H"),0.3, IF(OR(E74="VH/L",E74="H/L"),0.4, IF(OR(E74="VH/VL",E74="H/VL",E74="M/M"),0.5, IF(OR(E74="M/L",E74="L/Ex"),0.6, IF(OR(E74="M/VL",E74="L/VH", E74="L/H",E74="L/M",E74="L/L",E74="L/VL"),1)))))))))</f>
        <v/>
      </c>
      <c r="G74" s="456"/>
      <c r="H74" s="456"/>
      <c r="I74" s="459"/>
    </row>
    <row r="75" spans="1:9" ht="15.75" x14ac:dyDescent="0.25">
      <c r="A75" s="462"/>
      <c r="B75" s="462"/>
      <c r="C75" s="368" t="s">
        <v>87</v>
      </c>
      <c r="D75" s="368"/>
      <c r="E75" s="140"/>
      <c r="F75" s="339" t="str">
        <f>IF(E75="","",ROUND(IF(E75&gt;=75,0,IF(E75&lt;=5,1,IF(E75&gt;10,E75*'Reference Curves'!K$115+'Reference Curves'!K$116,'Reference Curves'!$L$115*E75+'Reference Curves'!$L$116))),2))</f>
        <v/>
      </c>
      <c r="G75" s="456"/>
      <c r="H75" s="456"/>
      <c r="I75" s="459"/>
    </row>
    <row r="76" spans="1:9" s="317" customFormat="1" ht="15.75" x14ac:dyDescent="0.25">
      <c r="A76" s="462"/>
      <c r="B76" s="463"/>
      <c r="C76" s="371" t="s">
        <v>401</v>
      </c>
      <c r="D76" s="278"/>
      <c r="E76" s="143"/>
      <c r="F76" s="386" t="str">
        <f>IF(E76="","",IF(E76&gt;=30,0,ROUND(E76*'Reference Curves'!$K$146+'Reference Curves'!$K$147,2)))</f>
        <v/>
      </c>
      <c r="G76" s="457"/>
      <c r="H76" s="456"/>
      <c r="I76" s="459"/>
    </row>
    <row r="77" spans="1:9" ht="15.75" x14ac:dyDescent="0.25">
      <c r="A77" s="462"/>
      <c r="B77" s="361" t="s">
        <v>105</v>
      </c>
      <c r="C77" s="33" t="s">
        <v>130</v>
      </c>
      <c r="D77" s="151"/>
      <c r="E77" s="143"/>
      <c r="F77" s="332" t="str">
        <f>IF(OR(E77="",'Quantification Tool'!$B$13=""),"",IF(OR('Quantification Tool'!$B$13="Silt/Clay",'Quantification Tool'!$B$13="Sand",'Quantification Tool'!$B$13="Boulders",'Quantification Tool'!$B$13="Bedrock"),"NA",IF(E77&gt;0.1,1,IF(E77&lt;=0.01,0,ROUND(E77*'Reference Curves'!$K$177+'Reference Curves'!$K$178,2)))))</f>
        <v/>
      </c>
      <c r="G77" s="153" t="str">
        <f>IFERROR(AVERAGE(F77),"")</f>
        <v/>
      </c>
      <c r="H77" s="456"/>
      <c r="I77" s="459"/>
    </row>
    <row r="78" spans="1:9" ht="15.75" x14ac:dyDescent="0.25">
      <c r="A78" s="462"/>
      <c r="B78" s="465" t="s">
        <v>45</v>
      </c>
      <c r="C78" s="148" t="s">
        <v>46</v>
      </c>
      <c r="D78" s="148"/>
      <c r="E78" s="142"/>
      <c r="F78" s="155" t="str">
        <f>IF(E78="","",IF('Quantification Tool'!$B$9="Bc",IF(OR(E78&gt;=12,E78&lt;=0.1),0,IF(E78&lt;=3.4,1,ROUND('Reference Curves'!$K$310*E78+'Reference Curves'!$K$311,2))),  IF(OR('Quantification Tool'!$B$9="B",'Quantification Tool'!$B$9="Ba"),IF(OR(E78&gt;=7.5,E78&lt;=0.1),0,IF(E78&lt;=3,1,ROUND(IF(E78&gt;4,'Reference Curves'!$K$279*E78+'Reference Curves'!$K$280,'Reference Curves'!$L$279*E78+'Reference Curves'!$L$280),2))),  IF('Quantification Tool'!$B$9="Cb",IF(OR(E78&gt;=8.35,E78&lt;1.4),0,IF(AND(E78&gt;=3.7,E78&lt;=5),1,ROUND(IF(E78&lt;3.7,'Reference Curves'!$K$247*E78+'Reference Curves'!$K$248,'Reference Curves'!$L$247*E78+'Reference Curves'!$L$248),2))),  IF('Quantification Tool'!$B$9="C",IF(OR(E78&gt;9.3,E78&lt;=3),0,IF(AND(E78&gt;=4,E78&lt;=6),1,ROUND(IF(E78&lt;4,'Reference Curves'!$K$213*E78+'Reference Curves'!$K$214,'Reference Curves'!$L$213*E78+'Reference Curves'!$L$214),2))),  IF('Quantification Tool'!$B$9="E",IF(OR(E78&gt;8.2,E78&lt;1.85),0,IF(AND(E78&gt;=3.5,E78&lt;=5),1,ROUND(IF(E78&lt;3.5,'Reference Curves'!$K$343*E78+'Reference Curves'!$K$344,'Reference Curves'!$L$343*E78+'Reference Curves'!$L$344),2)))      ))))))</f>
        <v/>
      </c>
      <c r="G78" s="480" t="str">
        <f>IFERROR(AVERAGE(F78:F81),"")</f>
        <v/>
      </c>
      <c r="H78" s="456"/>
      <c r="I78" s="459"/>
    </row>
    <row r="79" spans="1:9" ht="15.75" x14ac:dyDescent="0.25">
      <c r="A79" s="462"/>
      <c r="B79" s="462"/>
      <c r="C79" s="151" t="s">
        <v>47</v>
      </c>
      <c r="D79" s="151"/>
      <c r="E79" s="140"/>
      <c r="F79" s="156" t="str">
        <f>IF(E79="","",IF(E79&lt;=1,0,IF(E79&gt;=3.2,1,IF(E79&gt;=2.2,ROUND('Reference Curves'!$L$375*E79+'Reference Curves'!$L$376,2),(ROUND('Reference Curves'!$K$375*E79+'Reference Curves'!$K$376,2))))))</f>
        <v/>
      </c>
      <c r="G79" s="464"/>
      <c r="H79" s="456"/>
      <c r="I79" s="459"/>
    </row>
    <row r="80" spans="1:9" ht="15.75" x14ac:dyDescent="0.25">
      <c r="A80" s="462"/>
      <c r="B80" s="462"/>
      <c r="C80" s="31" t="s">
        <v>356</v>
      </c>
      <c r="D80" s="151"/>
      <c r="E80" s="140"/>
      <c r="F80" s="362" t="str">
        <f>IF(E80="","",IF('Quantification Tool'!$B$11="Volcanic Mountains &amp; Valleys", IF(OR(E80&gt;86.65,E80&lt;33),0,IF(AND(E80&gt;=73,E80&lt;=80),1, ROUND(IF(E80&lt;73,'Reference Curves'!$K$408*E80+'Reference Curves'!$K$409, 'Reference Curves'!$L$408*E80+'Reference Curves'!$L$409),2))), IF('Quantification Tool'!B$16="","Need Slope",IF('Quantification Tool'!B$16&lt;3,IF( OR(E80&gt;=91,E80&lt;=13.5),0, IF(AND(E80&gt;49,E80&lt;61), 1, ROUND(IF(E80&lt;50,'Reference Curves'!$K$441*E80+'Reference Curves'!$K$442, IF(E80&gt;60,'Reference Curves'!$L$441*E80+'Reference Curves'!$L$442)),2))), IF('Quantification Tool'!B$16&gt;=3,IF(OR(E80&gt;94.5,E80&lt;41.5),0, IF(AND(E80 &gt;=68, E80&lt;=78),1, ROUND(IF(E80&lt;68,'Reference Curves'!$K$475*E80+'Reference Curves'!$K$476,'Reference Curves'!$L$475*E80+'Reference Curves'!$L$476),2) )))))))</f>
        <v/>
      </c>
      <c r="G80" s="464"/>
      <c r="H80" s="456"/>
      <c r="I80" s="459"/>
    </row>
    <row r="81" spans="1:11" ht="15.75" x14ac:dyDescent="0.25">
      <c r="A81" s="462"/>
      <c r="B81" s="463"/>
      <c r="C81" s="150" t="s">
        <v>213</v>
      </c>
      <c r="D81" s="150"/>
      <c r="E81" s="143"/>
      <c r="F81" s="360" t="str">
        <f>IF(E81="","",IF(E81&gt;=1.6,0,IF(E81&lt;=1,1,ROUND('Reference Curves'!$K$506*E81^3+'Reference Curves'!$K$507*E81^2+'Reference Curves'!$K$508*E81+'Reference Curves'!$K$509,2))))</f>
        <v/>
      </c>
      <c r="G81" s="481"/>
      <c r="H81" s="456"/>
      <c r="I81" s="459"/>
    </row>
    <row r="82" spans="1:11" ht="15.75" x14ac:dyDescent="0.25">
      <c r="A82" s="462"/>
      <c r="B82" s="361" t="s">
        <v>49</v>
      </c>
      <c r="C82" s="151" t="s">
        <v>48</v>
      </c>
      <c r="D82" s="151"/>
      <c r="E82" s="140"/>
      <c r="F82" s="341" t="str">
        <f>IF(E82="","",IF('Quantification Tool'!B$9="E",IF(OR(E82&gt;2.14,E82&lt;1.13),0, IF(AND(E82&gt;=1.3, E82&lt;=1.8),1, ROUND(IF(E82&lt;1.3,E82*'Reference Curves'!K$542+'Reference Curves'!K$543, E82*'Reference Curves'!L$542+'Reference Curves'!$L$543),2))),    IF('Quantification Tool'!$B$21="Unconfined Alluvial",IF(OR(E82&lt;1.12, E82&gt;1.67),0, IF(AND(E82&lt;=1.5,E82&gt;=1.2),1,ROUND(IF(E82&lt;1.2,E82*'Reference Curves'!$K$575+'Reference Curves'!$K$576, E82*'Reference Curves'!$L$575+'Reference Curves'!$L$576),2))),  IF('Quantification Tool'!$B$21="Confined Alluvial",IF(E82&lt;=1,0, IF(E82&gt;=1.2,1, ROUND(E82*'Reference Curves'!$K$604+'Reference Curves'!$K$605,2))),    IF('Quantification Tool'!$B$21="Colluvial/V-Shaped",IF(OR(E82&lt;1, E82&gt;1.47),0, IF(AND(E82&lt;=1.3,E82&gt;=1.1),1,ROUND(IF(E82&lt;1.1,E82*'Reference Curves'!$K$637+'Reference Curves'!$K$638, E82*'Reference Curves'!$L$637+'Reference Curves'!$L$638),2)))  )))))</f>
        <v/>
      </c>
      <c r="G82" s="156" t="str">
        <f>IFERROR(AVERAGE(F82),"")</f>
        <v/>
      </c>
      <c r="H82" s="456"/>
      <c r="I82" s="459"/>
    </row>
    <row r="83" spans="1:11" ht="15.75" x14ac:dyDescent="0.25">
      <c r="A83" s="462"/>
      <c r="B83" s="465" t="s">
        <v>44</v>
      </c>
      <c r="C83" s="32" t="s">
        <v>344</v>
      </c>
      <c r="D83" s="148"/>
      <c r="E83" s="142"/>
      <c r="F83" s="365" t="str">
        <f>IF(E83="","",IF('Quantification Tool'!$B$21="Unconfined Alluvial",IF(E83&gt;=100,1,IF(E83&lt;30,0,ROUND('Reference Curves'!$K$668*E83+'Reference Curves'!$K$669,2))),IF(OR('Quantification Tool'!$B$21="Confined Alluvial",'Quantification Tool'!$B$21="Colluvial/V-Shaped"),(IF(E83&gt;=100,1,IF(E83&lt;60,0,ROUND('Reference Curves'!$L$668*E83+'Reference Curves'!$L$669,2)))))))</f>
        <v/>
      </c>
      <c r="G83" s="480" t="str">
        <f>IFERROR(AVERAGE(F83:F86),"")</f>
        <v/>
      </c>
      <c r="H83" s="456"/>
      <c r="I83" s="459"/>
    </row>
    <row r="84" spans="1:11" ht="15.75" x14ac:dyDescent="0.25">
      <c r="A84" s="462"/>
      <c r="B84" s="462"/>
      <c r="C84" s="279" t="s">
        <v>390</v>
      </c>
      <c r="D84" s="151"/>
      <c r="E84" s="140"/>
      <c r="F84" s="156" t="str">
        <f>IF(E84="","",  IF(OR('Quantification Tool'!$B$10="Mountains",'Quantification Tool'!$B$10="Basins"),IF(E84&lt;=0,0, IF(E84&gt;=122,1,ROUND('Reference Curves'!$K$700*E84^2+'Reference Curves'!$K$701*E84+'Reference Curves'!$K$702,2))),   IF('Quantification Tool'!$B$10="Plains",IF(OR(E84&lt;=0,E84&gt;114),0, IF(AND(E84&lt;=69,E84&gt;=59),1, IF(E84&lt;59, ROUND(E84*'Reference Curves'!$K$735+'Reference Curves'!$K$736,2), ROUND(E84*'Reference Curves'!$L$735+'Reference Curves'!$L$736,2) )) ))))</f>
        <v/>
      </c>
      <c r="G84" s="464"/>
      <c r="H84" s="456"/>
      <c r="I84" s="459"/>
    </row>
    <row r="85" spans="1:11" ht="15.75" x14ac:dyDescent="0.25">
      <c r="A85" s="462"/>
      <c r="B85" s="466"/>
      <c r="C85" s="279" t="s">
        <v>391</v>
      </c>
      <c r="D85" s="151"/>
      <c r="E85" s="140"/>
      <c r="F85" s="156" t="str">
        <f>IF(E85="","",IF('Quantification Tool'!$B$19="Herbaceous", IF(E85&lt;=30,0,IF(E85&gt;=117,1, ROUND(E85*'Reference Curves'!$L$767+'Reference Curves'!$L$768,2))),  IF(E85&lt;=0,0, IF(E85&gt;=77,1, ROUND(E85*'Reference Curves'!$K$767+'Reference Curves'!$K$768,2)))  ))</f>
        <v/>
      </c>
      <c r="G85" s="464"/>
      <c r="H85" s="456"/>
      <c r="I85" s="459"/>
    </row>
    <row r="86" spans="1:11" s="317" customFormat="1" ht="15.75" x14ac:dyDescent="0.25">
      <c r="A86" s="463"/>
      <c r="B86" s="463"/>
      <c r="C86" s="467" t="s">
        <v>400</v>
      </c>
      <c r="D86" s="467"/>
      <c r="E86" s="143"/>
      <c r="F86" s="384" t="str">
        <f>IF(E86="","",IF(E86&lt;=46,0,IF(E86&gt;=100,1,IF(E86&lt;=91,ROUND(E86*'Reference Curves'!$L$799+'Reference Curves'!$L$800,2),ROUND(E86*'Reference Curves'!$K$799+'Reference Curves'!$K$800,2)))))</f>
        <v/>
      </c>
      <c r="G86" s="481"/>
      <c r="H86" s="457"/>
      <c r="I86" s="460"/>
    </row>
    <row r="87" spans="1:11" ht="15.75" x14ac:dyDescent="0.25">
      <c r="A87" s="496" t="s">
        <v>53</v>
      </c>
      <c r="B87" s="313" t="s">
        <v>80</v>
      </c>
      <c r="C87" s="60" t="s">
        <v>347</v>
      </c>
      <c r="D87" s="292"/>
      <c r="E87" s="140"/>
      <c r="F87" s="357" t="str">
        <f>IF(E87="","",IF('Quantification Tool'!$B$18="","Enter Stream Temperature",IF('Quantification Tool'!$B$18="Tier I (Cold) ",IF(E87&gt;=20.1,0,IF(E87&lt;=13.5,1,ROUND(E87*'Reference Curves'!$S$18+'Reference Curves'!$S$19,2))),IF('Quantification Tool'!$B$18="Tier II (Cold-Cool)",IF(E87&gt;=20.5,0,IF(E87&lt;=16.5,1,ROUND(E87*'Reference Curves'!$T$18+'Reference Curves'!$T$19,2))),IF('Quantification Tool'!$B$18="Tier III (Cool) ",IF(E87&gt;=23.6,0,IF(E87&lt;=18.3,1,ROUND(E87*'Reference Curves'!$U$18+'Reference Curves'!$U$19,2))),IF('Quantification Tool'!$B$18="Tier IV (Cool-Warm)",IF(E87&gt;=27.2,0,IF(E87&lt;=23.2,1,ROUND(E87*'Reference Curves'!$V$18+'Reference Curves'!$V$19,2))),IF('Quantification Tool'!$B$18="Tier V (Warm)",IF(E87&gt;=30.3,0,IF(E87&lt;=26,1,ROUND(E87*'Reference Curves'!$W$18+'Reference Curves'!$W$19,2))))))))))</f>
        <v/>
      </c>
      <c r="G87" s="309" t="str">
        <f>IF(F87="","", ROUND(AVERAGE(F87),2))</f>
        <v/>
      </c>
      <c r="H87" s="478" t="str">
        <f>IFERROR(ROUND(AVERAGE(G87:G88),2),"")</f>
        <v/>
      </c>
      <c r="I87" s="473" t="str">
        <f>IF(H87="","",IF(H87&gt;0.69,"Functioning",IF(H87&gt;0.29,"Functioning At Risk",IF(H87&gt;-1,"Not Functioning"))))</f>
        <v/>
      </c>
    </row>
    <row r="88" spans="1:11" ht="15.75" x14ac:dyDescent="0.25">
      <c r="A88" s="497"/>
      <c r="B88" s="363" t="s">
        <v>249</v>
      </c>
      <c r="C88" s="35" t="s">
        <v>357</v>
      </c>
      <c r="D88" s="160"/>
      <c r="E88" s="106"/>
      <c r="F88" s="161" t="str">
        <f>IF(E88="","",IF(OR('Quantification Tool'!$B$10="Basins",'Quantification Tool'!$B$10="Plains"),IF(E88&gt;=150,0,IF(E88&lt;16,1,ROUND('Reference Curves'!$S$53*LN(E88)+'Reference Curves'!$S$54,2))),IF(E88&gt;=97,0,IF(E88&lt;=13,1,ROUND('Reference Curves'!$T$53*LN(E88)+'Reference Curves'!$T$54,2)))))</f>
        <v/>
      </c>
      <c r="G88" s="162" t="str">
        <f>IFERROR(AVERAGE(F88),"")</f>
        <v/>
      </c>
      <c r="H88" s="479"/>
      <c r="I88" s="473"/>
    </row>
    <row r="89" spans="1:11" ht="15.75" x14ac:dyDescent="0.25">
      <c r="A89" s="508" t="s">
        <v>54</v>
      </c>
      <c r="B89" s="511" t="s">
        <v>189</v>
      </c>
      <c r="C89" s="163" t="s">
        <v>186</v>
      </c>
      <c r="D89" s="164"/>
      <c r="E89" s="142"/>
      <c r="F89" s="165" t="str">
        <f>IF(E89="","",IF('Quantification Tool'!$B$11="","Enter Bioregion",IF('Quantification Tool'!$B$11="Wyoming Basin",IF(E89&lt;=5.3,0,IF(E89&gt;=64.5,1,ROUND(IF(E89&lt;26.2,'Reference Curves'!$AB$17*E89+'Reference Curves'!$AB$18,IF(E89&lt;39.9, 'Reference Curves'!$AC$17*E89+'Reference Curves'!$AC$18,'Reference Curves'!$AD$17*E89+'Reference Curves'!$AD$18)),2))), IF('Quantification Tool'!$B$11="Black Hills",IF(E89&lt;=12.8,0,IF(E89&gt;=65.7,1,ROUND(IF(E89&lt;30.7,'Reference Curves'!$AE$17*E89+'Reference Curves'!$AE$18,IF(E89&lt;46.1,'Reference Curves'!$AF$17*E89+'Reference Curves'!$AF$18,'Reference Curves'!$AG$17*E89+'Reference Curves'!$AG$18)),2))), IF('Quantification Tool'!$B$11="High Valleys",IF(E89&lt;=17.1,0,IF(E89&gt;=78.2,1,ROUND(IF(E89&lt;48.8,'Reference Curves'!$AH$17*E89+'Reference Curves'!$AH$18,'Reference Curves'!$AI$17*E89+'Reference Curves'!$AI$18),2))),     IF('Quantification Tool'!$B$11="Southern Rockies",IF(E89&lt;=5.1,0,IF(E89&gt;=82.2,1,ROUND(IF(E89&lt;32.6, 'Reference Curves'!$AB$54*E89+'Reference Curves'!$AB$55, IF(E89&lt;48.8, 'Reference Curves'!$AC$54*E89+'Reference Curves'!$AC$55,  'Reference Curves'!$AD$54*E89+'Reference Curves'!$AD$55)), 2))), IF('Quantification Tool'!$B$11="SE Plains",IF(E89&lt;=10.4,0,IF(E89&gt;=87,1,ROUND(IF(E89&lt;36.7,'Reference Curves'!$AE$54*E89+'Reference Curves'!$AE$55, IF(E89&lt;55.1, 'Reference Curves'!$AF$54*E89+'Reference Curves'!$AF$55, 'Reference Curves'!$AG$54*E89+'Reference Curves'!$AG$55)),2))),   IF('Quantification Tool'!$B$11="NE Plains",IF(E89&lt;=1.6,0,IF(E89&gt;=95.8,1,ROUND(IF(E89&lt;38.9,'Reference Curves'!$AH$54*E89+'Reference Curves'!$AH$55, IF(E89&lt;58.4, 'Reference Curves'!$AI$54*E89+'Reference Curves'!$AI$55, 'Reference Curves'!$AJ$54*E89+'Reference Curves'!$AJ$55)),2))),      IF('Quantification Tool'!$B$11="Granitic Mountains",IF(E89&lt;=32.6,0,IF(E89&gt;=74.9,1,ROUND(IF(E89&lt;40.2, 'Reference Curves'!$AB$92*E89+'Reference Curves'!$AB$93, 'Reference Curves'!$AC$92*E89+'Reference Curves'!$AC$93),2))), IF('Quantification Tool'!$B$11="Volcanic Mountains &amp; Valleys",IF(E89&lt;=26,0,IF(E89&gt;=88.1,1,ROUND('Reference Curves'!$AF$92*E89+'Reference Curves'!$AF$93,2))), IF('Quantification Tool'!$B$11="Southern Foothills &amp; Laramie Range",IF(E89&lt;=30.7,0,IF(E89&gt;=85,1,ROUND(IF(E89&lt;44.5, 'Reference Curves'!$AD$92*E89+'Reference Curves'!$AD$93,  'Reference Curves'!$AE$92*E89+'Reference Curves'!$AE$93 ),2))),     IF('Quantification Tool'!$B$11="Sedimentary Mountains",IF(E89&lt;=17,0,IF(E89&gt;=70,1,ROUND('Reference Curves'!$AB$127*E89+'Reference Curves'!$AB$128,2))), IF('Quantification Tool'!$B$11="Bighorn Basin Foothills",IF(E89&lt;=3.9,0,IF(E89&gt;=80,1,ROUND(IF(E89&lt;40.6,'Reference Curves'!$AC$127*E89+'Reference Curves'!$AC$128,'Reference Curves'!$AD$127*E89+'Reference Curves'!$AD$128),2)))  )))))))))))))</f>
        <v/>
      </c>
      <c r="G89" s="474" t="str">
        <f>IFERROR(IF(AND(F89="",F90=""),"",IF(OR(F89="",F90=""),AVERAGE(F89:F90),IF(OR(F89&lt;0.3,F90&lt;0.3),IF(OR(F89&gt;=0.7,F90&gt;=0.7),MIN(0.69,AVERAGE(F89:F90)),MIN(0.29,AVERAGE(F89:F90))), IF(OR(F89&gt;=0.7,F90&gt;=0.7),IF(AVERAGE(F89:F90)&lt;0.7,0.7,AVERAGE(F89:F90)),AVERAGE(F89:F90))))),"")</f>
        <v/>
      </c>
      <c r="H89" s="476" t="str">
        <f>IFERROR(ROUND(AVERAGE(G89:G93),2),"")</f>
        <v/>
      </c>
      <c r="I89" s="473" t="str">
        <f>IF(H89="","",IF(H89&gt;0.69,"Functioning",IF(H89&gt;0.29,"Functioning At Risk",IF(H89&gt;-1,"Not Functioning"))))</f>
        <v/>
      </c>
    </row>
    <row r="90" spans="1:11" ht="15.75" x14ac:dyDescent="0.25">
      <c r="A90" s="509"/>
      <c r="B90" s="513"/>
      <c r="C90" s="166" t="s">
        <v>187</v>
      </c>
      <c r="D90" s="167"/>
      <c r="E90" s="143"/>
      <c r="F90" s="168" t="str">
        <f>IF(E90="","",IF('Quantification Tool'!$B$11="","Enter Bioregion",IF('Quantification Tool'!$B$11="Wyoming Basin",IF(E90&lt;0.15,0,IF(E90&gt;1.18,1,ROUND(IF(E90&lt;0.64,'Reference Curves'!$AB$166*E90+'Reference Curves'!$AB$167, IF(E90&lt;0.82, 'Reference Curves'!$AC$166*E90+'Reference Curves'!$AC$167, 'Reference Curves'!$AD$166*E90+'Reference Curves'!$AD$167) ),2))), IF('Quantification Tool'!$B$11="Black Hills",IF(E90&lt;=0.37,0,IF(E90&gt;1.08,1,ROUND('Reference Curves'!$AE$166*E90+'Reference Curves'!$AE$167,2))), IF('Quantification Tool'!$B$11="High Valleys",IF(E90&lt;0.42,0,IF(E90&gt;1.14,1,ROUND(IF(E90&lt;0.68, 'Reference Curves'!$AF$166*E90+'Reference Curves'!$AF$167, IF(E90&lt;0.86, 'Reference Curves'!$AG$166*E90+'Reference Curves'!$AG$167, 'Reference Curves'!$AH$166*E90+'Reference Curves'!$AH$167)),2))), IF('Quantification Tool'!$B$11="Sedimentary Mountains",IF(E90&lt;0.42,0,IF(E90&gt;1.17,1,ROUND(IF(E90&lt;0.68, 'Reference Curves'!$AI$166*E90+'Reference Curves'!$AI$167, IF(E90&lt;0.82, 'Reference Curves'!$AJ$166*E90+'Reference Curves'!$AJ$167, 'Reference Curves'!$AK$166*E90+'Reference Curves'!$AK$167) ),2))),        IF('Quantification Tool'!$B$11="Southern Rockies",IF(E90&lt;0.27,0,IF(E90&gt;=1.18,1,ROUND(IF(E90&lt;0.62, 'Reference Curves'!$AB$204*E90+'Reference Curves'!$AB$205, IF(E90&lt;0.89, 'Reference Curves'!$AC$204*E90+'Reference Curves'!$AC$205, 'Reference Curves'!$AD$204*E90+'Reference Curves'!$AD$205) ),2))), IF('Quantification Tool'!$B$11="SE Plains",IF(E90&lt;0.34,0,IF(E90&gt;1.12,1,ROUND(IF(E90&lt;0.78, 'Reference Curves'!$AE$204*E90+'Reference Curves'!$AE$205, 'Reference Curves'!$AF$204*E90+'Reference Curves'!$AF$205),2))), IF('Quantification Tool'!$B$11="NE Plains",IF(E90&lt;0.11,0,IF(E90&gt;=0.98,1,ROUND(IF(E90&lt;0.52, 'Reference Curves'!$AG$204*E90+'Reference Curves'!$AG$205,'Reference Curves'!$AH$204*E90+'Reference Curves'!$AH$205 ),2))),    IF('Quantification Tool'!$B$11="Granitic Mountains",IF(E90&lt;=0.59,0,IF(E90&gt;=1.09,1,ROUND(IF(E90&lt;0.65, 'Reference Curves'!$AB$242*E90+'Reference Curves'!$AB$243, 'Reference Curves'!$AC$242*E90+'Reference Curves'!$AC$243),2))),IF('Quantification Tool'!$B$11="Bighorn Basin Foothills",IF(E90&lt;=0.41,0,IF(E90&gt;=0.92,1,ROUND(IF(E90&lt;0.84, 'Reference Curves'!$AD$242*E90+'Reference Curves'!$AD$243,  'Reference Curves'!$AE$242*E90+'Reference Curves'!$AE$243),2))),IF('Quantification Tool'!$B$11="Volcanic Mountains &amp; Valleys",IF(E90&lt;=0.21,0,IF(E90&gt;=1.21,1,ROUND(IF(E90&lt;0.65, 'Reference Curves'!$AI$242*E90+'Reference Curves'!$AI$243, IF(E90&lt;0.86,  'Reference Curves'!$AJ$242*E90+'Reference Curves'!$AJ$243,  'Reference Curves'!$AK$242*E90+'Reference Curves'!$AK$243)),2))), IF('Quantification Tool'!$B$11="Southern Foothills &amp; Laramie Range",IF(E90&lt;=0.29,0,IF(E90&gt;=1.2,1,ROUND(IF(E90&lt;0.68, 'Reference Curves'!$AF$242*E90+'Reference Curves'!$AF$243, IF(E90&lt;0.88,  'Reference Curves'!$AG$242*E90+'Reference Curves'!$AG$243, 'Reference Curves'!$AH$242*E90+'Reference Curves'!$AH$243)),2))) )))))))))))))</f>
        <v/>
      </c>
      <c r="G90" s="475"/>
      <c r="H90" s="476"/>
      <c r="I90" s="473"/>
    </row>
    <row r="91" spans="1:11" ht="15.75" x14ac:dyDescent="0.25">
      <c r="A91" s="509"/>
      <c r="B91" s="511" t="s">
        <v>75</v>
      </c>
      <c r="C91" s="58" t="s">
        <v>349</v>
      </c>
      <c r="D91" s="169"/>
      <c r="E91" s="142"/>
      <c r="F91" s="170" t="str">
        <f>IF(E91="","",IF(E91&lt;58,0,IF(E91&gt;=100,1,ROUND(E91*'Reference Curves'!$AB$280+'Reference Curves'!$AB$281,2))))</f>
        <v/>
      </c>
      <c r="G91" s="474" t="str">
        <f>IFERROR(AVERAGE(F91:F93),"")</f>
        <v/>
      </c>
      <c r="H91" s="476"/>
      <c r="I91" s="473"/>
      <c r="K91" s="5"/>
    </row>
    <row r="92" spans="1:11" ht="15.75" x14ac:dyDescent="0.25">
      <c r="A92" s="509"/>
      <c r="B92" s="512"/>
      <c r="C92" s="59" t="s">
        <v>350</v>
      </c>
      <c r="D92" s="171"/>
      <c r="E92" s="140"/>
      <c r="F92" s="170" t="str">
        <f>IF(E92="","",ROUND(IF(E92&gt;=3,0,IF(E92&gt;=2,0.3,IF(E92&gt;=1,0.69,1))),2))</f>
        <v/>
      </c>
      <c r="G92" s="477"/>
      <c r="H92" s="476"/>
      <c r="I92" s="473"/>
    </row>
    <row r="93" spans="1:11" ht="15.75" x14ac:dyDescent="0.25">
      <c r="A93" s="510"/>
      <c r="B93" s="513"/>
      <c r="C93" s="39" t="s">
        <v>351</v>
      </c>
      <c r="D93" s="172"/>
      <c r="E93" s="143"/>
      <c r="F93" s="168" t="str">
        <f>IF(E93="","",IF('Quantification Tool'!$B$20="","Enter Stream Producitvity Rating",IF('Quantification Tool'!$B$20="Blue Ribbon and non-trout",IF(E93&lt;5,0,IF(E93&gt;=40,1,ROUND(E93*'Reference Curves'!$AB$319+'Reference Curves'!$AB$320,2))),IF('Quantification Tool'!$B$20="Red Ribbon",IF(E93&lt;10,0,IF(E93&gt;=80,1,ROUND(E93*'Reference Curves'!$AC$319+'Reference Curves'!$AC$320,2))),IF(OR('Quantification Tool'!$B$20="Yellow Ribbon",'Quantification Tool'!$B$20="Green Ribbon"),IF(E93&lt;15,0,IF(E93&gt;=119,1,ROUND(E93*'Reference Curves'!$AD$319+'Reference Curves'!$AD$320,2)))   )))))</f>
        <v/>
      </c>
      <c r="G93" s="475"/>
      <c r="H93" s="476"/>
      <c r="I93" s="473"/>
    </row>
    <row r="94" spans="1:11" x14ac:dyDescent="0.25">
      <c r="J94" s="5"/>
    </row>
    <row r="95" spans="1:11" x14ac:dyDescent="0.25">
      <c r="J95" s="5"/>
    </row>
    <row r="96" spans="1:11" ht="21" x14ac:dyDescent="0.35">
      <c r="A96" s="47" t="s">
        <v>135</v>
      </c>
      <c r="B96" s="352"/>
      <c r="C96" s="355" t="s">
        <v>383</v>
      </c>
      <c r="D96" s="560"/>
      <c r="E96" s="560"/>
      <c r="F96" s="561"/>
      <c r="G96" s="554" t="s">
        <v>14</v>
      </c>
      <c r="H96" s="555"/>
      <c r="I96" s="556"/>
      <c r="J96" s="5"/>
    </row>
    <row r="97" spans="1:9" ht="15.75" x14ac:dyDescent="0.25">
      <c r="A97" s="53" t="s">
        <v>1</v>
      </c>
      <c r="B97" s="53" t="s">
        <v>2</v>
      </c>
      <c r="C97" s="327" t="s">
        <v>3</v>
      </c>
      <c r="D97" s="328"/>
      <c r="E97" s="53" t="s">
        <v>12</v>
      </c>
      <c r="F97" s="53" t="s">
        <v>13</v>
      </c>
      <c r="G97" s="53" t="s">
        <v>15</v>
      </c>
      <c r="H97" s="53" t="s">
        <v>16</v>
      </c>
      <c r="I97" s="413" t="s">
        <v>16</v>
      </c>
    </row>
    <row r="98" spans="1:9" ht="15.75" x14ac:dyDescent="0.25">
      <c r="A98" s="540" t="s">
        <v>345</v>
      </c>
      <c r="B98" s="485" t="s">
        <v>128</v>
      </c>
      <c r="C98" s="287" t="s">
        <v>341</v>
      </c>
      <c r="D98" s="288"/>
      <c r="E98" s="142"/>
      <c r="F98" s="335" t="str">
        <f>IF(E98="","",IF(E98&gt;=80,0,IF(E98&lt;=40,1,IF(E98&gt;=68,ROUND(E98*'Reference Curves'!$C$14+'Reference Curves'!$C$15,2),ROUND(E98*'Reference Curves'!$D$14+'Reference Curves'!$D$15,2)))))</f>
        <v/>
      </c>
      <c r="G98" s="501" t="str">
        <f>IFERROR(AVERAGE(F98:F99),"")</f>
        <v/>
      </c>
      <c r="H98" s="501" t="str">
        <f>IFERROR(ROUND(AVERAGE(G98:G102),2),"")</f>
        <v/>
      </c>
      <c r="I98" s="504" t="str">
        <f>IF(H98="","",IF(H98:H102&gt;0.69,"Functioning",IF(H98&gt;0.29,"Functioning At Risk",IF(H98&gt;-1,"Not Functioning"))))</f>
        <v/>
      </c>
    </row>
    <row r="99" spans="1:9" ht="15.75" x14ac:dyDescent="0.25">
      <c r="A99" s="541"/>
      <c r="B99" s="486"/>
      <c r="C99" s="289" t="s">
        <v>129</v>
      </c>
      <c r="D99" s="145"/>
      <c r="E99" s="143"/>
      <c r="F99" s="291" t="str">
        <f>IF(E99="","",   IF(E99&gt;3.22,0, IF(E99&lt;0, "", ROUND('Reference Curves'!$C$44*E99+'Reference Curves'!$C$45,2))))</f>
        <v/>
      </c>
      <c r="G99" s="503"/>
      <c r="H99" s="502"/>
      <c r="I99" s="505"/>
    </row>
    <row r="100" spans="1:9" ht="15.6" customHeight="1" x14ac:dyDescent="0.25">
      <c r="A100" s="541"/>
      <c r="B100" s="290" t="s">
        <v>140</v>
      </c>
      <c r="C100" s="543" t="s">
        <v>237</v>
      </c>
      <c r="D100" s="544"/>
      <c r="E100" s="144"/>
      <c r="F100" s="291" t="str">
        <f>IF(E100="","",IF(OR(E100&gt;=2,E100&lt;=0.26),0,IF(AND(E100&gt;=0.9,E100&lt;=1.1),1,ROUND(IF(E100&lt;0.9,'Reference Curves'!$C$75*E100+'Reference Curves'!$C$76,'Reference Curves'!$D$75*E100+'Reference Curves'!$D$76),2))))</f>
        <v/>
      </c>
      <c r="G100" s="364" t="str">
        <f>IFERROR(F100,"")</f>
        <v/>
      </c>
      <c r="H100" s="502"/>
      <c r="I100" s="505"/>
    </row>
    <row r="101" spans="1:9" ht="15.75" x14ac:dyDescent="0.25">
      <c r="A101" s="541"/>
      <c r="B101" s="485" t="s">
        <v>5</v>
      </c>
      <c r="C101" s="145" t="s">
        <v>6</v>
      </c>
      <c r="D101" s="145"/>
      <c r="E101" s="140"/>
      <c r="F101" s="336" t="str">
        <f>IF(E101="","",ROUND(IF(E101&gt;1.71,0,IF(E101&lt;=1,1,E101*'Reference Curves'!C$107+'Reference Curves'!C$108)),2))</f>
        <v/>
      </c>
      <c r="G101" s="501" t="str">
        <f>IFERROR(AVERAGE(F101:F102),"")</f>
        <v/>
      </c>
      <c r="H101" s="502"/>
      <c r="I101" s="505"/>
    </row>
    <row r="102" spans="1:9" ht="15.6" customHeight="1" x14ac:dyDescent="0.25">
      <c r="A102" s="542"/>
      <c r="B102" s="486"/>
      <c r="C102" s="146" t="s">
        <v>7</v>
      </c>
      <c r="D102" s="146"/>
      <c r="E102" s="143"/>
      <c r="F102" s="147" t="str">
        <f>IF(E102="","",IF(OR('Quantification Tool'!$B$9="A",'Quantification Tool'!$B$9="Ba",'Quantification Tool'!$B$9="B", 'Quantification Tool'!$B$9="Bc"),IF(E102&lt;1.05,0,IF(E102&gt;=2.2,1,ROUND(IF(E102&lt;1.4,E102*'Reference Curves'!$C$176+'Reference Curves'!$C$177,E102*'Reference Curves'!$D$176+'Reference Curves'!$D$177),2))),IF(OR('Quantification Tool'!$B$9="C",'Quantification Tool'!$B$9="Cb",'Quantification Tool'!$B$9="E"),IF(E102&lt;1.7,0,IF(E102&gt;=5,1,ROUND(IF(E102&lt;2.4,E102*'Reference Curves'!$D$141+'Reference Curves'!$D$142,E102*'Reference Curves'!$C$141+'Reference Curves'!$C$142),2))))))</f>
        <v/>
      </c>
      <c r="G102" s="503"/>
      <c r="H102" s="503"/>
      <c r="I102" s="506"/>
    </row>
    <row r="103" spans="1:9" ht="15.75" x14ac:dyDescent="0.25">
      <c r="A103" s="465" t="s">
        <v>20</v>
      </c>
      <c r="B103" s="465" t="s">
        <v>21</v>
      </c>
      <c r="C103" s="34" t="s">
        <v>19</v>
      </c>
      <c r="D103" s="148"/>
      <c r="E103" s="142"/>
      <c r="F103" s="149" t="str">
        <f>IF(E103="","",IF(E103&gt;=660,1,IF(E103&lt;=430,ROUND('Reference Curves'!$K$14*E103+'Reference Curves'!$K$15,2),ROUND('Reference Curves'!$L$14*E103+'Reference Curves'!$L$15,2))))</f>
        <v/>
      </c>
      <c r="G103" s="455" t="str">
        <f>IFERROR(AVERAGE(F103:F104),"")</f>
        <v/>
      </c>
      <c r="H103" s="455" t="str">
        <f>IFERROR(ROUND(AVERAGE(G103:G118),2),"")</f>
        <v/>
      </c>
      <c r="I103" s="458" t="str">
        <f>IF(H103="","",IF(H103&gt;0.69,"Functioning",IF(H103&gt;0.29,"Functioning At Risk",IF(H103&gt;-1,"Not Functioning"))))</f>
        <v/>
      </c>
    </row>
    <row r="104" spans="1:9" ht="15.75" x14ac:dyDescent="0.25">
      <c r="A104" s="462"/>
      <c r="B104" s="463"/>
      <c r="C104" s="279" t="s">
        <v>346</v>
      </c>
      <c r="D104" s="151"/>
      <c r="E104" s="140"/>
      <c r="F104" s="337" t="str">
        <f>IF(E104="","",IF(E104&gt;=28,1,ROUND(IF(E104&lt;=13,'Reference Curves'!$K$47*E104,'Reference Curves'!$L$47*E104+'Reference Curves'!$L$48),2)))</f>
        <v/>
      </c>
      <c r="G104" s="457"/>
      <c r="H104" s="456"/>
      <c r="I104" s="459"/>
    </row>
    <row r="105" spans="1:9" ht="15.75" x14ac:dyDescent="0.25">
      <c r="A105" s="462"/>
      <c r="B105" s="461" t="s">
        <v>402</v>
      </c>
      <c r="C105" s="148" t="s">
        <v>250</v>
      </c>
      <c r="D105" s="277"/>
      <c r="E105" s="142"/>
      <c r="F105" s="385" t="str">
        <f>IF(E105="","",ROUND(IF(E105&lt;=2,0,IF(E105&gt;=9,1,E105^3*'Reference Curves'!K$81+E105^2*'Reference Curves'!$K$82+E105*'Reference Curves'!$K$83+'Reference Curves'!$K$84)),2))</f>
        <v/>
      </c>
      <c r="G105" s="455" t="str">
        <f>IFERROR(AVERAGE(F105:F108),"")</f>
        <v/>
      </c>
      <c r="H105" s="456"/>
      <c r="I105" s="459"/>
    </row>
    <row r="106" spans="1:9" ht="15.75" x14ac:dyDescent="0.25">
      <c r="A106" s="462"/>
      <c r="B106" s="462"/>
      <c r="C106" s="151" t="s">
        <v>43</v>
      </c>
      <c r="D106" s="151"/>
      <c r="E106" s="140"/>
      <c r="F106" s="339" t="str">
        <f>IF(E106="","",IF(OR(E106="Ex/Ex",E106="Ex/VH",E106="Ex/H",E106="Ex/M",E106="VH/Ex",E106="VH/VH", E106="H/Ex",E106="H/VH"),0, IF(OR(E106="M/Ex"),0.1,IF(OR(E106="VH/H",E106="VH/M",E106="H/H",E106="H/M", E106="M/VH"),0.2, IF(OR(E106="Ex/VL",E106="Ex/L", E106="M/H"),0.3, IF(OR(E106="VH/L",E106="H/L"),0.4, IF(OR(E106="VH/VL",E106="H/VL",E106="M/M"),0.5, IF(OR(E106="M/L",E106="L/Ex"),0.6, IF(OR(E106="M/VL",E106="L/VH", E106="L/H",E106="L/M",E106="L/L",E106="L/VL"),1)))))))))</f>
        <v/>
      </c>
      <c r="G106" s="456"/>
      <c r="H106" s="456"/>
      <c r="I106" s="459"/>
    </row>
    <row r="107" spans="1:9" ht="15.75" x14ac:dyDescent="0.25">
      <c r="A107" s="462"/>
      <c r="B107" s="462"/>
      <c r="C107" s="368" t="s">
        <v>87</v>
      </c>
      <c r="D107" s="368"/>
      <c r="E107" s="140"/>
      <c r="F107" s="339" t="str">
        <f>IF(E107="","",ROUND(IF(E107&gt;=75,0,IF(E107&lt;=5,1,IF(E107&gt;10,E107*'Reference Curves'!K$115+'Reference Curves'!K$116,'Reference Curves'!$L$115*E107+'Reference Curves'!$L$116))),2))</f>
        <v/>
      </c>
      <c r="G107" s="456"/>
      <c r="H107" s="456"/>
      <c r="I107" s="459"/>
    </row>
    <row r="108" spans="1:9" s="317" customFormat="1" ht="15.75" x14ac:dyDescent="0.25">
      <c r="A108" s="462"/>
      <c r="B108" s="463"/>
      <c r="C108" s="371" t="s">
        <v>401</v>
      </c>
      <c r="D108" s="278"/>
      <c r="E108" s="143"/>
      <c r="F108" s="386" t="str">
        <f>IF(E108="","",IF(E108&gt;=30,0,ROUND(E108*'Reference Curves'!$K$146+'Reference Curves'!$K$147,2)))</f>
        <v/>
      </c>
      <c r="G108" s="457"/>
      <c r="H108" s="456"/>
      <c r="I108" s="459"/>
    </row>
    <row r="109" spans="1:9" ht="15.75" x14ac:dyDescent="0.25">
      <c r="A109" s="462"/>
      <c r="B109" s="361" t="s">
        <v>105</v>
      </c>
      <c r="C109" s="33" t="s">
        <v>130</v>
      </c>
      <c r="D109" s="151"/>
      <c r="E109" s="143"/>
      <c r="F109" s="332" t="str">
        <f>IF(OR(E109="",'Quantification Tool'!$B$13=""),"",IF(OR('Quantification Tool'!$B$13="Silt/Clay",'Quantification Tool'!$B$13="Sand",'Quantification Tool'!$B$13="Boulders",'Quantification Tool'!$B$13="Bedrock"),"NA",IF(E109&gt;0.1,1,IF(E109&lt;=0.01,0,ROUND(E109*'Reference Curves'!$K$177+'Reference Curves'!$K$178,2)))))</f>
        <v/>
      </c>
      <c r="G109" s="153" t="str">
        <f>IFERROR(AVERAGE(F109),"")</f>
        <v/>
      </c>
      <c r="H109" s="456"/>
      <c r="I109" s="459"/>
    </row>
    <row r="110" spans="1:9" ht="15.75" x14ac:dyDescent="0.25">
      <c r="A110" s="462"/>
      <c r="B110" s="465" t="s">
        <v>45</v>
      </c>
      <c r="C110" s="148" t="s">
        <v>46</v>
      </c>
      <c r="D110" s="148"/>
      <c r="E110" s="142"/>
      <c r="F110" s="155" t="str">
        <f>IF(E110="","",IF('Quantification Tool'!$B$9="Bc",IF(OR(E110&gt;=12,E110&lt;=0.1),0,IF(E110&lt;=3.4,1,ROUND('Reference Curves'!$K$310*E110+'Reference Curves'!$K$311,2))),  IF(OR('Quantification Tool'!$B$9="B",'Quantification Tool'!$B$9="Ba"),IF(OR(E110&gt;=7.5,E110&lt;=0.1),0,IF(E110&lt;=3,1,ROUND(IF(E110&gt;4,'Reference Curves'!$K$279*E110+'Reference Curves'!$K$280,'Reference Curves'!$L$279*E110+'Reference Curves'!$L$280),2))),  IF('Quantification Tool'!$B$9="Cb",IF(OR(E110&gt;=8.35,E110&lt;1.4),0,IF(AND(E110&gt;=3.7,E110&lt;=5),1,ROUND(IF(E110&lt;3.7,'Reference Curves'!$K$247*E110+'Reference Curves'!$K$248,'Reference Curves'!$L$247*E110+'Reference Curves'!$L$248),2))),  IF('Quantification Tool'!$B$9="C",IF(OR(E110&gt;9.3,E110&lt;=3),0,IF(AND(E110&gt;=4,E110&lt;=6),1,ROUND(IF(E110&lt;4,'Reference Curves'!$K$213*E110+'Reference Curves'!$K$214,'Reference Curves'!$L$213*E110+'Reference Curves'!$L$214),2))),  IF('Quantification Tool'!$B$9="E",IF(OR(E110&gt;8.2,E110&lt;1.85),0,IF(AND(E110&gt;=3.5,E110&lt;=5),1,ROUND(IF(E110&lt;3.5,'Reference Curves'!$K$343*E110+'Reference Curves'!$K$344,'Reference Curves'!$L$343*E110+'Reference Curves'!$L$344),2)))      ))))))</f>
        <v/>
      </c>
      <c r="G110" s="480" t="str">
        <f>IFERROR(AVERAGE(F110:F113),"")</f>
        <v/>
      </c>
      <c r="H110" s="456"/>
      <c r="I110" s="459"/>
    </row>
    <row r="111" spans="1:9" ht="15.75" x14ac:dyDescent="0.25">
      <c r="A111" s="462"/>
      <c r="B111" s="462"/>
      <c r="C111" s="151" t="s">
        <v>47</v>
      </c>
      <c r="D111" s="151"/>
      <c r="E111" s="140"/>
      <c r="F111" s="156" t="str">
        <f>IF(E111="","",IF(E111&lt;=1,0,IF(E111&gt;=3.2,1,IF(E111&gt;=2.2,ROUND('Reference Curves'!$L$375*E111+'Reference Curves'!$L$376,2),(ROUND('Reference Curves'!$K$375*E111+'Reference Curves'!$K$376,2))))))</f>
        <v/>
      </c>
      <c r="G111" s="464"/>
      <c r="H111" s="456"/>
      <c r="I111" s="459"/>
    </row>
    <row r="112" spans="1:9" ht="15.75" x14ac:dyDescent="0.25">
      <c r="A112" s="462"/>
      <c r="B112" s="462"/>
      <c r="C112" s="31" t="s">
        <v>356</v>
      </c>
      <c r="D112" s="151"/>
      <c r="E112" s="140"/>
      <c r="F112" s="362" t="str">
        <f>IF(E112="","",IF('Quantification Tool'!$B$11="Volcanic Mountains &amp; Valleys", IF(OR(E112&gt;86.65,E112&lt;33),0,IF(AND(E112&gt;=73,E112&lt;=80),1, ROUND(IF(E112&lt;73,'Reference Curves'!$K$408*E112+'Reference Curves'!$K$409, 'Reference Curves'!$L$408*E112+'Reference Curves'!$L$409),2))), IF('Quantification Tool'!B$16="","Need Slope",IF('Quantification Tool'!B$16&lt;3,IF( OR(E112&gt;=91,E112&lt;=13.5),0, IF(AND(E112&gt;49,E112&lt;61), 1, ROUND(IF(E112&lt;50,'Reference Curves'!$K$441*E112+'Reference Curves'!$K$442, IF(E112&gt;60,'Reference Curves'!$L$441*E112+'Reference Curves'!$L$442)),2))), IF('Quantification Tool'!B$16&gt;=3,IF(OR(E112&gt;94.5,E112&lt;41.5),0, IF(AND(E112 &gt;=68, E112&lt;=78),1, ROUND(IF(E112&lt;68,'Reference Curves'!$K$475*E112+'Reference Curves'!$K$476,'Reference Curves'!$L$475*E112+'Reference Curves'!$L$476),2) )))))))</f>
        <v/>
      </c>
      <c r="G112" s="464"/>
      <c r="H112" s="456"/>
      <c r="I112" s="459"/>
    </row>
    <row r="113" spans="1:11" ht="15.75" x14ac:dyDescent="0.25">
      <c r="A113" s="462"/>
      <c r="B113" s="463"/>
      <c r="C113" s="150" t="s">
        <v>213</v>
      </c>
      <c r="D113" s="150"/>
      <c r="E113" s="143"/>
      <c r="F113" s="360" t="str">
        <f>IF(E113="","",IF(E113&gt;=1.6,0,IF(E113&lt;=1,1,ROUND('Reference Curves'!$K$506*E113^3+'Reference Curves'!$K$507*E113^2+'Reference Curves'!$K$508*E113+'Reference Curves'!$K$509,2))))</f>
        <v/>
      </c>
      <c r="G113" s="481"/>
      <c r="H113" s="456"/>
      <c r="I113" s="459"/>
    </row>
    <row r="114" spans="1:11" ht="15.75" x14ac:dyDescent="0.25">
      <c r="A114" s="462"/>
      <c r="B114" s="361" t="s">
        <v>49</v>
      </c>
      <c r="C114" s="151" t="s">
        <v>48</v>
      </c>
      <c r="D114" s="151"/>
      <c r="E114" s="140"/>
      <c r="F114" s="341" t="str">
        <f>IF(E114="","",IF('Quantification Tool'!B$9="E",IF(OR(E114&gt;2.14,E114&lt;1.13),0, IF(AND(E114&gt;=1.3, E114&lt;=1.8),1, ROUND(IF(E114&lt;1.3,E114*'Reference Curves'!K$542+'Reference Curves'!K$543, E114*'Reference Curves'!L$542+'Reference Curves'!$L$543),2))),    IF('Quantification Tool'!$B$21="Unconfined Alluvial",IF(OR(E114&lt;1.12, E114&gt;1.67),0, IF(AND(E114&lt;=1.5,E114&gt;=1.2),1,ROUND(IF(E114&lt;1.2,E114*'Reference Curves'!$K$575+'Reference Curves'!$K$576, E114*'Reference Curves'!$L$575+'Reference Curves'!$L$576),2))),  IF('Quantification Tool'!$B$21="Confined Alluvial",IF(E114&lt;=1,0, IF(E114&gt;=1.2,1, ROUND(E114*'Reference Curves'!$K$604+'Reference Curves'!$K$605,2))),    IF('Quantification Tool'!$B$21="Colluvial/V-Shaped",IF(OR(E114&lt;1, E114&gt;1.47),0, IF(AND(E114&lt;=1.3,E114&gt;=1.1),1,ROUND(IF(E114&lt;1.1,E114*'Reference Curves'!$K$637+'Reference Curves'!$K$638, E114*'Reference Curves'!$L$637+'Reference Curves'!$L$638),2)))  )))))</f>
        <v/>
      </c>
      <c r="G114" s="156" t="str">
        <f>IFERROR(AVERAGE(F114),"")</f>
        <v/>
      </c>
      <c r="H114" s="456"/>
      <c r="I114" s="459"/>
    </row>
    <row r="115" spans="1:11" ht="15.75" x14ac:dyDescent="0.25">
      <c r="A115" s="462"/>
      <c r="B115" s="465" t="s">
        <v>44</v>
      </c>
      <c r="C115" s="32" t="s">
        <v>344</v>
      </c>
      <c r="D115" s="148"/>
      <c r="E115" s="142"/>
      <c r="F115" s="365" t="str">
        <f>IF(E115="","",IF('Quantification Tool'!$B$21="Unconfined Alluvial",IF(E115&gt;=100,1,IF(E115&lt;30,0,ROUND('Reference Curves'!$K$668*E115+'Reference Curves'!$K$669,2))),IF(OR('Quantification Tool'!$B$21="Confined Alluvial",'Quantification Tool'!$B$21="Colluvial/V-Shaped"),(IF(E115&gt;=100,1,IF(E115&lt;60,0,ROUND('Reference Curves'!$L$668*E115+'Reference Curves'!$L$669,2)))))))</f>
        <v/>
      </c>
      <c r="G115" s="480" t="str">
        <f>IFERROR(AVERAGE(F115:F118),"")</f>
        <v/>
      </c>
      <c r="H115" s="456"/>
      <c r="I115" s="459"/>
    </row>
    <row r="116" spans="1:11" ht="15.75" x14ac:dyDescent="0.25">
      <c r="A116" s="462"/>
      <c r="B116" s="462"/>
      <c r="C116" s="279" t="s">
        <v>390</v>
      </c>
      <c r="D116" s="151"/>
      <c r="E116" s="140"/>
      <c r="F116" s="156" t="str">
        <f>IF(E116="","",  IF(OR('Quantification Tool'!$B$10="Mountains",'Quantification Tool'!$B$10="Basins"),IF(E116&lt;=0,0, IF(E116&gt;=122,1,ROUND('Reference Curves'!$K$700*E116^2+'Reference Curves'!$K$701*E116+'Reference Curves'!$K$702,2))),   IF('Quantification Tool'!$B$10="Plains",IF(OR(E116&lt;=0,E116&gt;114),0, IF(AND(E116&lt;=69,E116&gt;=59),1, IF(E116&lt;59, ROUND(E116*'Reference Curves'!$K$735+'Reference Curves'!$K$736,2), ROUND(E116*'Reference Curves'!$L$735+'Reference Curves'!$L$736,2) )) ))))</f>
        <v/>
      </c>
      <c r="G116" s="464"/>
      <c r="H116" s="456"/>
      <c r="I116" s="459"/>
    </row>
    <row r="117" spans="1:11" ht="15.75" x14ac:dyDescent="0.25">
      <c r="A117" s="462"/>
      <c r="B117" s="466"/>
      <c r="C117" s="279" t="s">
        <v>391</v>
      </c>
      <c r="D117" s="151"/>
      <c r="E117" s="140"/>
      <c r="F117" s="156" t="str">
        <f>IF(E117="","",IF('Quantification Tool'!$B$19="Herbaceous", IF(E117&lt;=30,0,IF(E117&gt;=117,1, ROUND(E117*'Reference Curves'!$L$767+'Reference Curves'!$L$768,2))),  IF(E117&lt;=0,0, IF(E117&gt;=77,1, ROUND(E117*'Reference Curves'!$K$767+'Reference Curves'!$K$768,2)))  ))</f>
        <v/>
      </c>
      <c r="G117" s="464"/>
      <c r="H117" s="456"/>
      <c r="I117" s="459"/>
    </row>
    <row r="118" spans="1:11" s="317" customFormat="1" ht="15.75" x14ac:dyDescent="0.25">
      <c r="A118" s="463"/>
      <c r="B118" s="463"/>
      <c r="C118" s="467" t="s">
        <v>400</v>
      </c>
      <c r="D118" s="467"/>
      <c r="E118" s="143"/>
      <c r="F118" s="384" t="str">
        <f>IF(E118="","",IF(E118&lt;=46,0,IF(E118&gt;=100,1,IF(E118&lt;=91,ROUND(E118*'Reference Curves'!$L$799+'Reference Curves'!$L$800,2),ROUND(E118*'Reference Curves'!$K$799+'Reference Curves'!$K$800,2)))))</f>
        <v/>
      </c>
      <c r="G118" s="481"/>
      <c r="H118" s="457"/>
      <c r="I118" s="460"/>
    </row>
    <row r="119" spans="1:11" ht="15.75" x14ac:dyDescent="0.25">
      <c r="A119" s="496" t="s">
        <v>53</v>
      </c>
      <c r="B119" s="313" t="s">
        <v>80</v>
      </c>
      <c r="C119" s="60" t="s">
        <v>347</v>
      </c>
      <c r="D119" s="292"/>
      <c r="E119" s="140"/>
      <c r="F119" s="357" t="str">
        <f>IF(E119="","",IF('Quantification Tool'!$B$18="","Enter Stream Temperature",IF('Quantification Tool'!$B$18="Tier I (Cold) ",IF(E119&gt;=20.1,0,IF(E119&lt;=13.5,1,ROUND(E119*'Reference Curves'!$S$18+'Reference Curves'!$S$19,2))),IF('Quantification Tool'!$B$18="Tier II (Cold-Cool)",IF(E119&gt;=20.5,0,IF(E119&lt;=16.5,1,ROUND(E119*'Reference Curves'!$T$18+'Reference Curves'!$T$19,2))),IF('Quantification Tool'!$B$18="Tier III (Cool) ",IF(E119&gt;=23.6,0,IF(E119&lt;=18.3,1,ROUND(E119*'Reference Curves'!$U$18+'Reference Curves'!$U$19,2))),IF('Quantification Tool'!$B$18="Tier IV (Cool-Warm)",IF(E119&gt;=27.2,0,IF(E119&lt;=23.2,1,ROUND(E119*'Reference Curves'!$V$18+'Reference Curves'!$V$19,2))),IF('Quantification Tool'!$B$18="Tier V (Warm)",IF(E119&gt;=30.3,0,IF(E119&lt;=26,1,ROUND(E119*'Reference Curves'!$W$18+'Reference Curves'!$W$19,2))))))))))</f>
        <v/>
      </c>
      <c r="G119" s="309" t="str">
        <f>IF(F119="","", ROUND(AVERAGE(F119),2))</f>
        <v/>
      </c>
      <c r="H119" s="478" t="str">
        <f>IFERROR(ROUND(AVERAGE(G119:G120),2),"")</f>
        <v/>
      </c>
      <c r="I119" s="473" t="str">
        <f>IF(H119="","",IF(H119&gt;0.69,"Functioning",IF(H119&gt;0.29,"Functioning At Risk",IF(H119&gt;-1,"Not Functioning"))))</f>
        <v/>
      </c>
    </row>
    <row r="120" spans="1:11" ht="15.75" x14ac:dyDescent="0.25">
      <c r="A120" s="497"/>
      <c r="B120" s="363" t="s">
        <v>249</v>
      </c>
      <c r="C120" s="35" t="s">
        <v>357</v>
      </c>
      <c r="D120" s="160"/>
      <c r="E120" s="106"/>
      <c r="F120" s="161" t="str">
        <f>IF(E120="","",IF(OR('Quantification Tool'!$B$10="Basins",'Quantification Tool'!$B$10="Plains"),IF(E120&gt;=150,0,IF(E120&lt;16,1,ROUND('Reference Curves'!$S$53*LN(E120)+'Reference Curves'!$S$54,2))),IF(E120&gt;=97,0,IF(E120&lt;=13,1,ROUND('Reference Curves'!$T$53*LN(E120)+'Reference Curves'!$T$54,2)))))</f>
        <v/>
      </c>
      <c r="G120" s="162" t="str">
        <f>IFERROR(AVERAGE(F120),"")</f>
        <v/>
      </c>
      <c r="H120" s="479"/>
      <c r="I120" s="473"/>
    </row>
    <row r="121" spans="1:11" ht="15.75" x14ac:dyDescent="0.25">
      <c r="A121" s="508" t="s">
        <v>54</v>
      </c>
      <c r="B121" s="511" t="s">
        <v>189</v>
      </c>
      <c r="C121" s="163" t="s">
        <v>186</v>
      </c>
      <c r="D121" s="164"/>
      <c r="E121" s="142"/>
      <c r="F121" s="165" t="str">
        <f>IF(E121="","",IF('Quantification Tool'!$B$11="","Enter Bioregion",IF('Quantification Tool'!$B$11="Wyoming Basin",IF(E121&lt;=5.3,0,IF(E121&gt;=64.5,1,ROUND(IF(E121&lt;26.2,'Reference Curves'!$AB$17*E121+'Reference Curves'!$AB$18,IF(E121&lt;39.9, 'Reference Curves'!$AC$17*E121+'Reference Curves'!$AC$18,'Reference Curves'!$AD$17*E121+'Reference Curves'!$AD$18)),2))), IF('Quantification Tool'!$B$11="Black Hills",IF(E121&lt;=12.8,0,IF(E121&gt;=65.7,1,ROUND(IF(E121&lt;30.7,'Reference Curves'!$AE$17*E121+'Reference Curves'!$AE$18,IF(E121&lt;46.1,'Reference Curves'!$AF$17*E121+'Reference Curves'!$AF$18,'Reference Curves'!$AG$17*E121+'Reference Curves'!$AG$18)),2))), IF('Quantification Tool'!$B$11="High Valleys",IF(E121&lt;=17.1,0,IF(E121&gt;=78.2,1,ROUND(IF(E121&lt;48.8,'Reference Curves'!$AH$17*E121+'Reference Curves'!$AH$18,'Reference Curves'!$AI$17*E121+'Reference Curves'!$AI$18),2))),     IF('Quantification Tool'!$B$11="Southern Rockies",IF(E121&lt;=5.1,0,IF(E121&gt;=82.2,1,ROUND(IF(E121&lt;32.6, 'Reference Curves'!$AB$54*E121+'Reference Curves'!$AB$55, IF(E121&lt;48.8, 'Reference Curves'!$AC$54*E121+'Reference Curves'!$AC$55,  'Reference Curves'!$AD$54*E121+'Reference Curves'!$AD$55)), 2))), IF('Quantification Tool'!$B$11="SE Plains",IF(E121&lt;=10.4,0,IF(E121&gt;=87,1,ROUND(IF(E121&lt;36.7,'Reference Curves'!$AE$54*E121+'Reference Curves'!$AE$55, IF(E121&lt;55.1, 'Reference Curves'!$AF$54*E121+'Reference Curves'!$AF$55, 'Reference Curves'!$AG$54*E121+'Reference Curves'!$AG$55)),2))),   IF('Quantification Tool'!$B$11="NE Plains",IF(E121&lt;=1.6,0,IF(E121&gt;=95.8,1,ROUND(IF(E121&lt;38.9,'Reference Curves'!$AH$54*E121+'Reference Curves'!$AH$55, IF(E121&lt;58.4, 'Reference Curves'!$AI$54*E121+'Reference Curves'!$AI$55, 'Reference Curves'!$AJ$54*E121+'Reference Curves'!$AJ$55)),2))),      IF('Quantification Tool'!$B$11="Granitic Mountains",IF(E121&lt;=32.6,0,IF(E121&gt;=74.9,1,ROUND(IF(E121&lt;40.2, 'Reference Curves'!$AB$92*E121+'Reference Curves'!$AB$93, 'Reference Curves'!$AC$92*E121+'Reference Curves'!$AC$93),2))), IF('Quantification Tool'!$B$11="Volcanic Mountains &amp; Valleys",IF(E121&lt;=26,0,IF(E121&gt;=88.1,1,ROUND('Reference Curves'!$AF$92*E121+'Reference Curves'!$AF$93,2))), IF('Quantification Tool'!$B$11="Southern Foothills &amp; Laramie Range",IF(E121&lt;=30.7,0,IF(E121&gt;=85,1,ROUND(IF(E121&lt;44.5, 'Reference Curves'!$AD$92*E121+'Reference Curves'!$AD$93,  'Reference Curves'!$AE$92*E121+'Reference Curves'!$AE$93 ),2))),     IF('Quantification Tool'!$B$11="Sedimentary Mountains",IF(E121&lt;=17,0,IF(E121&gt;=70,1,ROUND('Reference Curves'!$AB$127*E121+'Reference Curves'!$AB$128,2))), IF('Quantification Tool'!$B$11="Bighorn Basin Foothills",IF(E121&lt;=3.9,0,IF(E121&gt;=80,1,ROUND(IF(E121&lt;40.6,'Reference Curves'!$AC$127*E121+'Reference Curves'!$AC$128,'Reference Curves'!$AD$127*E121+'Reference Curves'!$AD$128),2)))  )))))))))))))</f>
        <v/>
      </c>
      <c r="G121" s="474" t="str">
        <f>IFERROR(IF(AND(F121="",F122=""),"",IF(OR(F121="",F122=""),AVERAGE(F121:F122),IF(OR(F121&lt;0.3,F122&lt;0.3),IF(OR(F121&gt;=0.7,F122&gt;=0.7),MIN(0.69,AVERAGE(F121:F122)),MIN(0.29,AVERAGE(F121:F122))), IF(OR(F121&gt;=0.7,F122&gt;=0.7),IF(AVERAGE(F121:F122)&lt;0.7,0.7,AVERAGE(F121:F122)),AVERAGE(F121:F122))))),"")</f>
        <v/>
      </c>
      <c r="H121" s="476" t="str">
        <f>IFERROR(ROUND(AVERAGE(G121:G125),2),"")</f>
        <v/>
      </c>
      <c r="I121" s="473" t="str">
        <f>IF(H121="","",IF(H121&gt;0.69,"Functioning",IF(H121&gt;0.29,"Functioning At Risk",IF(H121&gt;-1,"Not Functioning"))))</f>
        <v/>
      </c>
    </row>
    <row r="122" spans="1:11" ht="15.75" x14ac:dyDescent="0.25">
      <c r="A122" s="509"/>
      <c r="B122" s="513"/>
      <c r="C122" s="166" t="s">
        <v>187</v>
      </c>
      <c r="D122" s="167"/>
      <c r="E122" s="143"/>
      <c r="F122" s="168" t="str">
        <f>IF(E122="","",IF('Quantification Tool'!$B$11="","Enter Bioregion",IF('Quantification Tool'!$B$11="Wyoming Basin",IF(E122&lt;0.15,0,IF(E122&gt;1.18,1,ROUND(IF(E122&lt;0.64,'Reference Curves'!$AB$166*E122+'Reference Curves'!$AB$167, IF(E122&lt;0.82, 'Reference Curves'!$AC$166*E122+'Reference Curves'!$AC$167, 'Reference Curves'!$AD$166*E122+'Reference Curves'!$AD$167) ),2))), IF('Quantification Tool'!$B$11="Black Hills",IF(E122&lt;=0.37,0,IF(E122&gt;1.08,1,ROUND('Reference Curves'!$AE$166*E122+'Reference Curves'!$AE$167,2))), IF('Quantification Tool'!$B$11="High Valleys",IF(E122&lt;0.42,0,IF(E122&gt;1.14,1,ROUND(IF(E122&lt;0.68, 'Reference Curves'!$AF$166*E122+'Reference Curves'!$AF$167, IF(E122&lt;0.86, 'Reference Curves'!$AG$166*E122+'Reference Curves'!$AG$167, 'Reference Curves'!$AH$166*E122+'Reference Curves'!$AH$167)),2))), IF('Quantification Tool'!$B$11="Sedimentary Mountains",IF(E122&lt;0.42,0,IF(E122&gt;1.17,1,ROUND(IF(E122&lt;0.68, 'Reference Curves'!$AI$166*E122+'Reference Curves'!$AI$167, IF(E122&lt;0.82, 'Reference Curves'!$AJ$166*E122+'Reference Curves'!$AJ$167, 'Reference Curves'!$AK$166*E122+'Reference Curves'!$AK$167) ),2))),        IF('Quantification Tool'!$B$11="Southern Rockies",IF(E122&lt;0.27,0,IF(E122&gt;=1.18,1,ROUND(IF(E122&lt;0.62, 'Reference Curves'!$AB$204*E122+'Reference Curves'!$AB$205, IF(E122&lt;0.89, 'Reference Curves'!$AC$204*E122+'Reference Curves'!$AC$205, 'Reference Curves'!$AD$204*E122+'Reference Curves'!$AD$205) ),2))), IF('Quantification Tool'!$B$11="SE Plains",IF(E122&lt;0.34,0,IF(E122&gt;1.12,1,ROUND(IF(E122&lt;0.78, 'Reference Curves'!$AE$204*E122+'Reference Curves'!$AE$205, 'Reference Curves'!$AF$204*E122+'Reference Curves'!$AF$205),2))), IF('Quantification Tool'!$B$11="NE Plains",IF(E122&lt;0.11,0,IF(E122&gt;=0.98,1,ROUND(IF(E122&lt;0.52, 'Reference Curves'!$AG$204*E122+'Reference Curves'!$AG$205,'Reference Curves'!$AH$204*E122+'Reference Curves'!$AH$205 ),2))),    IF('Quantification Tool'!$B$11="Granitic Mountains",IF(E122&lt;=0.59,0,IF(E122&gt;=1.09,1,ROUND(IF(E122&lt;0.65, 'Reference Curves'!$AB$242*E122+'Reference Curves'!$AB$243, 'Reference Curves'!$AC$242*E122+'Reference Curves'!$AC$243),2))),IF('Quantification Tool'!$B$11="Bighorn Basin Foothills",IF(E122&lt;=0.41,0,IF(E122&gt;=0.92,1,ROUND(IF(E122&lt;0.84, 'Reference Curves'!$AD$242*E122+'Reference Curves'!$AD$243,  'Reference Curves'!$AE$242*E122+'Reference Curves'!$AE$243),2))),IF('Quantification Tool'!$B$11="Volcanic Mountains &amp; Valleys",IF(E122&lt;=0.21,0,IF(E122&gt;=1.21,1,ROUND(IF(E122&lt;0.65, 'Reference Curves'!$AI$242*E122+'Reference Curves'!$AI$243, IF(E122&lt;0.86,  'Reference Curves'!$AJ$242*E122+'Reference Curves'!$AJ$243,  'Reference Curves'!$AK$242*E122+'Reference Curves'!$AK$243)),2))), IF('Quantification Tool'!$B$11="Southern Foothills &amp; Laramie Range",IF(E122&lt;=0.29,0,IF(E122&gt;=1.2,1,ROUND(IF(E122&lt;0.68, 'Reference Curves'!$AF$242*E122+'Reference Curves'!$AF$243, IF(E122&lt;0.88,  'Reference Curves'!$AG$242*E122+'Reference Curves'!$AG$243, 'Reference Curves'!$AH$242*E122+'Reference Curves'!$AH$243)),2))) )))))))))))))</f>
        <v/>
      </c>
      <c r="G122" s="475"/>
      <c r="H122" s="476"/>
      <c r="I122" s="473"/>
    </row>
    <row r="123" spans="1:11" ht="15.75" x14ac:dyDescent="0.25">
      <c r="A123" s="509"/>
      <c r="B123" s="511" t="s">
        <v>75</v>
      </c>
      <c r="C123" s="58" t="s">
        <v>349</v>
      </c>
      <c r="D123" s="169"/>
      <c r="E123" s="142"/>
      <c r="F123" s="170" t="str">
        <f>IF(E123="","",IF(E123&lt;58,0,IF(E123&gt;=100,1,ROUND(E123*'Reference Curves'!$AB$280+'Reference Curves'!$AB$281,2))))</f>
        <v/>
      </c>
      <c r="G123" s="474" t="str">
        <f>IFERROR(AVERAGE(F123:F125),"")</f>
        <v/>
      </c>
      <c r="H123" s="476"/>
      <c r="I123" s="473"/>
      <c r="K123" s="5"/>
    </row>
    <row r="124" spans="1:11" ht="15.75" x14ac:dyDescent="0.25">
      <c r="A124" s="509"/>
      <c r="B124" s="512"/>
      <c r="C124" s="59" t="s">
        <v>350</v>
      </c>
      <c r="D124" s="171"/>
      <c r="E124" s="140"/>
      <c r="F124" s="170" t="str">
        <f>IF(E124="","",ROUND(IF(E124&gt;=3,0,IF(E124&gt;=2,0.3,IF(E124&gt;=1,0.69,1))),2))</f>
        <v/>
      </c>
      <c r="G124" s="477"/>
      <c r="H124" s="476"/>
      <c r="I124" s="473"/>
    </row>
    <row r="125" spans="1:11" ht="15.75" x14ac:dyDescent="0.25">
      <c r="A125" s="510"/>
      <c r="B125" s="513"/>
      <c r="C125" s="39" t="s">
        <v>351</v>
      </c>
      <c r="D125" s="172"/>
      <c r="E125" s="143"/>
      <c r="F125" s="168" t="str">
        <f>IF(E125="","",IF('Quantification Tool'!$B$20="","Enter Stream Producitvity Rating",IF('Quantification Tool'!$B$20="Blue Ribbon and non-trout",IF(E125&lt;5,0,IF(E125&gt;=40,1,ROUND(E125*'Reference Curves'!$AB$319+'Reference Curves'!$AB$320,2))),IF('Quantification Tool'!$B$20="Red Ribbon",IF(E125&lt;10,0,IF(E125&gt;=80,1,ROUND(E125*'Reference Curves'!$AC$319+'Reference Curves'!$AC$320,2))),IF(OR('Quantification Tool'!$B$20="Yellow Ribbon",'Quantification Tool'!$B$20="Green Ribbon"),IF(E125&lt;15,0,IF(E125&gt;=119,1,ROUND(E125*'Reference Curves'!$AD$319+'Reference Curves'!$AD$320,2)))   )))))</f>
        <v/>
      </c>
      <c r="G125" s="475"/>
      <c r="H125" s="476"/>
      <c r="I125" s="473"/>
    </row>
    <row r="126" spans="1:11" x14ac:dyDescent="0.25">
      <c r="J126" s="5"/>
    </row>
    <row r="127" spans="1:11" x14ac:dyDescent="0.25">
      <c r="J127" s="5"/>
    </row>
    <row r="128" spans="1:11" ht="21" x14ac:dyDescent="0.35">
      <c r="A128" s="47" t="s">
        <v>135</v>
      </c>
      <c r="B128" s="352"/>
      <c r="C128" s="355" t="s">
        <v>383</v>
      </c>
      <c r="D128" s="560"/>
      <c r="E128" s="560"/>
      <c r="F128" s="561"/>
      <c r="G128" s="554" t="s">
        <v>14</v>
      </c>
      <c r="H128" s="555"/>
      <c r="I128" s="556"/>
      <c r="J128" s="5"/>
    </row>
    <row r="129" spans="1:9" ht="15.75" x14ac:dyDescent="0.25">
      <c r="A129" s="53" t="s">
        <v>1</v>
      </c>
      <c r="B129" s="53" t="s">
        <v>2</v>
      </c>
      <c r="C129" s="327" t="s">
        <v>3</v>
      </c>
      <c r="D129" s="328"/>
      <c r="E129" s="53" t="s">
        <v>12</v>
      </c>
      <c r="F129" s="53" t="s">
        <v>13</v>
      </c>
      <c r="G129" s="53" t="s">
        <v>15</v>
      </c>
      <c r="H129" s="53" t="s">
        <v>16</v>
      </c>
      <c r="I129" s="413" t="s">
        <v>16</v>
      </c>
    </row>
    <row r="130" spans="1:9" ht="15.75" x14ac:dyDescent="0.25">
      <c r="A130" s="540" t="s">
        <v>345</v>
      </c>
      <c r="B130" s="485" t="s">
        <v>128</v>
      </c>
      <c r="C130" s="287" t="s">
        <v>341</v>
      </c>
      <c r="D130" s="288"/>
      <c r="E130" s="142"/>
      <c r="F130" s="335" t="str">
        <f>IF(E130="","",IF(E130&gt;=80,0,IF(E130&lt;=40,1,IF(E130&gt;=68,ROUND(E130*'Reference Curves'!$C$14+'Reference Curves'!$C$15,2),ROUND(E130*'Reference Curves'!$D$14+'Reference Curves'!$D$15,2)))))</f>
        <v/>
      </c>
      <c r="G130" s="501" t="str">
        <f>IFERROR(AVERAGE(F130:F131),"")</f>
        <v/>
      </c>
      <c r="H130" s="501" t="str">
        <f>IFERROR(ROUND(AVERAGE(G130:G134),2),"")</f>
        <v/>
      </c>
      <c r="I130" s="504" t="str">
        <f>IF(H130="","",IF(H130:H134&gt;0.69,"Functioning",IF(H130&gt;0.29,"Functioning At Risk",IF(H130&gt;-1,"Not Functioning"))))</f>
        <v/>
      </c>
    </row>
    <row r="131" spans="1:9" ht="15.75" x14ac:dyDescent="0.25">
      <c r="A131" s="541"/>
      <c r="B131" s="486"/>
      <c r="C131" s="289" t="s">
        <v>129</v>
      </c>
      <c r="D131" s="145"/>
      <c r="E131" s="143"/>
      <c r="F131" s="291" t="str">
        <f>IF(E131="","",   IF(E131&gt;3.22,0, IF(E131&lt;0, "", ROUND('Reference Curves'!$C$44*E131+'Reference Curves'!$C$45,2))))</f>
        <v/>
      </c>
      <c r="G131" s="503"/>
      <c r="H131" s="502"/>
      <c r="I131" s="505"/>
    </row>
    <row r="132" spans="1:9" ht="15.6" customHeight="1" x14ac:dyDescent="0.25">
      <c r="A132" s="541"/>
      <c r="B132" s="290" t="s">
        <v>140</v>
      </c>
      <c r="C132" s="543" t="s">
        <v>237</v>
      </c>
      <c r="D132" s="544"/>
      <c r="E132" s="144"/>
      <c r="F132" s="291" t="str">
        <f>IF(E132="","",IF(OR(E132&gt;=2,E132&lt;=0.26),0,IF(AND(E132&gt;=0.9,E132&lt;=1.1),1,ROUND(IF(E132&lt;0.9,'Reference Curves'!$C$75*E132+'Reference Curves'!$C$76,'Reference Curves'!$D$75*E132+'Reference Curves'!$D$76),2))))</f>
        <v/>
      </c>
      <c r="G132" s="364" t="str">
        <f>IFERROR(F132,"")</f>
        <v/>
      </c>
      <c r="H132" s="502"/>
      <c r="I132" s="505"/>
    </row>
    <row r="133" spans="1:9" ht="15.75" x14ac:dyDescent="0.25">
      <c r="A133" s="541"/>
      <c r="B133" s="485" t="s">
        <v>5</v>
      </c>
      <c r="C133" s="145" t="s">
        <v>6</v>
      </c>
      <c r="D133" s="145"/>
      <c r="E133" s="140"/>
      <c r="F133" s="336" t="str">
        <f>IF(E133="","",ROUND(IF(E133&gt;1.71,0,IF(E133&lt;=1,1,E133*'Reference Curves'!C$107+'Reference Curves'!C$108)),2))</f>
        <v/>
      </c>
      <c r="G133" s="501" t="str">
        <f>IFERROR(AVERAGE(F133:F134),"")</f>
        <v/>
      </c>
      <c r="H133" s="502"/>
      <c r="I133" s="505"/>
    </row>
    <row r="134" spans="1:9" ht="15.6" customHeight="1" x14ac:dyDescent="0.25">
      <c r="A134" s="542"/>
      <c r="B134" s="486"/>
      <c r="C134" s="146" t="s">
        <v>7</v>
      </c>
      <c r="D134" s="146"/>
      <c r="E134" s="143"/>
      <c r="F134" s="147" t="str">
        <f>IF(E134="","",IF(OR('Quantification Tool'!$B$9="A",'Quantification Tool'!$B$9="Ba",'Quantification Tool'!$B$9="B", 'Quantification Tool'!$B$9="Bc"),IF(E134&lt;1.05,0,IF(E134&gt;=2.2,1,ROUND(IF(E134&lt;1.4,E134*'Reference Curves'!$C$176+'Reference Curves'!$C$177,E134*'Reference Curves'!$D$176+'Reference Curves'!$D$177),2))),IF(OR('Quantification Tool'!$B$9="C",'Quantification Tool'!$B$9="Cb",'Quantification Tool'!$B$9="E"),IF(E134&lt;1.7,0,IF(E134&gt;=5,1,ROUND(IF(E134&lt;2.4,E134*'Reference Curves'!$D$141+'Reference Curves'!$D$142,E134*'Reference Curves'!$C$141+'Reference Curves'!$C$142),2))))))</f>
        <v/>
      </c>
      <c r="G134" s="503"/>
      <c r="H134" s="503"/>
      <c r="I134" s="506"/>
    </row>
    <row r="135" spans="1:9" ht="15.75" x14ac:dyDescent="0.25">
      <c r="A135" s="465" t="s">
        <v>20</v>
      </c>
      <c r="B135" s="465" t="s">
        <v>21</v>
      </c>
      <c r="C135" s="34" t="s">
        <v>19</v>
      </c>
      <c r="D135" s="148"/>
      <c r="E135" s="142"/>
      <c r="F135" s="149" t="str">
        <f>IF(E135="","",IF(E135&gt;=660,1,IF(E135&lt;=430,ROUND('Reference Curves'!$K$14*E135+'Reference Curves'!$K$15,2),ROUND('Reference Curves'!$L$14*E135+'Reference Curves'!$L$15,2))))</f>
        <v/>
      </c>
      <c r="G135" s="455" t="str">
        <f>IFERROR(AVERAGE(F135:F136),"")</f>
        <v/>
      </c>
      <c r="H135" s="455" t="str">
        <f>IFERROR(ROUND(AVERAGE(G135:G150),2),"")</f>
        <v/>
      </c>
      <c r="I135" s="458" t="str">
        <f>IF(H135="","",IF(H135&gt;0.69,"Functioning",IF(H135&gt;0.29,"Functioning At Risk",IF(H135&gt;-1,"Not Functioning"))))</f>
        <v/>
      </c>
    </row>
    <row r="136" spans="1:9" ht="15.75" x14ac:dyDescent="0.25">
      <c r="A136" s="462"/>
      <c r="B136" s="463"/>
      <c r="C136" s="279" t="s">
        <v>346</v>
      </c>
      <c r="D136" s="151"/>
      <c r="E136" s="140"/>
      <c r="F136" s="337" t="str">
        <f>IF(E136="","",IF(E136&gt;=28,1,ROUND(IF(E136&lt;=13,'Reference Curves'!$K$47*E136,'Reference Curves'!$L$47*E136+'Reference Curves'!$L$48),2)))</f>
        <v/>
      </c>
      <c r="G136" s="457"/>
      <c r="H136" s="456"/>
      <c r="I136" s="459"/>
    </row>
    <row r="137" spans="1:9" ht="15.75" x14ac:dyDescent="0.25">
      <c r="A137" s="462"/>
      <c r="B137" s="461" t="s">
        <v>402</v>
      </c>
      <c r="C137" s="148" t="s">
        <v>250</v>
      </c>
      <c r="D137" s="277"/>
      <c r="E137" s="142"/>
      <c r="F137" s="385" t="str">
        <f>IF(E137="","",ROUND(IF(E137&lt;=2,0,IF(E137&gt;=9,1,E137^3*'Reference Curves'!K$81+E137^2*'Reference Curves'!$K$82+E137*'Reference Curves'!$K$83+'Reference Curves'!$K$84)),2))</f>
        <v/>
      </c>
      <c r="G137" s="455" t="str">
        <f>IFERROR(AVERAGE(F137:F140),"")</f>
        <v/>
      </c>
      <c r="H137" s="456"/>
      <c r="I137" s="459"/>
    </row>
    <row r="138" spans="1:9" ht="15.75" x14ac:dyDescent="0.25">
      <c r="A138" s="462"/>
      <c r="B138" s="462"/>
      <c r="C138" s="151" t="s">
        <v>43</v>
      </c>
      <c r="D138" s="151"/>
      <c r="E138" s="140"/>
      <c r="F138" s="339" t="str">
        <f>IF(E138="","",IF(OR(E138="Ex/Ex",E138="Ex/VH",E138="Ex/H",E138="Ex/M",E138="VH/Ex",E138="VH/VH", E138="H/Ex",E138="H/VH"),0, IF(OR(E138="M/Ex"),0.1,IF(OR(E138="VH/H",E138="VH/M",E138="H/H",E138="H/M", E138="M/VH"),0.2, IF(OR(E138="Ex/VL",E138="Ex/L", E138="M/H"),0.3, IF(OR(E138="VH/L",E138="H/L"),0.4, IF(OR(E138="VH/VL",E138="H/VL",E138="M/M"),0.5, IF(OR(E138="M/L",E138="L/Ex"),0.6, IF(OR(E138="M/VL",E138="L/VH", E138="L/H",E138="L/M",E138="L/L",E138="L/VL"),1)))))))))</f>
        <v/>
      </c>
      <c r="G138" s="456"/>
      <c r="H138" s="456"/>
      <c r="I138" s="459"/>
    </row>
    <row r="139" spans="1:9" ht="15.75" x14ac:dyDescent="0.25">
      <c r="A139" s="462"/>
      <c r="B139" s="462"/>
      <c r="C139" s="368" t="s">
        <v>87</v>
      </c>
      <c r="D139" s="368"/>
      <c r="E139" s="140"/>
      <c r="F139" s="339" t="str">
        <f>IF(E139="","",ROUND(IF(E139&gt;=75,0,IF(E139&lt;=5,1,IF(E139&gt;10,E139*'Reference Curves'!K$115+'Reference Curves'!K$116,'Reference Curves'!$L$115*E139+'Reference Curves'!$L$116))),2))</f>
        <v/>
      </c>
      <c r="G139" s="456"/>
      <c r="H139" s="456"/>
      <c r="I139" s="459"/>
    </row>
    <row r="140" spans="1:9" s="317" customFormat="1" ht="15.75" x14ac:dyDescent="0.25">
      <c r="A140" s="462"/>
      <c r="B140" s="463"/>
      <c r="C140" s="371" t="s">
        <v>401</v>
      </c>
      <c r="D140" s="278"/>
      <c r="E140" s="143"/>
      <c r="F140" s="386" t="str">
        <f>IF(E140="","",IF(E140&gt;=30,0,ROUND(E140*'Reference Curves'!$K$146+'Reference Curves'!$K$147,2)))</f>
        <v/>
      </c>
      <c r="G140" s="457"/>
      <c r="H140" s="456"/>
      <c r="I140" s="459"/>
    </row>
    <row r="141" spans="1:9" ht="15.75" x14ac:dyDescent="0.25">
      <c r="A141" s="462"/>
      <c r="B141" s="361" t="s">
        <v>105</v>
      </c>
      <c r="C141" s="33" t="s">
        <v>130</v>
      </c>
      <c r="D141" s="151"/>
      <c r="E141" s="143"/>
      <c r="F141" s="332" t="str">
        <f>IF(OR(E141="",'Quantification Tool'!$B$13=""),"",IF(OR('Quantification Tool'!$B$13="Silt/Clay",'Quantification Tool'!$B$13="Sand",'Quantification Tool'!$B$13="Boulders",'Quantification Tool'!$B$13="Bedrock"),"NA",IF(E141&gt;0.1,1,IF(E141&lt;=0.01,0,ROUND(E141*'Reference Curves'!$K$177+'Reference Curves'!$K$178,2)))))</f>
        <v/>
      </c>
      <c r="G141" s="153" t="str">
        <f>IFERROR(AVERAGE(F141),"")</f>
        <v/>
      </c>
      <c r="H141" s="456"/>
      <c r="I141" s="459"/>
    </row>
    <row r="142" spans="1:9" ht="15.75" x14ac:dyDescent="0.25">
      <c r="A142" s="462"/>
      <c r="B142" s="465" t="s">
        <v>45</v>
      </c>
      <c r="C142" s="148" t="s">
        <v>46</v>
      </c>
      <c r="D142" s="148"/>
      <c r="E142" s="142"/>
      <c r="F142" s="155" t="str">
        <f>IF(E142="","",IF('Quantification Tool'!$B$9="Bc",IF(OR(E142&gt;=12,E142&lt;=0.1),0,IF(E142&lt;=3.4,1,ROUND('Reference Curves'!$K$310*E142+'Reference Curves'!$K$311,2))),  IF(OR('Quantification Tool'!$B$9="B",'Quantification Tool'!$B$9="Ba"),IF(OR(E142&gt;=7.5,E142&lt;=0.1),0,IF(E142&lt;=3,1,ROUND(IF(E142&gt;4,'Reference Curves'!$K$279*E142+'Reference Curves'!$K$280,'Reference Curves'!$L$279*E142+'Reference Curves'!$L$280),2))),  IF('Quantification Tool'!$B$9="Cb",IF(OR(E142&gt;=8.35,E142&lt;1.4),0,IF(AND(E142&gt;=3.7,E142&lt;=5),1,ROUND(IF(E142&lt;3.7,'Reference Curves'!$K$247*E142+'Reference Curves'!$K$248,'Reference Curves'!$L$247*E142+'Reference Curves'!$L$248),2))),  IF('Quantification Tool'!$B$9="C",IF(OR(E142&gt;9.3,E142&lt;=3),0,IF(AND(E142&gt;=4,E142&lt;=6),1,ROUND(IF(E142&lt;4,'Reference Curves'!$K$213*E142+'Reference Curves'!$K$214,'Reference Curves'!$L$213*E142+'Reference Curves'!$L$214),2))),  IF('Quantification Tool'!$B$9="E",IF(OR(E142&gt;8.2,E142&lt;1.85),0,IF(AND(E142&gt;=3.5,E142&lt;=5),1,ROUND(IF(E142&lt;3.5,'Reference Curves'!$K$343*E142+'Reference Curves'!$K$344,'Reference Curves'!$L$343*E142+'Reference Curves'!$L$344),2)))      ))))))</f>
        <v/>
      </c>
      <c r="G142" s="480" t="str">
        <f>IFERROR(AVERAGE(F142:F145),"")</f>
        <v/>
      </c>
      <c r="H142" s="456"/>
      <c r="I142" s="459"/>
    </row>
    <row r="143" spans="1:9" ht="15.75" x14ac:dyDescent="0.25">
      <c r="A143" s="462"/>
      <c r="B143" s="462"/>
      <c r="C143" s="151" t="s">
        <v>47</v>
      </c>
      <c r="D143" s="151"/>
      <c r="E143" s="140"/>
      <c r="F143" s="156" t="str">
        <f>IF(E143="","",IF(E143&lt;=1,0,IF(E143&gt;=3.2,1,IF(E143&gt;=2.2,ROUND('Reference Curves'!$L$375*E143+'Reference Curves'!$L$376,2),(ROUND('Reference Curves'!$K$375*E143+'Reference Curves'!$K$376,2))))))</f>
        <v/>
      </c>
      <c r="G143" s="464"/>
      <c r="H143" s="456"/>
      <c r="I143" s="459"/>
    </row>
    <row r="144" spans="1:9" ht="15.75" x14ac:dyDescent="0.25">
      <c r="A144" s="462"/>
      <c r="B144" s="462"/>
      <c r="C144" s="31" t="s">
        <v>356</v>
      </c>
      <c r="D144" s="151"/>
      <c r="E144" s="140"/>
      <c r="F144" s="362" t="str">
        <f>IF(E144="","",IF('Quantification Tool'!$B$11="Volcanic Mountains &amp; Valleys", IF(OR(E144&gt;86.65,E144&lt;33),0,IF(AND(E144&gt;=73,E144&lt;=80),1, ROUND(IF(E144&lt;73,'Reference Curves'!$K$408*E144+'Reference Curves'!$K$409, 'Reference Curves'!$L$408*E144+'Reference Curves'!$L$409),2))), IF('Quantification Tool'!B$16="","Need Slope",IF('Quantification Tool'!B$16&lt;3,IF( OR(E144&gt;=91,E144&lt;=13.5),0, IF(AND(E144&gt;49,E144&lt;61), 1, ROUND(IF(E144&lt;50,'Reference Curves'!$K$441*E144+'Reference Curves'!$K$442, IF(E144&gt;60,'Reference Curves'!$L$441*E144+'Reference Curves'!$L$442)),2))), IF('Quantification Tool'!B$16&gt;=3,IF(OR(E144&gt;94.5,E144&lt;41.5),0, IF(AND(E144 &gt;=68, E144&lt;=78),1, ROUND(IF(E144&lt;68,'Reference Curves'!$K$475*E144+'Reference Curves'!$K$476,'Reference Curves'!$L$475*E144+'Reference Curves'!$L$476),2) )))))))</f>
        <v/>
      </c>
      <c r="G144" s="464"/>
      <c r="H144" s="456"/>
      <c r="I144" s="459"/>
    </row>
    <row r="145" spans="1:11" ht="15.75" x14ac:dyDescent="0.25">
      <c r="A145" s="462"/>
      <c r="B145" s="463"/>
      <c r="C145" s="150" t="s">
        <v>213</v>
      </c>
      <c r="D145" s="150"/>
      <c r="E145" s="143"/>
      <c r="F145" s="360" t="str">
        <f>IF(E145="","",IF(E145&gt;=1.6,0,IF(E145&lt;=1,1,ROUND('Reference Curves'!$K$506*E145^3+'Reference Curves'!$K$507*E145^2+'Reference Curves'!$K$508*E145+'Reference Curves'!$K$509,2))))</f>
        <v/>
      </c>
      <c r="G145" s="481"/>
      <c r="H145" s="456"/>
      <c r="I145" s="459"/>
    </row>
    <row r="146" spans="1:11" ht="15.75" x14ac:dyDescent="0.25">
      <c r="A146" s="462"/>
      <c r="B146" s="361" t="s">
        <v>49</v>
      </c>
      <c r="C146" s="151" t="s">
        <v>48</v>
      </c>
      <c r="D146" s="151"/>
      <c r="E146" s="140"/>
      <c r="F146" s="341" t="str">
        <f>IF(E146="","",IF('Quantification Tool'!B$9="E",IF(OR(E146&gt;2.14,E146&lt;1.13),0, IF(AND(E146&gt;=1.3, E146&lt;=1.8),1, ROUND(IF(E146&lt;1.3,E146*'Reference Curves'!K$542+'Reference Curves'!K$543, E146*'Reference Curves'!L$542+'Reference Curves'!$L$543),2))),    IF('Quantification Tool'!$B$21="Unconfined Alluvial",IF(OR(E146&lt;1.12, E146&gt;1.67),0, IF(AND(E146&lt;=1.5,E146&gt;=1.2),1,ROUND(IF(E146&lt;1.2,E146*'Reference Curves'!$K$575+'Reference Curves'!$K$576, E146*'Reference Curves'!$L$575+'Reference Curves'!$L$576),2))),  IF('Quantification Tool'!$B$21="Confined Alluvial",IF(E146&lt;=1,0, IF(E146&gt;=1.2,1, ROUND(E146*'Reference Curves'!$K$604+'Reference Curves'!$K$605,2))),    IF('Quantification Tool'!$B$21="Colluvial/V-Shaped",IF(OR(E146&lt;1, E146&gt;1.47),0, IF(AND(E146&lt;=1.3,E146&gt;=1.1),1,ROUND(IF(E146&lt;1.1,E146*'Reference Curves'!$K$637+'Reference Curves'!$K$638, E146*'Reference Curves'!$L$637+'Reference Curves'!$L$638),2)))  )))))</f>
        <v/>
      </c>
      <c r="G146" s="156" t="str">
        <f>IFERROR(AVERAGE(F146),"")</f>
        <v/>
      </c>
      <c r="H146" s="456"/>
      <c r="I146" s="459"/>
    </row>
    <row r="147" spans="1:11" ht="15.75" x14ac:dyDescent="0.25">
      <c r="A147" s="462"/>
      <c r="B147" s="465" t="s">
        <v>44</v>
      </c>
      <c r="C147" s="32" t="s">
        <v>344</v>
      </c>
      <c r="D147" s="148"/>
      <c r="E147" s="142"/>
      <c r="F147" s="365" t="str">
        <f>IF(E147="","",IF('Quantification Tool'!$B$21="Unconfined Alluvial",IF(E147&gt;=100,1,IF(E147&lt;30,0,ROUND('Reference Curves'!$K$668*E147+'Reference Curves'!$K$669,2))),IF(OR('Quantification Tool'!$B$21="Confined Alluvial",'Quantification Tool'!$B$21="Colluvial/V-Shaped"),(IF(E147&gt;=100,1,IF(E147&lt;60,0,ROUND('Reference Curves'!$L$668*E147+'Reference Curves'!$L$669,2)))))))</f>
        <v/>
      </c>
      <c r="G147" s="480" t="str">
        <f>IFERROR(AVERAGE(F147:F150),"")</f>
        <v/>
      </c>
      <c r="H147" s="456"/>
      <c r="I147" s="459"/>
    </row>
    <row r="148" spans="1:11" ht="15.75" x14ac:dyDescent="0.25">
      <c r="A148" s="462"/>
      <c r="B148" s="462"/>
      <c r="C148" s="279" t="s">
        <v>390</v>
      </c>
      <c r="D148" s="151"/>
      <c r="E148" s="140"/>
      <c r="F148" s="156" t="str">
        <f>IF(E148="","",  IF(OR('Quantification Tool'!$B$10="Mountains",'Quantification Tool'!$B$10="Basins"),IF(E148&lt;=0,0, IF(E148&gt;=122,1,ROUND('Reference Curves'!$K$700*E148^2+'Reference Curves'!$K$701*E148+'Reference Curves'!$K$702,2))),   IF('Quantification Tool'!$B$10="Plains",IF(OR(E148&lt;=0,E148&gt;114),0, IF(AND(E148&lt;=69,E148&gt;=59),1, IF(E148&lt;59, ROUND(E148*'Reference Curves'!$K$735+'Reference Curves'!$K$736,2), ROUND(E148*'Reference Curves'!$L$735+'Reference Curves'!$L$736,2) )) ))))</f>
        <v/>
      </c>
      <c r="G148" s="464"/>
      <c r="H148" s="456"/>
      <c r="I148" s="459"/>
    </row>
    <row r="149" spans="1:11" ht="15.75" x14ac:dyDescent="0.25">
      <c r="A149" s="462"/>
      <c r="B149" s="466"/>
      <c r="C149" s="279" t="s">
        <v>391</v>
      </c>
      <c r="D149" s="151"/>
      <c r="E149" s="140"/>
      <c r="F149" s="156" t="str">
        <f>IF(E149="","",IF('Quantification Tool'!$B$19="Herbaceous", IF(E149&lt;=30,0,IF(E149&gt;=117,1, ROUND(E149*'Reference Curves'!$L$767+'Reference Curves'!$L$768,2))),  IF(E149&lt;=0,0, IF(E149&gt;=77,1, ROUND(E149*'Reference Curves'!$K$767+'Reference Curves'!$K$768,2)))  ))</f>
        <v/>
      </c>
      <c r="G149" s="464"/>
      <c r="H149" s="456"/>
      <c r="I149" s="459"/>
    </row>
    <row r="150" spans="1:11" s="317" customFormat="1" ht="15.75" x14ac:dyDescent="0.25">
      <c r="A150" s="463"/>
      <c r="B150" s="463"/>
      <c r="C150" s="467" t="s">
        <v>400</v>
      </c>
      <c r="D150" s="467"/>
      <c r="E150" s="143"/>
      <c r="F150" s="384" t="str">
        <f>IF(E150="","",IF(E150&lt;=46,0,IF(E150&gt;=100,1,IF(E150&lt;=91,ROUND(E150*'Reference Curves'!$L$799+'Reference Curves'!$L$800,2),ROUND(E150*'Reference Curves'!$K$799+'Reference Curves'!$K$800,2)))))</f>
        <v/>
      </c>
      <c r="G150" s="481"/>
      <c r="H150" s="457"/>
      <c r="I150" s="460"/>
    </row>
    <row r="151" spans="1:11" ht="15.75" x14ac:dyDescent="0.25">
      <c r="A151" s="496" t="s">
        <v>53</v>
      </c>
      <c r="B151" s="313" t="s">
        <v>80</v>
      </c>
      <c r="C151" s="60" t="s">
        <v>347</v>
      </c>
      <c r="D151" s="292"/>
      <c r="E151" s="140"/>
      <c r="F151" s="357" t="str">
        <f>IF(E151="","",IF('Quantification Tool'!$B$18="","Enter Stream Temperature",IF('Quantification Tool'!$B$18="Tier I (Cold) ",IF(E151&gt;=20.1,0,IF(E151&lt;=13.5,1,ROUND(E151*'Reference Curves'!$S$18+'Reference Curves'!$S$19,2))),IF('Quantification Tool'!$B$18="Tier II (Cold-Cool)",IF(E151&gt;=20.5,0,IF(E151&lt;=16.5,1,ROUND(E151*'Reference Curves'!$T$18+'Reference Curves'!$T$19,2))),IF('Quantification Tool'!$B$18="Tier III (Cool) ",IF(E151&gt;=23.6,0,IF(E151&lt;=18.3,1,ROUND(E151*'Reference Curves'!$U$18+'Reference Curves'!$U$19,2))),IF('Quantification Tool'!$B$18="Tier IV (Cool-Warm)",IF(E151&gt;=27.2,0,IF(E151&lt;=23.2,1,ROUND(E151*'Reference Curves'!$V$18+'Reference Curves'!$V$19,2))),IF('Quantification Tool'!$B$18="Tier V (Warm)",IF(E151&gt;=30.3,0,IF(E151&lt;=26,1,ROUND(E151*'Reference Curves'!$W$18+'Reference Curves'!$W$19,2))))))))))</f>
        <v/>
      </c>
      <c r="G151" s="309" t="str">
        <f>IF(F151="","", ROUND(AVERAGE(F151),2))</f>
        <v/>
      </c>
      <c r="H151" s="478" t="str">
        <f>IFERROR(ROUND(AVERAGE(G151:G152),2),"")</f>
        <v/>
      </c>
      <c r="I151" s="473" t="str">
        <f>IF(H151="","",IF(H151&gt;0.69,"Functioning",IF(H151&gt;0.29,"Functioning At Risk",IF(H151&gt;-1,"Not Functioning"))))</f>
        <v/>
      </c>
    </row>
    <row r="152" spans="1:11" ht="15.75" x14ac:dyDescent="0.25">
      <c r="A152" s="497"/>
      <c r="B152" s="363" t="s">
        <v>249</v>
      </c>
      <c r="C152" s="35" t="s">
        <v>357</v>
      </c>
      <c r="D152" s="160"/>
      <c r="E152" s="106"/>
      <c r="F152" s="161" t="str">
        <f>IF(E152="","",IF(OR('Quantification Tool'!$B$10="Basins",'Quantification Tool'!$B$10="Plains"),IF(E152&gt;=150,0,IF(E152&lt;16,1,ROUND('Reference Curves'!$S$53*LN(E152)+'Reference Curves'!$S$54,2))),IF(E152&gt;=97,0,IF(E152&lt;=13,1,ROUND('Reference Curves'!$T$53*LN(E152)+'Reference Curves'!$T$54,2)))))</f>
        <v/>
      </c>
      <c r="G152" s="162" t="str">
        <f>IFERROR(AVERAGE(F152),"")</f>
        <v/>
      </c>
      <c r="H152" s="479"/>
      <c r="I152" s="473"/>
    </row>
    <row r="153" spans="1:11" ht="15.75" x14ac:dyDescent="0.25">
      <c r="A153" s="508" t="s">
        <v>54</v>
      </c>
      <c r="B153" s="511" t="s">
        <v>189</v>
      </c>
      <c r="C153" s="163" t="s">
        <v>186</v>
      </c>
      <c r="D153" s="164"/>
      <c r="E153" s="142"/>
      <c r="F153" s="165" t="str">
        <f>IF(E153="","",IF('Quantification Tool'!$B$11="","Enter Bioregion",IF('Quantification Tool'!$B$11="Wyoming Basin",IF(E153&lt;=5.3,0,IF(E153&gt;=64.5,1,ROUND(IF(E153&lt;26.2,'Reference Curves'!$AB$17*E153+'Reference Curves'!$AB$18,IF(E153&lt;39.9, 'Reference Curves'!$AC$17*E153+'Reference Curves'!$AC$18,'Reference Curves'!$AD$17*E153+'Reference Curves'!$AD$18)),2))), IF('Quantification Tool'!$B$11="Black Hills",IF(E153&lt;=12.8,0,IF(E153&gt;=65.7,1,ROUND(IF(E153&lt;30.7,'Reference Curves'!$AE$17*E153+'Reference Curves'!$AE$18,IF(E153&lt;46.1,'Reference Curves'!$AF$17*E153+'Reference Curves'!$AF$18,'Reference Curves'!$AG$17*E153+'Reference Curves'!$AG$18)),2))), IF('Quantification Tool'!$B$11="High Valleys",IF(E153&lt;=17.1,0,IF(E153&gt;=78.2,1,ROUND(IF(E153&lt;48.8,'Reference Curves'!$AH$17*E153+'Reference Curves'!$AH$18,'Reference Curves'!$AI$17*E153+'Reference Curves'!$AI$18),2))),     IF('Quantification Tool'!$B$11="Southern Rockies",IF(E153&lt;=5.1,0,IF(E153&gt;=82.2,1,ROUND(IF(E153&lt;32.6, 'Reference Curves'!$AB$54*E153+'Reference Curves'!$AB$55, IF(E153&lt;48.8, 'Reference Curves'!$AC$54*E153+'Reference Curves'!$AC$55,  'Reference Curves'!$AD$54*E153+'Reference Curves'!$AD$55)), 2))), IF('Quantification Tool'!$B$11="SE Plains",IF(E153&lt;=10.4,0,IF(E153&gt;=87,1,ROUND(IF(E153&lt;36.7,'Reference Curves'!$AE$54*E153+'Reference Curves'!$AE$55, IF(E153&lt;55.1, 'Reference Curves'!$AF$54*E153+'Reference Curves'!$AF$55, 'Reference Curves'!$AG$54*E153+'Reference Curves'!$AG$55)),2))),   IF('Quantification Tool'!$B$11="NE Plains",IF(E153&lt;=1.6,0,IF(E153&gt;=95.8,1,ROUND(IF(E153&lt;38.9,'Reference Curves'!$AH$54*E153+'Reference Curves'!$AH$55, IF(E153&lt;58.4, 'Reference Curves'!$AI$54*E153+'Reference Curves'!$AI$55, 'Reference Curves'!$AJ$54*E153+'Reference Curves'!$AJ$55)),2))),      IF('Quantification Tool'!$B$11="Granitic Mountains",IF(E153&lt;=32.6,0,IF(E153&gt;=74.9,1,ROUND(IF(E153&lt;40.2, 'Reference Curves'!$AB$92*E153+'Reference Curves'!$AB$93, 'Reference Curves'!$AC$92*E153+'Reference Curves'!$AC$93),2))), IF('Quantification Tool'!$B$11="Volcanic Mountains &amp; Valleys",IF(E153&lt;=26,0,IF(E153&gt;=88.1,1,ROUND('Reference Curves'!$AF$92*E153+'Reference Curves'!$AF$93,2))), IF('Quantification Tool'!$B$11="Southern Foothills &amp; Laramie Range",IF(E153&lt;=30.7,0,IF(E153&gt;=85,1,ROUND(IF(E153&lt;44.5, 'Reference Curves'!$AD$92*E153+'Reference Curves'!$AD$93,  'Reference Curves'!$AE$92*E153+'Reference Curves'!$AE$93 ),2))),     IF('Quantification Tool'!$B$11="Sedimentary Mountains",IF(E153&lt;=17,0,IF(E153&gt;=70,1,ROUND('Reference Curves'!$AB$127*E153+'Reference Curves'!$AB$128,2))), IF('Quantification Tool'!$B$11="Bighorn Basin Foothills",IF(E153&lt;=3.9,0,IF(E153&gt;=80,1,ROUND(IF(E153&lt;40.6,'Reference Curves'!$AC$127*E153+'Reference Curves'!$AC$128,'Reference Curves'!$AD$127*E153+'Reference Curves'!$AD$128),2)))  )))))))))))))</f>
        <v/>
      </c>
      <c r="G153" s="474" t="str">
        <f>IFERROR(IF(AND(F153="",F154=""),"",IF(OR(F153="",F154=""),AVERAGE(F153:F154),IF(OR(F153&lt;0.3,F154&lt;0.3),IF(OR(F153&gt;=0.7,F154&gt;=0.7),MIN(0.69,AVERAGE(F153:F154)),MIN(0.29,AVERAGE(F153:F154))), IF(OR(F153&gt;=0.7,F154&gt;=0.7),IF(AVERAGE(F153:F154)&lt;0.7,0.7,AVERAGE(F153:F154)),AVERAGE(F153:F154))))),"")</f>
        <v/>
      </c>
      <c r="H153" s="476" t="str">
        <f>IFERROR(ROUND(AVERAGE(G153:G157),2),"")</f>
        <v/>
      </c>
      <c r="I153" s="473" t="str">
        <f>IF(H153="","",IF(H153&gt;0.69,"Functioning",IF(H153&gt;0.29,"Functioning At Risk",IF(H153&gt;-1,"Not Functioning"))))</f>
        <v/>
      </c>
    </row>
    <row r="154" spans="1:11" ht="15.75" x14ac:dyDescent="0.25">
      <c r="A154" s="509"/>
      <c r="B154" s="513"/>
      <c r="C154" s="166" t="s">
        <v>187</v>
      </c>
      <c r="D154" s="167"/>
      <c r="E154" s="143"/>
      <c r="F154" s="168" t="str">
        <f>IF(E154="","",IF('Quantification Tool'!$B$11="","Enter Bioregion",IF('Quantification Tool'!$B$11="Wyoming Basin",IF(E154&lt;0.15,0,IF(E154&gt;1.18,1,ROUND(IF(E154&lt;0.64,'Reference Curves'!$AB$166*E154+'Reference Curves'!$AB$167, IF(E154&lt;0.82, 'Reference Curves'!$AC$166*E154+'Reference Curves'!$AC$167, 'Reference Curves'!$AD$166*E154+'Reference Curves'!$AD$167) ),2))), IF('Quantification Tool'!$B$11="Black Hills",IF(E154&lt;=0.37,0,IF(E154&gt;1.08,1,ROUND('Reference Curves'!$AE$166*E154+'Reference Curves'!$AE$167,2))), IF('Quantification Tool'!$B$11="High Valleys",IF(E154&lt;0.42,0,IF(E154&gt;1.14,1,ROUND(IF(E154&lt;0.68, 'Reference Curves'!$AF$166*E154+'Reference Curves'!$AF$167, IF(E154&lt;0.86, 'Reference Curves'!$AG$166*E154+'Reference Curves'!$AG$167, 'Reference Curves'!$AH$166*E154+'Reference Curves'!$AH$167)),2))), IF('Quantification Tool'!$B$11="Sedimentary Mountains",IF(E154&lt;0.42,0,IF(E154&gt;1.17,1,ROUND(IF(E154&lt;0.68, 'Reference Curves'!$AI$166*E154+'Reference Curves'!$AI$167, IF(E154&lt;0.82, 'Reference Curves'!$AJ$166*E154+'Reference Curves'!$AJ$167, 'Reference Curves'!$AK$166*E154+'Reference Curves'!$AK$167) ),2))),        IF('Quantification Tool'!$B$11="Southern Rockies",IF(E154&lt;0.27,0,IF(E154&gt;=1.18,1,ROUND(IF(E154&lt;0.62, 'Reference Curves'!$AB$204*E154+'Reference Curves'!$AB$205, IF(E154&lt;0.89, 'Reference Curves'!$AC$204*E154+'Reference Curves'!$AC$205, 'Reference Curves'!$AD$204*E154+'Reference Curves'!$AD$205) ),2))), IF('Quantification Tool'!$B$11="SE Plains",IF(E154&lt;0.34,0,IF(E154&gt;1.12,1,ROUND(IF(E154&lt;0.78, 'Reference Curves'!$AE$204*E154+'Reference Curves'!$AE$205, 'Reference Curves'!$AF$204*E154+'Reference Curves'!$AF$205),2))), IF('Quantification Tool'!$B$11="NE Plains",IF(E154&lt;0.11,0,IF(E154&gt;=0.98,1,ROUND(IF(E154&lt;0.52, 'Reference Curves'!$AG$204*E154+'Reference Curves'!$AG$205,'Reference Curves'!$AH$204*E154+'Reference Curves'!$AH$205 ),2))),    IF('Quantification Tool'!$B$11="Granitic Mountains",IF(E154&lt;=0.59,0,IF(E154&gt;=1.09,1,ROUND(IF(E154&lt;0.65, 'Reference Curves'!$AB$242*E154+'Reference Curves'!$AB$243, 'Reference Curves'!$AC$242*E154+'Reference Curves'!$AC$243),2))),IF('Quantification Tool'!$B$11="Bighorn Basin Foothills",IF(E154&lt;=0.41,0,IF(E154&gt;=0.92,1,ROUND(IF(E154&lt;0.84, 'Reference Curves'!$AD$242*E154+'Reference Curves'!$AD$243,  'Reference Curves'!$AE$242*E154+'Reference Curves'!$AE$243),2))),IF('Quantification Tool'!$B$11="Volcanic Mountains &amp; Valleys",IF(E154&lt;=0.21,0,IF(E154&gt;=1.21,1,ROUND(IF(E154&lt;0.65, 'Reference Curves'!$AI$242*E154+'Reference Curves'!$AI$243, IF(E154&lt;0.86,  'Reference Curves'!$AJ$242*E154+'Reference Curves'!$AJ$243,  'Reference Curves'!$AK$242*E154+'Reference Curves'!$AK$243)),2))), IF('Quantification Tool'!$B$11="Southern Foothills &amp; Laramie Range",IF(E154&lt;=0.29,0,IF(E154&gt;=1.2,1,ROUND(IF(E154&lt;0.68, 'Reference Curves'!$AF$242*E154+'Reference Curves'!$AF$243, IF(E154&lt;0.88,  'Reference Curves'!$AG$242*E154+'Reference Curves'!$AG$243, 'Reference Curves'!$AH$242*E154+'Reference Curves'!$AH$243)),2))) )))))))))))))</f>
        <v/>
      </c>
      <c r="G154" s="475"/>
      <c r="H154" s="476"/>
      <c r="I154" s="473"/>
    </row>
    <row r="155" spans="1:11" ht="15.75" x14ac:dyDescent="0.25">
      <c r="A155" s="509"/>
      <c r="B155" s="511" t="s">
        <v>75</v>
      </c>
      <c r="C155" s="58" t="s">
        <v>349</v>
      </c>
      <c r="D155" s="169"/>
      <c r="E155" s="142"/>
      <c r="F155" s="170" t="str">
        <f>IF(E155="","",IF(E155&lt;58,0,IF(E155&gt;=100,1,ROUND(E155*'Reference Curves'!$AB$280+'Reference Curves'!$AB$281,2))))</f>
        <v/>
      </c>
      <c r="G155" s="474" t="str">
        <f>IFERROR(AVERAGE(F155:F157),"")</f>
        <v/>
      </c>
      <c r="H155" s="476"/>
      <c r="I155" s="473"/>
      <c r="K155" s="5"/>
    </row>
    <row r="156" spans="1:11" ht="15.75" x14ac:dyDescent="0.25">
      <c r="A156" s="509"/>
      <c r="B156" s="512"/>
      <c r="C156" s="59" t="s">
        <v>350</v>
      </c>
      <c r="D156" s="171"/>
      <c r="E156" s="140"/>
      <c r="F156" s="170" t="str">
        <f>IF(E156="","",ROUND(IF(E156&gt;=3,0,IF(E156&gt;=2,0.3,IF(E156&gt;=1,0.69,1))),2))</f>
        <v/>
      </c>
      <c r="G156" s="477"/>
      <c r="H156" s="476"/>
      <c r="I156" s="473"/>
    </row>
    <row r="157" spans="1:11" ht="15.75" x14ac:dyDescent="0.25">
      <c r="A157" s="510"/>
      <c r="B157" s="513"/>
      <c r="C157" s="39" t="s">
        <v>351</v>
      </c>
      <c r="D157" s="172"/>
      <c r="E157" s="143"/>
      <c r="F157" s="168" t="str">
        <f>IF(E157="","",IF('Quantification Tool'!$B$20="","Enter Stream Producitvity Rating",IF('Quantification Tool'!$B$20="Blue Ribbon and non-trout",IF(E157&lt;5,0,IF(E157&gt;=40,1,ROUND(E157*'Reference Curves'!$AB$319+'Reference Curves'!$AB$320,2))),IF('Quantification Tool'!$B$20="Red Ribbon",IF(E157&lt;10,0,IF(E157&gt;=80,1,ROUND(E157*'Reference Curves'!$AC$319+'Reference Curves'!$AC$320,2))),IF(OR('Quantification Tool'!$B$20="Yellow Ribbon",'Quantification Tool'!$B$20="Green Ribbon"),IF(E157&lt;15,0,IF(E157&gt;=119,1,ROUND(E157*'Reference Curves'!$AD$319+'Reference Curves'!$AD$320,2)))   )))))</f>
        <v/>
      </c>
      <c r="G157" s="475"/>
      <c r="H157" s="476"/>
      <c r="I157" s="473"/>
    </row>
    <row r="158" spans="1:11" x14ac:dyDescent="0.25">
      <c r="J158" s="5"/>
    </row>
    <row r="159" spans="1:11" ht="13.9" customHeight="1" x14ac:dyDescent="0.25">
      <c r="J159" s="5"/>
    </row>
    <row r="160" spans="1:11" ht="21" x14ac:dyDescent="0.35">
      <c r="A160" s="47" t="s">
        <v>135</v>
      </c>
      <c r="B160" s="352"/>
      <c r="C160" s="355" t="s">
        <v>383</v>
      </c>
      <c r="D160" s="560"/>
      <c r="E160" s="560"/>
      <c r="F160" s="561"/>
      <c r="G160" s="554" t="s">
        <v>14</v>
      </c>
      <c r="H160" s="555"/>
      <c r="I160" s="556"/>
      <c r="J160" s="5"/>
    </row>
    <row r="161" spans="1:9" ht="15.75" x14ac:dyDescent="0.25">
      <c r="A161" s="53" t="s">
        <v>1</v>
      </c>
      <c r="B161" s="53" t="s">
        <v>2</v>
      </c>
      <c r="C161" s="327" t="s">
        <v>3</v>
      </c>
      <c r="D161" s="328"/>
      <c r="E161" s="53" t="s">
        <v>12</v>
      </c>
      <c r="F161" s="53" t="s">
        <v>13</v>
      </c>
      <c r="G161" s="53" t="s">
        <v>15</v>
      </c>
      <c r="H161" s="53" t="s">
        <v>16</v>
      </c>
      <c r="I161" s="413" t="s">
        <v>16</v>
      </c>
    </row>
    <row r="162" spans="1:9" ht="15.75" x14ac:dyDescent="0.25">
      <c r="A162" s="540" t="s">
        <v>345</v>
      </c>
      <c r="B162" s="485" t="s">
        <v>128</v>
      </c>
      <c r="C162" s="287" t="s">
        <v>341</v>
      </c>
      <c r="D162" s="288"/>
      <c r="E162" s="142"/>
      <c r="F162" s="335" t="str">
        <f>IF(E162="","",IF(E162&gt;=80,0,IF(E162&lt;=40,1,IF(E162&gt;=68,ROUND(E162*'Reference Curves'!$C$14+'Reference Curves'!$C$15,2),ROUND(E162*'Reference Curves'!$D$14+'Reference Curves'!$D$15,2)))))</f>
        <v/>
      </c>
      <c r="G162" s="501" t="str">
        <f>IFERROR(AVERAGE(F162:F163),"")</f>
        <v/>
      </c>
      <c r="H162" s="501" t="str">
        <f>IFERROR(ROUND(AVERAGE(G162:G166),2),"")</f>
        <v/>
      </c>
      <c r="I162" s="504" t="str">
        <f>IF(H162="","",IF(H162:H166&gt;0.69,"Functioning",IF(H162&gt;0.29,"Functioning At Risk",IF(H162&gt;-1,"Not Functioning"))))</f>
        <v/>
      </c>
    </row>
    <row r="163" spans="1:9" ht="15.75" x14ac:dyDescent="0.25">
      <c r="A163" s="541"/>
      <c r="B163" s="486"/>
      <c r="C163" s="289" t="s">
        <v>129</v>
      </c>
      <c r="D163" s="145"/>
      <c r="E163" s="143"/>
      <c r="F163" s="291" t="str">
        <f>IF(E163="","",   IF(E163&gt;3.22,0, IF(E163&lt;0, "", ROUND('Reference Curves'!$C$44*E163+'Reference Curves'!$C$45,2))))</f>
        <v/>
      </c>
      <c r="G163" s="503"/>
      <c r="H163" s="502"/>
      <c r="I163" s="505"/>
    </row>
    <row r="164" spans="1:9" ht="15.6" customHeight="1" x14ac:dyDescent="0.25">
      <c r="A164" s="541"/>
      <c r="B164" s="290" t="s">
        <v>140</v>
      </c>
      <c r="C164" s="543" t="s">
        <v>237</v>
      </c>
      <c r="D164" s="544"/>
      <c r="E164" s="144"/>
      <c r="F164" s="291" t="str">
        <f>IF(E164="","",IF(OR(E164&gt;=2,E164&lt;=0.26),0,IF(AND(E164&gt;=0.9,E164&lt;=1.1),1,ROUND(IF(E164&lt;0.9,'Reference Curves'!$C$75*E164+'Reference Curves'!$C$76,'Reference Curves'!$D$75*E164+'Reference Curves'!$D$76),2))))</f>
        <v/>
      </c>
      <c r="G164" s="364" t="str">
        <f>IFERROR(F164,"")</f>
        <v/>
      </c>
      <c r="H164" s="502"/>
      <c r="I164" s="505"/>
    </row>
    <row r="165" spans="1:9" ht="15.75" x14ac:dyDescent="0.25">
      <c r="A165" s="541"/>
      <c r="B165" s="485" t="s">
        <v>5</v>
      </c>
      <c r="C165" s="145" t="s">
        <v>6</v>
      </c>
      <c r="D165" s="145"/>
      <c r="E165" s="140"/>
      <c r="F165" s="336" t="str">
        <f>IF(E165="","",ROUND(IF(E165&gt;1.71,0,IF(E165&lt;=1,1,E165*'Reference Curves'!C$107+'Reference Curves'!C$108)),2))</f>
        <v/>
      </c>
      <c r="G165" s="501" t="str">
        <f>IFERROR(AVERAGE(F165:F166),"")</f>
        <v/>
      </c>
      <c r="H165" s="502"/>
      <c r="I165" s="505"/>
    </row>
    <row r="166" spans="1:9" ht="15.6" customHeight="1" x14ac:dyDescent="0.25">
      <c r="A166" s="542"/>
      <c r="B166" s="486"/>
      <c r="C166" s="146" t="s">
        <v>7</v>
      </c>
      <c r="D166" s="146"/>
      <c r="E166" s="143"/>
      <c r="F166" s="147" t="str">
        <f>IF(E166="","",IF(OR('Quantification Tool'!$B$9="A",'Quantification Tool'!$B$9="Ba",'Quantification Tool'!$B$9="B", 'Quantification Tool'!$B$9="Bc"),IF(E166&lt;1.05,0,IF(E166&gt;=2.2,1,ROUND(IF(E166&lt;1.4,E166*'Reference Curves'!$C$176+'Reference Curves'!$C$177,E166*'Reference Curves'!$D$176+'Reference Curves'!$D$177),2))),IF(OR('Quantification Tool'!$B$9="C",'Quantification Tool'!$B$9="Cb",'Quantification Tool'!$B$9="E"),IF(E166&lt;1.7,0,IF(E166&gt;=5,1,ROUND(IF(E166&lt;2.4,E166*'Reference Curves'!$D$141+'Reference Curves'!$D$142,E166*'Reference Curves'!$C$141+'Reference Curves'!$C$142),2))))))</f>
        <v/>
      </c>
      <c r="G166" s="503"/>
      <c r="H166" s="503"/>
      <c r="I166" s="506"/>
    </row>
    <row r="167" spans="1:9" ht="15.75" x14ac:dyDescent="0.25">
      <c r="A167" s="465" t="s">
        <v>20</v>
      </c>
      <c r="B167" s="465" t="s">
        <v>21</v>
      </c>
      <c r="C167" s="34" t="s">
        <v>19</v>
      </c>
      <c r="D167" s="148"/>
      <c r="E167" s="142"/>
      <c r="F167" s="149" t="str">
        <f>IF(E167="","",IF(E167&gt;=660,1,IF(E167&lt;=430,ROUND('Reference Curves'!$K$14*E167+'Reference Curves'!$K$15,2),ROUND('Reference Curves'!$L$14*E167+'Reference Curves'!$L$15,2))))</f>
        <v/>
      </c>
      <c r="G167" s="455" t="str">
        <f>IFERROR(AVERAGE(F167:F168),"")</f>
        <v/>
      </c>
      <c r="H167" s="455" t="str">
        <f>IFERROR(ROUND(AVERAGE(G167:G182),2),"")</f>
        <v/>
      </c>
      <c r="I167" s="458" t="str">
        <f>IF(H167="","",IF(H167&gt;0.69,"Functioning",IF(H167&gt;0.29,"Functioning At Risk",IF(H167&gt;-1,"Not Functioning"))))</f>
        <v/>
      </c>
    </row>
    <row r="168" spans="1:9" ht="15.75" x14ac:dyDescent="0.25">
      <c r="A168" s="462"/>
      <c r="B168" s="463"/>
      <c r="C168" s="279" t="s">
        <v>346</v>
      </c>
      <c r="D168" s="151"/>
      <c r="E168" s="140"/>
      <c r="F168" s="337" t="str">
        <f>IF(E168="","",IF(E168&gt;=28,1,ROUND(IF(E168&lt;=13,'Reference Curves'!$K$47*E168,'Reference Curves'!$L$47*E168+'Reference Curves'!$L$48),2)))</f>
        <v/>
      </c>
      <c r="G168" s="457"/>
      <c r="H168" s="456"/>
      <c r="I168" s="459"/>
    </row>
    <row r="169" spans="1:9" ht="15.75" x14ac:dyDescent="0.25">
      <c r="A169" s="462"/>
      <c r="B169" s="461" t="s">
        <v>402</v>
      </c>
      <c r="C169" s="148" t="s">
        <v>250</v>
      </c>
      <c r="D169" s="277"/>
      <c r="E169" s="142"/>
      <c r="F169" s="385" t="str">
        <f>IF(E169="","",ROUND(IF(E169&lt;=2,0,IF(E169&gt;=9,1,E169^3*'Reference Curves'!K$81+E169^2*'Reference Curves'!$K$82+E169*'Reference Curves'!$K$83+'Reference Curves'!$K$84)),2))</f>
        <v/>
      </c>
      <c r="G169" s="455" t="str">
        <f>IFERROR(AVERAGE(F169:F172),"")</f>
        <v/>
      </c>
      <c r="H169" s="456"/>
      <c r="I169" s="459"/>
    </row>
    <row r="170" spans="1:9" ht="15.75" x14ac:dyDescent="0.25">
      <c r="A170" s="462"/>
      <c r="B170" s="462"/>
      <c r="C170" s="151" t="s">
        <v>43</v>
      </c>
      <c r="D170" s="151"/>
      <c r="E170" s="140"/>
      <c r="F170" s="339" t="str">
        <f>IF(E170="","",IF(OR(E170="Ex/Ex",E170="Ex/VH",E170="Ex/H",E170="Ex/M",E170="VH/Ex",E170="VH/VH", E170="H/Ex",E170="H/VH"),0, IF(OR(E170="M/Ex"),0.1,IF(OR(E170="VH/H",E170="VH/M",E170="H/H",E170="H/M", E170="M/VH"),0.2, IF(OR(E170="Ex/VL",E170="Ex/L", E170="M/H"),0.3, IF(OR(E170="VH/L",E170="H/L"),0.4, IF(OR(E170="VH/VL",E170="H/VL",E170="M/M"),0.5, IF(OR(E170="M/L",E170="L/Ex"),0.6, IF(OR(E170="M/VL",E170="L/VH", E170="L/H",E170="L/M",E170="L/L",E170="L/VL"),1)))))))))</f>
        <v/>
      </c>
      <c r="G170" s="456"/>
      <c r="H170" s="456"/>
      <c r="I170" s="459"/>
    </row>
    <row r="171" spans="1:9" ht="15.75" x14ac:dyDescent="0.25">
      <c r="A171" s="462"/>
      <c r="B171" s="462"/>
      <c r="C171" s="368" t="s">
        <v>87</v>
      </c>
      <c r="D171" s="368"/>
      <c r="E171" s="140"/>
      <c r="F171" s="339" t="str">
        <f>IF(E171="","",ROUND(IF(E171&gt;=75,0,IF(E171&lt;=5,1,IF(E171&gt;10,E171*'Reference Curves'!K$115+'Reference Curves'!K$116,'Reference Curves'!$L$115*E171+'Reference Curves'!$L$116))),2))</f>
        <v/>
      </c>
      <c r="G171" s="456"/>
      <c r="H171" s="456"/>
      <c r="I171" s="459"/>
    </row>
    <row r="172" spans="1:9" s="317" customFormat="1" ht="15.75" x14ac:dyDescent="0.25">
      <c r="A172" s="462"/>
      <c r="B172" s="463"/>
      <c r="C172" s="371" t="s">
        <v>401</v>
      </c>
      <c r="D172" s="278"/>
      <c r="E172" s="143"/>
      <c r="F172" s="386" t="str">
        <f>IF(E172="","",IF(E172&gt;=30,0,ROUND(E172*'Reference Curves'!$K$146+'Reference Curves'!$K$147,2)))</f>
        <v/>
      </c>
      <c r="G172" s="457"/>
      <c r="H172" s="456"/>
      <c r="I172" s="459"/>
    </row>
    <row r="173" spans="1:9" ht="15.75" x14ac:dyDescent="0.25">
      <c r="A173" s="462"/>
      <c r="B173" s="361" t="s">
        <v>105</v>
      </c>
      <c r="C173" s="33" t="s">
        <v>130</v>
      </c>
      <c r="D173" s="151"/>
      <c r="E173" s="143"/>
      <c r="F173" s="332" t="str">
        <f>IF(OR(E173="",'Quantification Tool'!$B$13=""),"",IF(OR('Quantification Tool'!$B$13="Silt/Clay",'Quantification Tool'!$B$13="Sand",'Quantification Tool'!$B$13="Boulders",'Quantification Tool'!$B$13="Bedrock"),"NA",IF(E173&gt;0.1,1,IF(E173&lt;=0.01,0,ROUND(E173*'Reference Curves'!$K$177+'Reference Curves'!$K$178,2)))))</f>
        <v/>
      </c>
      <c r="G173" s="153" t="str">
        <f>IFERROR(AVERAGE(F173),"")</f>
        <v/>
      </c>
      <c r="H173" s="456"/>
      <c r="I173" s="459"/>
    </row>
    <row r="174" spans="1:9" ht="15.75" x14ac:dyDescent="0.25">
      <c r="A174" s="462"/>
      <c r="B174" s="465" t="s">
        <v>45</v>
      </c>
      <c r="C174" s="148" t="s">
        <v>46</v>
      </c>
      <c r="D174" s="148"/>
      <c r="E174" s="142"/>
      <c r="F174" s="155" t="str">
        <f>IF(E174="","",IF('Quantification Tool'!$B$9="Bc",IF(OR(E174&gt;=12,E174&lt;=0.1),0,IF(E174&lt;=3.4,1,ROUND('Reference Curves'!$K$310*E174+'Reference Curves'!$K$311,2))),  IF(OR('Quantification Tool'!$B$9="B",'Quantification Tool'!$B$9="Ba"),IF(OR(E174&gt;=7.5,E174&lt;=0.1),0,IF(E174&lt;=3,1,ROUND(IF(E174&gt;4,'Reference Curves'!$K$279*E174+'Reference Curves'!$K$280,'Reference Curves'!$L$279*E174+'Reference Curves'!$L$280),2))),  IF('Quantification Tool'!$B$9="Cb",IF(OR(E174&gt;=8.35,E174&lt;1.4),0,IF(AND(E174&gt;=3.7,E174&lt;=5),1,ROUND(IF(E174&lt;3.7,'Reference Curves'!$K$247*E174+'Reference Curves'!$K$248,'Reference Curves'!$L$247*E174+'Reference Curves'!$L$248),2))),  IF('Quantification Tool'!$B$9="C",IF(OR(E174&gt;9.3,E174&lt;=3),0,IF(AND(E174&gt;=4,E174&lt;=6),1,ROUND(IF(E174&lt;4,'Reference Curves'!$K$213*E174+'Reference Curves'!$K$214,'Reference Curves'!$L$213*E174+'Reference Curves'!$L$214),2))),  IF('Quantification Tool'!$B$9="E",IF(OR(E174&gt;8.2,E174&lt;1.85),0,IF(AND(E174&gt;=3.5,E174&lt;=5),1,ROUND(IF(E174&lt;3.5,'Reference Curves'!$K$343*E174+'Reference Curves'!$K$344,'Reference Curves'!$L$343*E174+'Reference Curves'!$L$344),2)))      ))))))</f>
        <v/>
      </c>
      <c r="G174" s="480" t="str">
        <f>IFERROR(AVERAGE(F174:F177),"")</f>
        <v/>
      </c>
      <c r="H174" s="456"/>
      <c r="I174" s="459"/>
    </row>
    <row r="175" spans="1:9" ht="15.75" x14ac:dyDescent="0.25">
      <c r="A175" s="462"/>
      <c r="B175" s="462"/>
      <c r="C175" s="151" t="s">
        <v>47</v>
      </c>
      <c r="D175" s="151"/>
      <c r="E175" s="140"/>
      <c r="F175" s="156" t="str">
        <f>IF(E175="","",IF(E175&lt;=1,0,IF(E175&gt;=3.2,1,IF(E175&gt;=2.2,ROUND('Reference Curves'!$L$375*E175+'Reference Curves'!$L$376,2),(ROUND('Reference Curves'!$K$375*E175+'Reference Curves'!$K$376,2))))))</f>
        <v/>
      </c>
      <c r="G175" s="464"/>
      <c r="H175" s="456"/>
      <c r="I175" s="459"/>
    </row>
    <row r="176" spans="1:9" ht="15.75" x14ac:dyDescent="0.25">
      <c r="A176" s="462"/>
      <c r="B176" s="462"/>
      <c r="C176" s="31" t="s">
        <v>356</v>
      </c>
      <c r="D176" s="151"/>
      <c r="E176" s="140"/>
      <c r="F176" s="362" t="str">
        <f>IF(E176="","",IF('Quantification Tool'!$B$11="Volcanic Mountains &amp; Valleys", IF(OR(E176&gt;86.65,E176&lt;33),0,IF(AND(E176&gt;=73,E176&lt;=80),1, ROUND(IF(E176&lt;73,'Reference Curves'!$K$408*E176+'Reference Curves'!$K$409, 'Reference Curves'!$L$408*E176+'Reference Curves'!$L$409),2))), IF('Quantification Tool'!B$16="","Need Slope",IF('Quantification Tool'!B$16&lt;3,IF( OR(E176&gt;=91,E176&lt;=13.5),0, IF(AND(E176&gt;49,E176&lt;61), 1, ROUND(IF(E176&lt;50,'Reference Curves'!$K$441*E176+'Reference Curves'!$K$442, IF(E176&gt;60,'Reference Curves'!$L$441*E176+'Reference Curves'!$L$442)),2))), IF('Quantification Tool'!B$16&gt;=3,IF(OR(E176&gt;94.5,E176&lt;41.5),0, IF(AND(E176 &gt;=68, E176&lt;=78),1, ROUND(IF(E176&lt;68,'Reference Curves'!$K$475*E176+'Reference Curves'!$K$476,'Reference Curves'!$L$475*E176+'Reference Curves'!$L$476),2) )))))))</f>
        <v/>
      </c>
      <c r="G176" s="464"/>
      <c r="H176" s="456"/>
      <c r="I176" s="459"/>
    </row>
    <row r="177" spans="1:11" ht="15.75" x14ac:dyDescent="0.25">
      <c r="A177" s="462"/>
      <c r="B177" s="463"/>
      <c r="C177" s="150" t="s">
        <v>213</v>
      </c>
      <c r="D177" s="150"/>
      <c r="E177" s="143"/>
      <c r="F177" s="360" t="str">
        <f>IF(E177="","",IF(E177&gt;=1.6,0,IF(E177&lt;=1,1,ROUND('Reference Curves'!$K$506*E177^3+'Reference Curves'!$K$507*E177^2+'Reference Curves'!$K$508*E177+'Reference Curves'!$K$509,2))))</f>
        <v/>
      </c>
      <c r="G177" s="481"/>
      <c r="H177" s="456"/>
      <c r="I177" s="459"/>
    </row>
    <row r="178" spans="1:11" ht="15.75" x14ac:dyDescent="0.25">
      <c r="A178" s="462"/>
      <c r="B178" s="361" t="s">
        <v>49</v>
      </c>
      <c r="C178" s="151" t="s">
        <v>48</v>
      </c>
      <c r="D178" s="151"/>
      <c r="E178" s="140"/>
      <c r="F178" s="341" t="str">
        <f>IF(E178="","",IF('Quantification Tool'!B$9="E",IF(OR(E178&gt;2.14,E178&lt;1.13),0, IF(AND(E178&gt;=1.3, E178&lt;=1.8),1, ROUND(IF(E178&lt;1.3,E178*'Reference Curves'!K$542+'Reference Curves'!K$543, E178*'Reference Curves'!L$542+'Reference Curves'!$L$543),2))),    IF('Quantification Tool'!$B$21="Unconfined Alluvial",IF(OR(E178&lt;1.12, E178&gt;1.67),0, IF(AND(E178&lt;=1.5,E178&gt;=1.2),1,ROUND(IF(E178&lt;1.2,E178*'Reference Curves'!$K$575+'Reference Curves'!$K$576, E178*'Reference Curves'!$L$575+'Reference Curves'!$L$576),2))),  IF('Quantification Tool'!$B$21="Confined Alluvial",IF(E178&lt;=1,0, IF(E178&gt;=1.2,1, ROUND(E178*'Reference Curves'!$K$604+'Reference Curves'!$K$605,2))),    IF('Quantification Tool'!$B$21="Colluvial/V-Shaped",IF(OR(E178&lt;1, E178&gt;1.47),0, IF(AND(E178&lt;=1.3,E178&gt;=1.1),1,ROUND(IF(E178&lt;1.1,E178*'Reference Curves'!$K$637+'Reference Curves'!$K$638, E178*'Reference Curves'!$L$637+'Reference Curves'!$L$638),2)))  )))))</f>
        <v/>
      </c>
      <c r="G178" s="156" t="str">
        <f>IFERROR(AVERAGE(F178),"")</f>
        <v/>
      </c>
      <c r="H178" s="456"/>
      <c r="I178" s="459"/>
    </row>
    <row r="179" spans="1:11" ht="15.75" x14ac:dyDescent="0.25">
      <c r="A179" s="462"/>
      <c r="B179" s="465" t="s">
        <v>44</v>
      </c>
      <c r="C179" s="32" t="s">
        <v>344</v>
      </c>
      <c r="D179" s="148"/>
      <c r="E179" s="142"/>
      <c r="F179" s="365" t="str">
        <f>IF(E179="","",IF('Quantification Tool'!$B$21="Unconfined Alluvial",IF(E179&gt;=100,1,IF(E179&lt;30,0,ROUND('Reference Curves'!$K$668*E179+'Reference Curves'!$K$669,2))),IF(OR('Quantification Tool'!$B$21="Confined Alluvial",'Quantification Tool'!$B$21="Colluvial/V-Shaped"),(IF(E179&gt;=100,1,IF(E179&lt;60,0,ROUND('Reference Curves'!$L$668*E179+'Reference Curves'!$L$669,2)))))))</f>
        <v/>
      </c>
      <c r="G179" s="480" t="str">
        <f>IFERROR(AVERAGE(F179:F182),"")</f>
        <v/>
      </c>
      <c r="H179" s="456"/>
      <c r="I179" s="459"/>
    </row>
    <row r="180" spans="1:11" ht="15.75" x14ac:dyDescent="0.25">
      <c r="A180" s="462"/>
      <c r="B180" s="462"/>
      <c r="C180" s="279" t="s">
        <v>390</v>
      </c>
      <c r="D180" s="151"/>
      <c r="E180" s="140"/>
      <c r="F180" s="156" t="str">
        <f>IF(E180="","",  IF(OR('Quantification Tool'!$B$10="Mountains",'Quantification Tool'!$B$10="Basins"),IF(E180&lt;=0,0, IF(E180&gt;=122,1,ROUND('Reference Curves'!$K$700*E180^2+'Reference Curves'!$K$701*E180+'Reference Curves'!$K$702,2))),   IF('Quantification Tool'!$B$10="Plains",IF(OR(E180&lt;=0,E180&gt;114),0, IF(AND(E180&lt;=69,E180&gt;=59),1, IF(E180&lt;59, ROUND(E180*'Reference Curves'!$K$735+'Reference Curves'!$K$736,2), ROUND(E180*'Reference Curves'!$L$735+'Reference Curves'!$L$736,2) )) ))))</f>
        <v/>
      </c>
      <c r="G180" s="464"/>
      <c r="H180" s="456"/>
      <c r="I180" s="459"/>
    </row>
    <row r="181" spans="1:11" ht="15.75" x14ac:dyDescent="0.25">
      <c r="A181" s="462"/>
      <c r="B181" s="466"/>
      <c r="C181" s="279" t="s">
        <v>391</v>
      </c>
      <c r="D181" s="151"/>
      <c r="E181" s="140"/>
      <c r="F181" s="156" t="str">
        <f>IF(E181="","",IF('Quantification Tool'!$B$19="Herbaceous", IF(E181&lt;=30,0,IF(E181&gt;=117,1, ROUND(E181*'Reference Curves'!$L$767+'Reference Curves'!$L$768,2))),  IF(E181&lt;=0,0, IF(E181&gt;=77,1, ROUND(E181*'Reference Curves'!$K$767+'Reference Curves'!$K$768,2)))  ))</f>
        <v/>
      </c>
      <c r="G181" s="464"/>
      <c r="H181" s="456"/>
      <c r="I181" s="459"/>
    </row>
    <row r="182" spans="1:11" s="317" customFormat="1" ht="15.75" x14ac:dyDescent="0.25">
      <c r="A182" s="463"/>
      <c r="B182" s="463"/>
      <c r="C182" s="467" t="s">
        <v>400</v>
      </c>
      <c r="D182" s="467"/>
      <c r="E182" s="143"/>
      <c r="F182" s="384" t="str">
        <f>IF(E182="","",IF(E182&lt;=46,0,IF(E182&gt;=100,1,IF(E182&lt;=91,ROUND(E182*'Reference Curves'!$L$799+'Reference Curves'!$L$800,2),ROUND(E182*'Reference Curves'!$K$799+'Reference Curves'!$K$800,2)))))</f>
        <v/>
      </c>
      <c r="G182" s="481"/>
      <c r="H182" s="457"/>
      <c r="I182" s="460"/>
    </row>
    <row r="183" spans="1:11" ht="15.75" x14ac:dyDescent="0.25">
      <c r="A183" s="496" t="s">
        <v>53</v>
      </c>
      <c r="B183" s="313" t="s">
        <v>80</v>
      </c>
      <c r="C183" s="60" t="s">
        <v>347</v>
      </c>
      <c r="D183" s="292"/>
      <c r="E183" s="140"/>
      <c r="F183" s="357" t="str">
        <f>IF(E183="","",IF('Quantification Tool'!$B$18="","Enter Stream Temperature",IF('Quantification Tool'!$B$18="Tier I (Cold) ",IF(E183&gt;=20.1,0,IF(E183&lt;=13.5,1,ROUND(E183*'Reference Curves'!$S$18+'Reference Curves'!$S$19,2))),IF('Quantification Tool'!$B$18="Tier II (Cold-Cool)",IF(E183&gt;=20.5,0,IF(E183&lt;=16.5,1,ROUND(E183*'Reference Curves'!$T$18+'Reference Curves'!$T$19,2))),IF('Quantification Tool'!$B$18="Tier III (Cool) ",IF(E183&gt;=23.6,0,IF(E183&lt;=18.3,1,ROUND(E183*'Reference Curves'!$U$18+'Reference Curves'!$U$19,2))),IF('Quantification Tool'!$B$18="Tier IV (Cool-Warm)",IF(E183&gt;=27.2,0,IF(E183&lt;=23.2,1,ROUND(E183*'Reference Curves'!$V$18+'Reference Curves'!$V$19,2))),IF('Quantification Tool'!$B$18="Tier V (Warm)",IF(E183&gt;=30.3,0,IF(E183&lt;=26,1,ROUND(E183*'Reference Curves'!$W$18+'Reference Curves'!$W$19,2))))))))))</f>
        <v/>
      </c>
      <c r="G183" s="309" t="str">
        <f>IF(F183="","", ROUND(AVERAGE(F183),2))</f>
        <v/>
      </c>
      <c r="H183" s="478" t="str">
        <f>IFERROR(ROUND(AVERAGE(G183:G184),2),"")</f>
        <v/>
      </c>
      <c r="I183" s="473" t="str">
        <f>IF(H183="","",IF(H183&gt;0.69,"Functioning",IF(H183&gt;0.29,"Functioning At Risk",IF(H183&gt;-1,"Not Functioning"))))</f>
        <v/>
      </c>
    </row>
    <row r="184" spans="1:11" ht="15.75" x14ac:dyDescent="0.25">
      <c r="A184" s="497"/>
      <c r="B184" s="363" t="s">
        <v>249</v>
      </c>
      <c r="C184" s="35" t="s">
        <v>357</v>
      </c>
      <c r="D184" s="160"/>
      <c r="E184" s="106"/>
      <c r="F184" s="161" t="str">
        <f>IF(E184="","",IF(OR('Quantification Tool'!$B$10="Basins",'Quantification Tool'!$B$10="Plains"),IF(E184&gt;=150,0,IF(E184&lt;16,1,ROUND('Reference Curves'!$S$53*LN(E184)+'Reference Curves'!$S$54,2))),IF(E184&gt;=97,0,IF(E184&lt;=13,1,ROUND('Reference Curves'!$T$53*LN(E184)+'Reference Curves'!$T$54,2)))))</f>
        <v/>
      </c>
      <c r="G184" s="162" t="str">
        <f>IFERROR(AVERAGE(F184),"")</f>
        <v/>
      </c>
      <c r="H184" s="479"/>
      <c r="I184" s="473"/>
    </row>
    <row r="185" spans="1:11" ht="15.75" x14ac:dyDescent="0.25">
      <c r="A185" s="508" t="s">
        <v>54</v>
      </c>
      <c r="B185" s="511" t="s">
        <v>189</v>
      </c>
      <c r="C185" s="163" t="s">
        <v>186</v>
      </c>
      <c r="D185" s="164"/>
      <c r="E185" s="142"/>
      <c r="F185" s="165" t="str">
        <f>IF(E185="","",IF('Quantification Tool'!$B$11="","Enter Bioregion",IF('Quantification Tool'!$B$11="Wyoming Basin",IF(E185&lt;=5.3,0,IF(E185&gt;=64.5,1,ROUND(IF(E185&lt;26.2,'Reference Curves'!$AB$17*E185+'Reference Curves'!$AB$18,IF(E185&lt;39.9, 'Reference Curves'!$AC$17*E185+'Reference Curves'!$AC$18,'Reference Curves'!$AD$17*E185+'Reference Curves'!$AD$18)),2))), IF('Quantification Tool'!$B$11="Black Hills",IF(E185&lt;=12.8,0,IF(E185&gt;=65.7,1,ROUND(IF(E185&lt;30.7,'Reference Curves'!$AE$17*E185+'Reference Curves'!$AE$18,IF(E185&lt;46.1,'Reference Curves'!$AF$17*E185+'Reference Curves'!$AF$18,'Reference Curves'!$AG$17*E185+'Reference Curves'!$AG$18)),2))), IF('Quantification Tool'!$B$11="High Valleys",IF(E185&lt;=17.1,0,IF(E185&gt;=78.2,1,ROUND(IF(E185&lt;48.8,'Reference Curves'!$AH$17*E185+'Reference Curves'!$AH$18,'Reference Curves'!$AI$17*E185+'Reference Curves'!$AI$18),2))),     IF('Quantification Tool'!$B$11="Southern Rockies",IF(E185&lt;=5.1,0,IF(E185&gt;=82.2,1,ROUND(IF(E185&lt;32.6, 'Reference Curves'!$AB$54*E185+'Reference Curves'!$AB$55, IF(E185&lt;48.8, 'Reference Curves'!$AC$54*E185+'Reference Curves'!$AC$55,  'Reference Curves'!$AD$54*E185+'Reference Curves'!$AD$55)), 2))), IF('Quantification Tool'!$B$11="SE Plains",IF(E185&lt;=10.4,0,IF(E185&gt;=87,1,ROUND(IF(E185&lt;36.7,'Reference Curves'!$AE$54*E185+'Reference Curves'!$AE$55, IF(E185&lt;55.1, 'Reference Curves'!$AF$54*E185+'Reference Curves'!$AF$55, 'Reference Curves'!$AG$54*E185+'Reference Curves'!$AG$55)),2))),   IF('Quantification Tool'!$B$11="NE Plains",IF(E185&lt;=1.6,0,IF(E185&gt;=95.8,1,ROUND(IF(E185&lt;38.9,'Reference Curves'!$AH$54*E185+'Reference Curves'!$AH$55, IF(E185&lt;58.4, 'Reference Curves'!$AI$54*E185+'Reference Curves'!$AI$55, 'Reference Curves'!$AJ$54*E185+'Reference Curves'!$AJ$55)),2))),      IF('Quantification Tool'!$B$11="Granitic Mountains",IF(E185&lt;=32.6,0,IF(E185&gt;=74.9,1,ROUND(IF(E185&lt;40.2, 'Reference Curves'!$AB$92*E185+'Reference Curves'!$AB$93, 'Reference Curves'!$AC$92*E185+'Reference Curves'!$AC$93),2))), IF('Quantification Tool'!$B$11="Volcanic Mountains &amp; Valleys",IF(E185&lt;=26,0,IF(E185&gt;=88.1,1,ROUND('Reference Curves'!$AF$92*E185+'Reference Curves'!$AF$93,2))), IF('Quantification Tool'!$B$11="Southern Foothills &amp; Laramie Range",IF(E185&lt;=30.7,0,IF(E185&gt;=85,1,ROUND(IF(E185&lt;44.5, 'Reference Curves'!$AD$92*E185+'Reference Curves'!$AD$93,  'Reference Curves'!$AE$92*E185+'Reference Curves'!$AE$93 ),2))),     IF('Quantification Tool'!$B$11="Sedimentary Mountains",IF(E185&lt;=17,0,IF(E185&gt;=70,1,ROUND('Reference Curves'!$AB$127*E185+'Reference Curves'!$AB$128,2))), IF('Quantification Tool'!$B$11="Bighorn Basin Foothills",IF(E185&lt;=3.9,0,IF(E185&gt;=80,1,ROUND(IF(E185&lt;40.6,'Reference Curves'!$AC$127*E185+'Reference Curves'!$AC$128,'Reference Curves'!$AD$127*E185+'Reference Curves'!$AD$128),2)))  )))))))))))))</f>
        <v/>
      </c>
      <c r="G185" s="474" t="str">
        <f>IFERROR(IF(AND(F185="",F186=""),"",IF(OR(F185="",F186=""),AVERAGE(F185:F186),IF(OR(F185&lt;0.3,F186&lt;0.3),IF(OR(F185&gt;=0.7,F186&gt;=0.7),MIN(0.69,AVERAGE(F185:F186)),MIN(0.29,AVERAGE(F185:F186))), IF(OR(F185&gt;=0.7,F186&gt;=0.7),IF(AVERAGE(F185:F186)&lt;0.7,0.7,AVERAGE(F185:F186)),AVERAGE(F185:F186))))),"")</f>
        <v/>
      </c>
      <c r="H185" s="476" t="str">
        <f>IFERROR(ROUND(AVERAGE(G185:G189),2),"")</f>
        <v/>
      </c>
      <c r="I185" s="473" t="str">
        <f>IF(H185="","",IF(H185&gt;0.69,"Functioning",IF(H185&gt;0.29,"Functioning At Risk",IF(H185&gt;-1,"Not Functioning"))))</f>
        <v/>
      </c>
    </row>
    <row r="186" spans="1:11" ht="15.75" x14ac:dyDescent="0.25">
      <c r="A186" s="509"/>
      <c r="B186" s="513"/>
      <c r="C186" s="166" t="s">
        <v>187</v>
      </c>
      <c r="D186" s="167"/>
      <c r="E186" s="143"/>
      <c r="F186" s="168" t="str">
        <f>IF(E186="","",IF('Quantification Tool'!$B$11="","Enter Bioregion",IF('Quantification Tool'!$B$11="Wyoming Basin",IF(E186&lt;0.15,0,IF(E186&gt;1.18,1,ROUND(IF(E186&lt;0.64,'Reference Curves'!$AB$166*E186+'Reference Curves'!$AB$167, IF(E186&lt;0.82, 'Reference Curves'!$AC$166*E186+'Reference Curves'!$AC$167, 'Reference Curves'!$AD$166*E186+'Reference Curves'!$AD$167) ),2))), IF('Quantification Tool'!$B$11="Black Hills",IF(E186&lt;=0.37,0,IF(E186&gt;1.08,1,ROUND('Reference Curves'!$AE$166*E186+'Reference Curves'!$AE$167,2))), IF('Quantification Tool'!$B$11="High Valleys",IF(E186&lt;0.42,0,IF(E186&gt;1.14,1,ROUND(IF(E186&lt;0.68, 'Reference Curves'!$AF$166*E186+'Reference Curves'!$AF$167, IF(E186&lt;0.86, 'Reference Curves'!$AG$166*E186+'Reference Curves'!$AG$167, 'Reference Curves'!$AH$166*E186+'Reference Curves'!$AH$167)),2))), IF('Quantification Tool'!$B$11="Sedimentary Mountains",IF(E186&lt;0.42,0,IF(E186&gt;1.17,1,ROUND(IF(E186&lt;0.68, 'Reference Curves'!$AI$166*E186+'Reference Curves'!$AI$167, IF(E186&lt;0.82, 'Reference Curves'!$AJ$166*E186+'Reference Curves'!$AJ$167, 'Reference Curves'!$AK$166*E186+'Reference Curves'!$AK$167) ),2))),        IF('Quantification Tool'!$B$11="Southern Rockies",IF(E186&lt;0.27,0,IF(E186&gt;=1.18,1,ROUND(IF(E186&lt;0.62, 'Reference Curves'!$AB$204*E186+'Reference Curves'!$AB$205, IF(E186&lt;0.89, 'Reference Curves'!$AC$204*E186+'Reference Curves'!$AC$205, 'Reference Curves'!$AD$204*E186+'Reference Curves'!$AD$205) ),2))), IF('Quantification Tool'!$B$11="SE Plains",IF(E186&lt;0.34,0,IF(E186&gt;1.12,1,ROUND(IF(E186&lt;0.78, 'Reference Curves'!$AE$204*E186+'Reference Curves'!$AE$205, 'Reference Curves'!$AF$204*E186+'Reference Curves'!$AF$205),2))), IF('Quantification Tool'!$B$11="NE Plains",IF(E186&lt;0.11,0,IF(E186&gt;=0.98,1,ROUND(IF(E186&lt;0.52, 'Reference Curves'!$AG$204*E186+'Reference Curves'!$AG$205,'Reference Curves'!$AH$204*E186+'Reference Curves'!$AH$205 ),2))),    IF('Quantification Tool'!$B$11="Granitic Mountains",IF(E186&lt;=0.59,0,IF(E186&gt;=1.09,1,ROUND(IF(E186&lt;0.65, 'Reference Curves'!$AB$242*E186+'Reference Curves'!$AB$243, 'Reference Curves'!$AC$242*E186+'Reference Curves'!$AC$243),2))),IF('Quantification Tool'!$B$11="Bighorn Basin Foothills",IF(E186&lt;=0.41,0,IF(E186&gt;=0.92,1,ROUND(IF(E186&lt;0.84, 'Reference Curves'!$AD$242*E186+'Reference Curves'!$AD$243,  'Reference Curves'!$AE$242*E186+'Reference Curves'!$AE$243),2))),IF('Quantification Tool'!$B$11="Volcanic Mountains &amp; Valleys",IF(E186&lt;=0.21,0,IF(E186&gt;=1.21,1,ROUND(IF(E186&lt;0.65, 'Reference Curves'!$AI$242*E186+'Reference Curves'!$AI$243, IF(E186&lt;0.86,  'Reference Curves'!$AJ$242*E186+'Reference Curves'!$AJ$243,  'Reference Curves'!$AK$242*E186+'Reference Curves'!$AK$243)),2))), IF('Quantification Tool'!$B$11="Southern Foothills &amp; Laramie Range",IF(E186&lt;=0.29,0,IF(E186&gt;=1.2,1,ROUND(IF(E186&lt;0.68, 'Reference Curves'!$AF$242*E186+'Reference Curves'!$AF$243, IF(E186&lt;0.88,  'Reference Curves'!$AG$242*E186+'Reference Curves'!$AG$243, 'Reference Curves'!$AH$242*E186+'Reference Curves'!$AH$243)),2))) )))))))))))))</f>
        <v/>
      </c>
      <c r="G186" s="475"/>
      <c r="H186" s="476"/>
      <c r="I186" s="473"/>
    </row>
    <row r="187" spans="1:11" ht="15.75" x14ac:dyDescent="0.25">
      <c r="A187" s="509"/>
      <c r="B187" s="511" t="s">
        <v>75</v>
      </c>
      <c r="C187" s="58" t="s">
        <v>349</v>
      </c>
      <c r="D187" s="169"/>
      <c r="E187" s="142"/>
      <c r="F187" s="170" t="str">
        <f>IF(E187="","",IF(E187&lt;58,0,IF(E187&gt;=100,1,ROUND(E187*'Reference Curves'!$AB$280+'Reference Curves'!$AB$281,2))))</f>
        <v/>
      </c>
      <c r="G187" s="474" t="str">
        <f>IFERROR(AVERAGE(F187:F189),"")</f>
        <v/>
      </c>
      <c r="H187" s="476"/>
      <c r="I187" s="473"/>
      <c r="K187" s="5"/>
    </row>
    <row r="188" spans="1:11" ht="15.75" x14ac:dyDescent="0.25">
      <c r="A188" s="509"/>
      <c r="B188" s="512"/>
      <c r="C188" s="59" t="s">
        <v>350</v>
      </c>
      <c r="D188" s="171"/>
      <c r="E188" s="140"/>
      <c r="F188" s="170" t="str">
        <f>IF(E188="","",ROUND(IF(E188&gt;=3,0,IF(E188&gt;=2,0.3,IF(E188&gt;=1,0.69,1))),2))</f>
        <v/>
      </c>
      <c r="G188" s="477"/>
      <c r="H188" s="476"/>
      <c r="I188" s="473"/>
    </row>
    <row r="189" spans="1:11" ht="15.75" x14ac:dyDescent="0.25">
      <c r="A189" s="510"/>
      <c r="B189" s="513"/>
      <c r="C189" s="39" t="s">
        <v>351</v>
      </c>
      <c r="D189" s="172"/>
      <c r="E189" s="143"/>
      <c r="F189" s="168" t="str">
        <f>IF(E189="","",IF('Quantification Tool'!$B$20="","Enter Stream Producitvity Rating",IF('Quantification Tool'!$B$20="Blue Ribbon and non-trout",IF(E189&lt;5,0,IF(E189&gt;=40,1,ROUND(E189*'Reference Curves'!$AB$319+'Reference Curves'!$AB$320,2))),IF('Quantification Tool'!$B$20="Red Ribbon",IF(E189&lt;10,0,IF(E189&gt;=80,1,ROUND(E189*'Reference Curves'!$AC$319+'Reference Curves'!$AC$320,2))),IF(OR('Quantification Tool'!$B$20="Yellow Ribbon",'Quantification Tool'!$B$20="Green Ribbon"),IF(E189&lt;15,0,IF(E189&gt;=119,1,ROUND(E189*'Reference Curves'!$AD$319+'Reference Curves'!$AD$320,2)))   )))))</f>
        <v/>
      </c>
      <c r="G189" s="475"/>
      <c r="H189" s="476"/>
      <c r="I189" s="473"/>
    </row>
    <row r="190" spans="1:11" x14ac:dyDescent="0.25">
      <c r="J190" s="5"/>
    </row>
    <row r="191" spans="1:11" x14ac:dyDescent="0.25">
      <c r="J191" s="5"/>
    </row>
    <row r="192" spans="1:11" ht="21" x14ac:dyDescent="0.35">
      <c r="A192" s="47" t="s">
        <v>135</v>
      </c>
      <c r="B192" s="352"/>
      <c r="C192" s="355" t="s">
        <v>383</v>
      </c>
      <c r="D192" s="560"/>
      <c r="E192" s="560"/>
      <c r="F192" s="561"/>
      <c r="G192" s="554" t="s">
        <v>14</v>
      </c>
      <c r="H192" s="555"/>
      <c r="I192" s="556"/>
      <c r="J192" s="5"/>
    </row>
    <row r="193" spans="1:9" ht="15.75" x14ac:dyDescent="0.25">
      <c r="A193" s="53" t="s">
        <v>1</v>
      </c>
      <c r="B193" s="53" t="s">
        <v>2</v>
      </c>
      <c r="C193" s="327" t="s">
        <v>3</v>
      </c>
      <c r="D193" s="328"/>
      <c r="E193" s="53" t="s">
        <v>12</v>
      </c>
      <c r="F193" s="53" t="s">
        <v>13</v>
      </c>
      <c r="G193" s="53" t="s">
        <v>15</v>
      </c>
      <c r="H193" s="53" t="s">
        <v>16</v>
      </c>
      <c r="I193" s="413" t="s">
        <v>16</v>
      </c>
    </row>
    <row r="194" spans="1:9" ht="15.75" x14ac:dyDescent="0.25">
      <c r="A194" s="540" t="s">
        <v>345</v>
      </c>
      <c r="B194" s="485" t="s">
        <v>128</v>
      </c>
      <c r="C194" s="287" t="s">
        <v>341</v>
      </c>
      <c r="D194" s="288"/>
      <c r="E194" s="142"/>
      <c r="F194" s="335" t="str">
        <f>IF(E194="","",IF(E194&gt;=80,0,IF(E194&lt;=40,1,IF(E194&gt;=68,ROUND(E194*'Reference Curves'!$C$14+'Reference Curves'!$C$15,2),ROUND(E194*'Reference Curves'!$D$14+'Reference Curves'!$D$15,2)))))</f>
        <v/>
      </c>
      <c r="G194" s="501" t="str">
        <f>IFERROR(AVERAGE(F194:F195),"")</f>
        <v/>
      </c>
      <c r="H194" s="501" t="str">
        <f>IFERROR(ROUND(AVERAGE(G194:G198),2),"")</f>
        <v/>
      </c>
      <c r="I194" s="504" t="str">
        <f>IF(H194="","",IF(H194:H198&gt;0.69,"Functioning",IF(H194&gt;0.29,"Functioning At Risk",IF(H194&gt;-1,"Not Functioning"))))</f>
        <v/>
      </c>
    </row>
    <row r="195" spans="1:9" ht="15.75" x14ac:dyDescent="0.25">
      <c r="A195" s="541"/>
      <c r="B195" s="486"/>
      <c r="C195" s="289" t="s">
        <v>129</v>
      </c>
      <c r="D195" s="145"/>
      <c r="E195" s="143"/>
      <c r="F195" s="291" t="str">
        <f>IF(E195="","",   IF(E195&gt;3.22,0, IF(E195&lt;0, "", ROUND('Reference Curves'!$C$44*E195+'Reference Curves'!$C$45,2))))</f>
        <v/>
      </c>
      <c r="G195" s="503"/>
      <c r="H195" s="502"/>
      <c r="I195" s="505"/>
    </row>
    <row r="196" spans="1:9" ht="15.6" customHeight="1" x14ac:dyDescent="0.25">
      <c r="A196" s="541"/>
      <c r="B196" s="290" t="s">
        <v>140</v>
      </c>
      <c r="C196" s="543" t="s">
        <v>237</v>
      </c>
      <c r="D196" s="544"/>
      <c r="E196" s="144"/>
      <c r="F196" s="291" t="str">
        <f>IF(E196="","",IF(OR(E196&gt;=2,E196&lt;=0.26),0,IF(AND(E196&gt;=0.9,E196&lt;=1.1),1,ROUND(IF(E196&lt;0.9,'Reference Curves'!$C$75*E196+'Reference Curves'!$C$76,'Reference Curves'!$D$75*E196+'Reference Curves'!$D$76),2))))</f>
        <v/>
      </c>
      <c r="G196" s="364" t="str">
        <f>IFERROR(F196,"")</f>
        <v/>
      </c>
      <c r="H196" s="502"/>
      <c r="I196" s="505"/>
    </row>
    <row r="197" spans="1:9" ht="15.75" x14ac:dyDescent="0.25">
      <c r="A197" s="541"/>
      <c r="B197" s="485" t="s">
        <v>5</v>
      </c>
      <c r="C197" s="145" t="s">
        <v>6</v>
      </c>
      <c r="D197" s="145"/>
      <c r="E197" s="140"/>
      <c r="F197" s="336" t="str">
        <f>IF(E197="","",ROUND(IF(E197&gt;1.71,0,IF(E197&lt;=1,1,E197*'Reference Curves'!C$107+'Reference Curves'!C$108)),2))</f>
        <v/>
      </c>
      <c r="G197" s="501" t="str">
        <f>IFERROR(AVERAGE(F197:F198),"")</f>
        <v/>
      </c>
      <c r="H197" s="502"/>
      <c r="I197" s="505"/>
    </row>
    <row r="198" spans="1:9" ht="15.6" customHeight="1" x14ac:dyDescent="0.25">
      <c r="A198" s="542"/>
      <c r="B198" s="486"/>
      <c r="C198" s="146" t="s">
        <v>7</v>
      </c>
      <c r="D198" s="146"/>
      <c r="E198" s="143"/>
      <c r="F198" s="147" t="str">
        <f>IF(E198="","",IF(OR('Quantification Tool'!$B$9="A",'Quantification Tool'!$B$9="Ba",'Quantification Tool'!$B$9="B", 'Quantification Tool'!$B$9="Bc"),IF(E198&lt;1.05,0,IF(E198&gt;=2.2,1,ROUND(IF(E198&lt;1.4,E198*'Reference Curves'!$C$176+'Reference Curves'!$C$177,E198*'Reference Curves'!$D$176+'Reference Curves'!$D$177),2))),IF(OR('Quantification Tool'!$B$9="C",'Quantification Tool'!$B$9="Cb",'Quantification Tool'!$B$9="E"),IF(E198&lt;1.7,0,IF(E198&gt;=5,1,ROUND(IF(E198&lt;2.4,E198*'Reference Curves'!$D$141+'Reference Curves'!$D$142,E198*'Reference Curves'!$C$141+'Reference Curves'!$C$142),2))))))</f>
        <v/>
      </c>
      <c r="G198" s="503"/>
      <c r="H198" s="503"/>
      <c r="I198" s="506"/>
    </row>
    <row r="199" spans="1:9" ht="15.75" x14ac:dyDescent="0.25">
      <c r="A199" s="465" t="s">
        <v>20</v>
      </c>
      <c r="B199" s="465" t="s">
        <v>21</v>
      </c>
      <c r="C199" s="34" t="s">
        <v>19</v>
      </c>
      <c r="D199" s="148"/>
      <c r="E199" s="142"/>
      <c r="F199" s="149" t="str">
        <f>IF(E199="","",IF(E199&gt;=660,1,IF(E199&lt;=430,ROUND('Reference Curves'!$K$14*E199+'Reference Curves'!$K$15,2),ROUND('Reference Curves'!$L$14*E199+'Reference Curves'!$L$15,2))))</f>
        <v/>
      </c>
      <c r="G199" s="455" t="str">
        <f>IFERROR(AVERAGE(F199:F200),"")</f>
        <v/>
      </c>
      <c r="H199" s="455" t="str">
        <f>IFERROR(ROUND(AVERAGE(G199:G214),2),"")</f>
        <v/>
      </c>
      <c r="I199" s="458" t="str">
        <f>IF(H199="","",IF(H199&gt;0.69,"Functioning",IF(H199&gt;0.29,"Functioning At Risk",IF(H199&gt;-1,"Not Functioning"))))</f>
        <v/>
      </c>
    </row>
    <row r="200" spans="1:9" ht="15.75" x14ac:dyDescent="0.25">
      <c r="A200" s="462"/>
      <c r="B200" s="463"/>
      <c r="C200" s="279" t="s">
        <v>346</v>
      </c>
      <c r="D200" s="151"/>
      <c r="E200" s="140"/>
      <c r="F200" s="337" t="str">
        <f>IF(E200="","",IF(E200&gt;=28,1,ROUND(IF(E200&lt;=13,'Reference Curves'!$K$47*E200,'Reference Curves'!$L$47*E200+'Reference Curves'!$L$48),2)))</f>
        <v/>
      </c>
      <c r="G200" s="457"/>
      <c r="H200" s="456"/>
      <c r="I200" s="459"/>
    </row>
    <row r="201" spans="1:9" ht="15.75" x14ac:dyDescent="0.25">
      <c r="A201" s="462"/>
      <c r="B201" s="461" t="s">
        <v>402</v>
      </c>
      <c r="C201" s="148" t="s">
        <v>250</v>
      </c>
      <c r="D201" s="277"/>
      <c r="E201" s="142"/>
      <c r="F201" s="385" t="str">
        <f>IF(E201="","",ROUND(IF(E201&lt;=2,0,IF(E201&gt;=9,1,E201^3*'Reference Curves'!K$81+E201^2*'Reference Curves'!$K$82+E201*'Reference Curves'!$K$83+'Reference Curves'!$K$84)),2))</f>
        <v/>
      </c>
      <c r="G201" s="455" t="str">
        <f>IFERROR(AVERAGE(F201:F204),"")</f>
        <v/>
      </c>
      <c r="H201" s="456"/>
      <c r="I201" s="459"/>
    </row>
    <row r="202" spans="1:9" ht="15.75" x14ac:dyDescent="0.25">
      <c r="A202" s="462"/>
      <c r="B202" s="462"/>
      <c r="C202" s="151" t="s">
        <v>43</v>
      </c>
      <c r="D202" s="151"/>
      <c r="E202" s="140"/>
      <c r="F202" s="339" t="str">
        <f>IF(E202="","",IF(OR(E202="Ex/Ex",E202="Ex/VH",E202="Ex/H",E202="Ex/M",E202="VH/Ex",E202="VH/VH", E202="H/Ex",E202="H/VH"),0, IF(OR(E202="M/Ex"),0.1,IF(OR(E202="VH/H",E202="VH/M",E202="H/H",E202="H/M", E202="M/VH"),0.2, IF(OR(E202="Ex/VL",E202="Ex/L", E202="M/H"),0.3, IF(OR(E202="VH/L",E202="H/L"),0.4, IF(OR(E202="VH/VL",E202="H/VL",E202="M/M"),0.5, IF(OR(E202="M/L",E202="L/Ex"),0.6, IF(OR(E202="M/VL",E202="L/VH", E202="L/H",E202="L/M",E202="L/L",E202="L/VL"),1)))))))))</f>
        <v/>
      </c>
      <c r="G202" s="456"/>
      <c r="H202" s="456"/>
      <c r="I202" s="459"/>
    </row>
    <row r="203" spans="1:9" ht="15.75" x14ac:dyDescent="0.25">
      <c r="A203" s="462"/>
      <c r="B203" s="462"/>
      <c r="C203" s="368" t="s">
        <v>87</v>
      </c>
      <c r="D203" s="368"/>
      <c r="E203" s="140"/>
      <c r="F203" s="339" t="str">
        <f>IF(E203="","",ROUND(IF(E203&gt;=75,0,IF(E203&lt;=5,1,IF(E203&gt;10,E203*'Reference Curves'!K$115+'Reference Curves'!K$116,'Reference Curves'!$L$115*E203+'Reference Curves'!$L$116))),2))</f>
        <v/>
      </c>
      <c r="G203" s="456"/>
      <c r="H203" s="456"/>
      <c r="I203" s="459"/>
    </row>
    <row r="204" spans="1:9" s="317" customFormat="1" ht="15.75" x14ac:dyDescent="0.25">
      <c r="A204" s="462"/>
      <c r="B204" s="463"/>
      <c r="C204" s="371" t="s">
        <v>401</v>
      </c>
      <c r="D204" s="278"/>
      <c r="E204" s="143"/>
      <c r="F204" s="386" t="str">
        <f>IF(E204="","",IF(E204&gt;=30,0,ROUND(E204*'Reference Curves'!$K$146+'Reference Curves'!$K$147,2)))</f>
        <v/>
      </c>
      <c r="G204" s="457"/>
      <c r="H204" s="456"/>
      <c r="I204" s="459"/>
    </row>
    <row r="205" spans="1:9" ht="15.75" x14ac:dyDescent="0.25">
      <c r="A205" s="462"/>
      <c r="B205" s="361" t="s">
        <v>105</v>
      </c>
      <c r="C205" s="33" t="s">
        <v>130</v>
      </c>
      <c r="D205" s="151"/>
      <c r="E205" s="143"/>
      <c r="F205" s="332" t="str">
        <f>IF(OR(E205="",'Quantification Tool'!$B$13=""),"",IF(OR('Quantification Tool'!$B$13="Silt/Clay",'Quantification Tool'!$B$13="Sand",'Quantification Tool'!$B$13="Boulders",'Quantification Tool'!$B$13="Bedrock"),"NA",IF(E205&gt;0.1,1,IF(E205&lt;=0.01,0,ROUND(E205*'Reference Curves'!$K$177+'Reference Curves'!$K$178,2)))))</f>
        <v/>
      </c>
      <c r="G205" s="153" t="str">
        <f>IFERROR(AVERAGE(F205),"")</f>
        <v/>
      </c>
      <c r="H205" s="456"/>
      <c r="I205" s="459"/>
    </row>
    <row r="206" spans="1:9" ht="15.75" x14ac:dyDescent="0.25">
      <c r="A206" s="462"/>
      <c r="B206" s="465" t="s">
        <v>45</v>
      </c>
      <c r="C206" s="148" t="s">
        <v>46</v>
      </c>
      <c r="D206" s="148"/>
      <c r="E206" s="142"/>
      <c r="F206" s="155" t="str">
        <f>IF(E206="","",IF('Quantification Tool'!$B$9="Bc",IF(OR(E206&gt;=12,E206&lt;=0.1),0,IF(E206&lt;=3.4,1,ROUND('Reference Curves'!$K$310*E206+'Reference Curves'!$K$311,2))),  IF(OR('Quantification Tool'!$B$9="B",'Quantification Tool'!$B$9="Ba"),IF(OR(E206&gt;=7.5,E206&lt;=0.1),0,IF(E206&lt;=3,1,ROUND(IF(E206&gt;4,'Reference Curves'!$K$279*E206+'Reference Curves'!$K$280,'Reference Curves'!$L$279*E206+'Reference Curves'!$L$280),2))),  IF('Quantification Tool'!$B$9="Cb",IF(OR(E206&gt;=8.35,E206&lt;1.4),0,IF(AND(E206&gt;=3.7,E206&lt;=5),1,ROUND(IF(E206&lt;3.7,'Reference Curves'!$K$247*E206+'Reference Curves'!$K$248,'Reference Curves'!$L$247*E206+'Reference Curves'!$L$248),2))),  IF('Quantification Tool'!$B$9="C",IF(OR(E206&gt;9.3,E206&lt;=3),0,IF(AND(E206&gt;=4,E206&lt;=6),1,ROUND(IF(E206&lt;4,'Reference Curves'!$K$213*E206+'Reference Curves'!$K$214,'Reference Curves'!$L$213*E206+'Reference Curves'!$L$214),2))),  IF('Quantification Tool'!$B$9="E",IF(OR(E206&gt;8.2,E206&lt;1.85),0,IF(AND(E206&gt;=3.5,E206&lt;=5),1,ROUND(IF(E206&lt;3.5,'Reference Curves'!$K$343*E206+'Reference Curves'!$K$344,'Reference Curves'!$L$343*E206+'Reference Curves'!$L$344),2)))      ))))))</f>
        <v/>
      </c>
      <c r="G206" s="480" t="str">
        <f>IFERROR(AVERAGE(F206:F209),"")</f>
        <v/>
      </c>
      <c r="H206" s="456"/>
      <c r="I206" s="459"/>
    </row>
    <row r="207" spans="1:9" ht="15.75" x14ac:dyDescent="0.25">
      <c r="A207" s="462"/>
      <c r="B207" s="462"/>
      <c r="C207" s="151" t="s">
        <v>47</v>
      </c>
      <c r="D207" s="151"/>
      <c r="E207" s="140"/>
      <c r="F207" s="156" t="str">
        <f>IF(E207="","",IF(E207&lt;=1,0,IF(E207&gt;=3.2,1,IF(E207&gt;=2.2,ROUND('Reference Curves'!$L$375*E207+'Reference Curves'!$L$376,2),(ROUND('Reference Curves'!$K$375*E207+'Reference Curves'!$K$376,2))))))</f>
        <v/>
      </c>
      <c r="G207" s="464"/>
      <c r="H207" s="456"/>
      <c r="I207" s="459"/>
    </row>
    <row r="208" spans="1:9" ht="15.75" x14ac:dyDescent="0.25">
      <c r="A208" s="462"/>
      <c r="B208" s="462"/>
      <c r="C208" s="31" t="s">
        <v>356</v>
      </c>
      <c r="D208" s="151"/>
      <c r="E208" s="140"/>
      <c r="F208" s="362" t="str">
        <f>IF(E208="","",IF('Quantification Tool'!$B$11="Volcanic Mountains &amp; Valleys", IF(OR(E208&gt;86.65,E208&lt;33),0,IF(AND(E208&gt;=73,E208&lt;=80),1, ROUND(IF(E208&lt;73,'Reference Curves'!$K$408*E208+'Reference Curves'!$K$409, 'Reference Curves'!$L$408*E208+'Reference Curves'!$L$409),2))), IF('Quantification Tool'!B$16="","Need Slope",IF('Quantification Tool'!B$16&lt;3,IF( OR(E208&gt;=91,E208&lt;=13.5),0, IF(AND(E208&gt;49,E208&lt;61), 1, ROUND(IF(E208&lt;50,'Reference Curves'!$K$441*E208+'Reference Curves'!$K$442, IF(E208&gt;60,'Reference Curves'!$L$441*E208+'Reference Curves'!$L$442)),2))), IF('Quantification Tool'!B$16&gt;=3,IF(OR(E208&gt;94.5,E208&lt;41.5),0, IF(AND(E208 &gt;=68, E208&lt;=78),1, ROUND(IF(E208&lt;68,'Reference Curves'!$K$475*E208+'Reference Curves'!$K$476,'Reference Curves'!$L$475*E208+'Reference Curves'!$L$476),2) )))))))</f>
        <v/>
      </c>
      <c r="G208" s="464"/>
      <c r="H208" s="456"/>
      <c r="I208" s="459"/>
    </row>
    <row r="209" spans="1:11" ht="15.75" x14ac:dyDescent="0.25">
      <c r="A209" s="462"/>
      <c r="B209" s="463"/>
      <c r="C209" s="150" t="s">
        <v>213</v>
      </c>
      <c r="D209" s="150"/>
      <c r="E209" s="143"/>
      <c r="F209" s="360" t="str">
        <f>IF(E209="","",IF(E209&gt;=1.6,0,IF(E209&lt;=1,1,ROUND('Reference Curves'!$K$506*E209^3+'Reference Curves'!$K$507*E209^2+'Reference Curves'!$K$508*E209+'Reference Curves'!$K$509,2))))</f>
        <v/>
      </c>
      <c r="G209" s="481"/>
      <c r="H209" s="456"/>
      <c r="I209" s="459"/>
    </row>
    <row r="210" spans="1:11" ht="15.75" x14ac:dyDescent="0.25">
      <c r="A210" s="462"/>
      <c r="B210" s="361" t="s">
        <v>49</v>
      </c>
      <c r="C210" s="151" t="s">
        <v>48</v>
      </c>
      <c r="D210" s="151"/>
      <c r="E210" s="140"/>
      <c r="F210" s="341" t="str">
        <f>IF(E210="","",IF('Quantification Tool'!B$9="E",IF(OR(E210&gt;2.14,E210&lt;1.13),0, IF(AND(E210&gt;=1.3, E210&lt;=1.8),1, ROUND(IF(E210&lt;1.3,E210*'Reference Curves'!K$542+'Reference Curves'!K$543, E210*'Reference Curves'!L$542+'Reference Curves'!$L$543),2))),    IF('Quantification Tool'!$B$21="Unconfined Alluvial",IF(OR(E210&lt;1.12, E210&gt;1.67),0, IF(AND(E210&lt;=1.5,E210&gt;=1.2),1,ROUND(IF(E210&lt;1.2,E210*'Reference Curves'!$K$575+'Reference Curves'!$K$576, E210*'Reference Curves'!$L$575+'Reference Curves'!$L$576),2))),  IF('Quantification Tool'!$B$21="Confined Alluvial",IF(E210&lt;=1,0, IF(E210&gt;=1.2,1, ROUND(E210*'Reference Curves'!$K$604+'Reference Curves'!$K$605,2))),    IF('Quantification Tool'!$B$21="Colluvial/V-Shaped",IF(OR(E210&lt;1, E210&gt;1.47),0, IF(AND(E210&lt;=1.3,E210&gt;=1.1),1,ROUND(IF(E210&lt;1.1,E210*'Reference Curves'!$K$637+'Reference Curves'!$K$638, E210*'Reference Curves'!$L$637+'Reference Curves'!$L$638),2)))  )))))</f>
        <v/>
      </c>
      <c r="G210" s="156" t="str">
        <f>IFERROR(AVERAGE(F210),"")</f>
        <v/>
      </c>
      <c r="H210" s="456"/>
      <c r="I210" s="459"/>
    </row>
    <row r="211" spans="1:11" ht="15.75" x14ac:dyDescent="0.25">
      <c r="A211" s="462"/>
      <c r="B211" s="465" t="s">
        <v>44</v>
      </c>
      <c r="C211" s="32" t="s">
        <v>344</v>
      </c>
      <c r="D211" s="148"/>
      <c r="E211" s="142"/>
      <c r="F211" s="365" t="str">
        <f>IF(E211="","",IF('Quantification Tool'!$B$21="Unconfined Alluvial",IF(E211&gt;=100,1,IF(E211&lt;30,0,ROUND('Reference Curves'!$K$668*E211+'Reference Curves'!$K$669,2))),IF(OR('Quantification Tool'!$B$21="Confined Alluvial",'Quantification Tool'!$B$21="Colluvial/V-Shaped"),(IF(E211&gt;=100,1,IF(E211&lt;60,0,ROUND('Reference Curves'!$L$668*E211+'Reference Curves'!$L$669,2)))))))</f>
        <v/>
      </c>
      <c r="G211" s="480" t="str">
        <f>IFERROR(AVERAGE(F211:F214),"")</f>
        <v/>
      </c>
      <c r="H211" s="456"/>
      <c r="I211" s="459"/>
    </row>
    <row r="212" spans="1:11" ht="15.75" x14ac:dyDescent="0.25">
      <c r="A212" s="462"/>
      <c r="B212" s="462"/>
      <c r="C212" s="279" t="s">
        <v>390</v>
      </c>
      <c r="D212" s="151"/>
      <c r="E212" s="140"/>
      <c r="F212" s="156" t="str">
        <f>IF(E212="","",  IF(OR('Quantification Tool'!$B$10="Mountains",'Quantification Tool'!$B$10="Basins"),IF(E212&lt;=0,0, IF(E212&gt;=122,1,ROUND('Reference Curves'!$K$700*E212^2+'Reference Curves'!$K$701*E212+'Reference Curves'!$K$702,2))),   IF('Quantification Tool'!$B$10="Plains",IF(OR(E212&lt;=0,E212&gt;114),0, IF(AND(E212&lt;=69,E212&gt;=59),1, IF(E212&lt;59, ROUND(E212*'Reference Curves'!$K$735+'Reference Curves'!$K$736,2), ROUND(E212*'Reference Curves'!$L$735+'Reference Curves'!$L$736,2) )) ))))</f>
        <v/>
      </c>
      <c r="G212" s="464"/>
      <c r="H212" s="456"/>
      <c r="I212" s="459"/>
    </row>
    <row r="213" spans="1:11" ht="15.75" x14ac:dyDescent="0.25">
      <c r="A213" s="462"/>
      <c r="B213" s="466"/>
      <c r="C213" s="279" t="s">
        <v>391</v>
      </c>
      <c r="D213" s="151"/>
      <c r="E213" s="140"/>
      <c r="F213" s="156" t="str">
        <f>IF(E213="","",IF('Quantification Tool'!$B$19="Herbaceous", IF(E213&lt;=30,0,IF(E213&gt;=117,1, ROUND(E213*'Reference Curves'!$L$767+'Reference Curves'!$L$768,2))),  IF(E213&lt;=0,0, IF(E213&gt;=77,1, ROUND(E213*'Reference Curves'!$K$767+'Reference Curves'!$K$768,2)))  ))</f>
        <v/>
      </c>
      <c r="G213" s="464"/>
      <c r="H213" s="456"/>
      <c r="I213" s="459"/>
    </row>
    <row r="214" spans="1:11" s="317" customFormat="1" ht="15.75" x14ac:dyDescent="0.25">
      <c r="A214" s="463"/>
      <c r="B214" s="463"/>
      <c r="C214" s="467" t="s">
        <v>400</v>
      </c>
      <c r="D214" s="467"/>
      <c r="E214" s="143"/>
      <c r="F214" s="384" t="str">
        <f>IF(E214="","",IF(E214&lt;=46,0,IF(E214&gt;=100,1,IF(E214&lt;=91,ROUND(E214*'Reference Curves'!$L$799+'Reference Curves'!$L$800,2),ROUND(E214*'Reference Curves'!$K$799+'Reference Curves'!$K$800,2)))))</f>
        <v/>
      </c>
      <c r="G214" s="481"/>
      <c r="H214" s="457"/>
      <c r="I214" s="460"/>
    </row>
    <row r="215" spans="1:11" ht="15.75" x14ac:dyDescent="0.25">
      <c r="A215" s="496" t="s">
        <v>53</v>
      </c>
      <c r="B215" s="313" t="s">
        <v>80</v>
      </c>
      <c r="C215" s="60" t="s">
        <v>347</v>
      </c>
      <c r="D215" s="292"/>
      <c r="E215" s="140"/>
      <c r="F215" s="357" t="str">
        <f>IF(E215="","",IF('Quantification Tool'!$B$18="","Enter Stream Temperature",IF('Quantification Tool'!$B$18="Tier I (Cold) ",IF(E215&gt;=20.1,0,IF(E215&lt;=13.5,1,ROUND(E215*'Reference Curves'!$S$18+'Reference Curves'!$S$19,2))),IF('Quantification Tool'!$B$18="Tier II (Cold-Cool)",IF(E215&gt;=20.5,0,IF(E215&lt;=16.5,1,ROUND(E215*'Reference Curves'!$T$18+'Reference Curves'!$T$19,2))),IF('Quantification Tool'!$B$18="Tier III (Cool) ",IF(E215&gt;=23.6,0,IF(E215&lt;=18.3,1,ROUND(E215*'Reference Curves'!$U$18+'Reference Curves'!$U$19,2))),IF('Quantification Tool'!$B$18="Tier IV (Cool-Warm)",IF(E215&gt;=27.2,0,IF(E215&lt;=23.2,1,ROUND(E215*'Reference Curves'!$V$18+'Reference Curves'!$V$19,2))),IF('Quantification Tool'!$B$18="Tier V (Warm)",IF(E215&gt;=30.3,0,IF(E215&lt;=26,1,ROUND(E215*'Reference Curves'!$W$18+'Reference Curves'!$W$19,2))))))))))</f>
        <v/>
      </c>
      <c r="G215" s="309" t="str">
        <f>IF(F215="","", ROUND(AVERAGE(F215),2))</f>
        <v/>
      </c>
      <c r="H215" s="478" t="str">
        <f>IFERROR(ROUND(AVERAGE(G215:G216),2),"")</f>
        <v/>
      </c>
      <c r="I215" s="473" t="str">
        <f>IF(H215="","",IF(H215&gt;0.69,"Functioning",IF(H215&gt;0.29,"Functioning At Risk",IF(H215&gt;-1,"Not Functioning"))))</f>
        <v/>
      </c>
    </row>
    <row r="216" spans="1:11" ht="15.75" x14ac:dyDescent="0.25">
      <c r="A216" s="497"/>
      <c r="B216" s="363" t="s">
        <v>249</v>
      </c>
      <c r="C216" s="35" t="s">
        <v>357</v>
      </c>
      <c r="D216" s="160"/>
      <c r="E216" s="106"/>
      <c r="F216" s="161" t="str">
        <f>IF(E216="","",IF(OR('Quantification Tool'!$B$10="Basins",'Quantification Tool'!$B$10="Plains"),IF(E216&gt;=150,0,IF(E216&lt;16,1,ROUND('Reference Curves'!$S$53*LN(E216)+'Reference Curves'!$S$54,2))),IF(E216&gt;=97,0,IF(E216&lt;=13,1,ROUND('Reference Curves'!$T$53*LN(E216)+'Reference Curves'!$T$54,2)))))</f>
        <v/>
      </c>
      <c r="G216" s="162" t="str">
        <f>IFERROR(AVERAGE(F216),"")</f>
        <v/>
      </c>
      <c r="H216" s="479"/>
      <c r="I216" s="473"/>
    </row>
    <row r="217" spans="1:11" ht="15.75" x14ac:dyDescent="0.25">
      <c r="A217" s="508" t="s">
        <v>54</v>
      </c>
      <c r="B217" s="511" t="s">
        <v>189</v>
      </c>
      <c r="C217" s="163" t="s">
        <v>186</v>
      </c>
      <c r="D217" s="164"/>
      <c r="E217" s="142"/>
      <c r="F217" s="165" t="str">
        <f>IF(E217="","",IF('Quantification Tool'!$B$11="","Enter Bioregion",IF('Quantification Tool'!$B$11="Wyoming Basin",IF(E217&lt;=5.3,0,IF(E217&gt;=64.5,1,ROUND(IF(E217&lt;26.2,'Reference Curves'!$AB$17*E217+'Reference Curves'!$AB$18,IF(E217&lt;39.9, 'Reference Curves'!$AC$17*E217+'Reference Curves'!$AC$18,'Reference Curves'!$AD$17*E217+'Reference Curves'!$AD$18)),2))), IF('Quantification Tool'!$B$11="Black Hills",IF(E217&lt;=12.8,0,IF(E217&gt;=65.7,1,ROUND(IF(E217&lt;30.7,'Reference Curves'!$AE$17*E217+'Reference Curves'!$AE$18,IF(E217&lt;46.1,'Reference Curves'!$AF$17*E217+'Reference Curves'!$AF$18,'Reference Curves'!$AG$17*E217+'Reference Curves'!$AG$18)),2))), IF('Quantification Tool'!$B$11="High Valleys",IF(E217&lt;=17.1,0,IF(E217&gt;=78.2,1,ROUND(IF(E217&lt;48.8,'Reference Curves'!$AH$17*E217+'Reference Curves'!$AH$18,'Reference Curves'!$AI$17*E217+'Reference Curves'!$AI$18),2))),     IF('Quantification Tool'!$B$11="Southern Rockies",IF(E217&lt;=5.1,0,IF(E217&gt;=82.2,1,ROUND(IF(E217&lt;32.6, 'Reference Curves'!$AB$54*E217+'Reference Curves'!$AB$55, IF(E217&lt;48.8, 'Reference Curves'!$AC$54*E217+'Reference Curves'!$AC$55,  'Reference Curves'!$AD$54*E217+'Reference Curves'!$AD$55)), 2))), IF('Quantification Tool'!$B$11="SE Plains",IF(E217&lt;=10.4,0,IF(E217&gt;=87,1,ROUND(IF(E217&lt;36.7,'Reference Curves'!$AE$54*E217+'Reference Curves'!$AE$55, IF(E217&lt;55.1, 'Reference Curves'!$AF$54*E217+'Reference Curves'!$AF$55, 'Reference Curves'!$AG$54*E217+'Reference Curves'!$AG$55)),2))),   IF('Quantification Tool'!$B$11="NE Plains",IF(E217&lt;=1.6,0,IF(E217&gt;=95.8,1,ROUND(IF(E217&lt;38.9,'Reference Curves'!$AH$54*E217+'Reference Curves'!$AH$55, IF(E217&lt;58.4, 'Reference Curves'!$AI$54*E217+'Reference Curves'!$AI$55, 'Reference Curves'!$AJ$54*E217+'Reference Curves'!$AJ$55)),2))),      IF('Quantification Tool'!$B$11="Granitic Mountains",IF(E217&lt;=32.6,0,IF(E217&gt;=74.9,1,ROUND(IF(E217&lt;40.2, 'Reference Curves'!$AB$92*E217+'Reference Curves'!$AB$93, 'Reference Curves'!$AC$92*E217+'Reference Curves'!$AC$93),2))), IF('Quantification Tool'!$B$11="Volcanic Mountains &amp; Valleys",IF(E217&lt;=26,0,IF(E217&gt;=88.1,1,ROUND('Reference Curves'!$AF$92*E217+'Reference Curves'!$AF$93,2))), IF('Quantification Tool'!$B$11="Southern Foothills &amp; Laramie Range",IF(E217&lt;=30.7,0,IF(E217&gt;=85,1,ROUND(IF(E217&lt;44.5, 'Reference Curves'!$AD$92*E217+'Reference Curves'!$AD$93,  'Reference Curves'!$AE$92*E217+'Reference Curves'!$AE$93 ),2))),     IF('Quantification Tool'!$B$11="Sedimentary Mountains",IF(E217&lt;=17,0,IF(E217&gt;=70,1,ROUND('Reference Curves'!$AB$127*E217+'Reference Curves'!$AB$128,2))), IF('Quantification Tool'!$B$11="Bighorn Basin Foothills",IF(E217&lt;=3.9,0,IF(E217&gt;=80,1,ROUND(IF(E217&lt;40.6,'Reference Curves'!$AC$127*E217+'Reference Curves'!$AC$128,'Reference Curves'!$AD$127*E217+'Reference Curves'!$AD$128),2)))  )))))))))))))</f>
        <v/>
      </c>
      <c r="G217" s="474" t="str">
        <f>IFERROR(IF(AND(F217="",F218=""),"",IF(OR(F217="",F218=""),AVERAGE(F217:F218),IF(OR(F217&lt;0.3,F218&lt;0.3),IF(OR(F217&gt;=0.7,F218&gt;=0.7),MIN(0.69,AVERAGE(F217:F218)),MIN(0.29,AVERAGE(F217:F218))), IF(OR(F217&gt;=0.7,F218&gt;=0.7),IF(AVERAGE(F217:F218)&lt;0.7,0.7,AVERAGE(F217:F218)),AVERAGE(F217:F218))))),"")</f>
        <v/>
      </c>
      <c r="H217" s="476" t="str">
        <f>IFERROR(ROUND(AVERAGE(G217:G221),2),"")</f>
        <v/>
      </c>
      <c r="I217" s="473" t="str">
        <f>IF(H217="","",IF(H217&gt;0.69,"Functioning",IF(H217&gt;0.29,"Functioning At Risk",IF(H217&gt;-1,"Not Functioning"))))</f>
        <v/>
      </c>
    </row>
    <row r="218" spans="1:11" ht="15.75" x14ac:dyDescent="0.25">
      <c r="A218" s="509"/>
      <c r="B218" s="513"/>
      <c r="C218" s="166" t="s">
        <v>187</v>
      </c>
      <c r="D218" s="167"/>
      <c r="E218" s="143"/>
      <c r="F218" s="168" t="str">
        <f>IF(E218="","",IF('Quantification Tool'!$B$11="","Enter Bioregion",IF('Quantification Tool'!$B$11="Wyoming Basin",IF(E218&lt;0.15,0,IF(E218&gt;1.18,1,ROUND(IF(E218&lt;0.64,'Reference Curves'!$AB$166*E218+'Reference Curves'!$AB$167, IF(E218&lt;0.82, 'Reference Curves'!$AC$166*E218+'Reference Curves'!$AC$167, 'Reference Curves'!$AD$166*E218+'Reference Curves'!$AD$167) ),2))), IF('Quantification Tool'!$B$11="Black Hills",IF(E218&lt;=0.37,0,IF(E218&gt;1.08,1,ROUND('Reference Curves'!$AE$166*E218+'Reference Curves'!$AE$167,2))), IF('Quantification Tool'!$B$11="High Valleys",IF(E218&lt;0.42,0,IF(E218&gt;1.14,1,ROUND(IF(E218&lt;0.68, 'Reference Curves'!$AF$166*E218+'Reference Curves'!$AF$167, IF(E218&lt;0.86, 'Reference Curves'!$AG$166*E218+'Reference Curves'!$AG$167, 'Reference Curves'!$AH$166*E218+'Reference Curves'!$AH$167)),2))), IF('Quantification Tool'!$B$11="Sedimentary Mountains",IF(E218&lt;0.42,0,IF(E218&gt;1.17,1,ROUND(IF(E218&lt;0.68, 'Reference Curves'!$AI$166*E218+'Reference Curves'!$AI$167, IF(E218&lt;0.82, 'Reference Curves'!$AJ$166*E218+'Reference Curves'!$AJ$167, 'Reference Curves'!$AK$166*E218+'Reference Curves'!$AK$167) ),2))),        IF('Quantification Tool'!$B$11="Southern Rockies",IF(E218&lt;0.27,0,IF(E218&gt;=1.18,1,ROUND(IF(E218&lt;0.62, 'Reference Curves'!$AB$204*E218+'Reference Curves'!$AB$205, IF(E218&lt;0.89, 'Reference Curves'!$AC$204*E218+'Reference Curves'!$AC$205, 'Reference Curves'!$AD$204*E218+'Reference Curves'!$AD$205) ),2))), IF('Quantification Tool'!$B$11="SE Plains",IF(E218&lt;0.34,0,IF(E218&gt;1.12,1,ROUND(IF(E218&lt;0.78, 'Reference Curves'!$AE$204*E218+'Reference Curves'!$AE$205, 'Reference Curves'!$AF$204*E218+'Reference Curves'!$AF$205),2))), IF('Quantification Tool'!$B$11="NE Plains",IF(E218&lt;0.11,0,IF(E218&gt;=0.98,1,ROUND(IF(E218&lt;0.52, 'Reference Curves'!$AG$204*E218+'Reference Curves'!$AG$205,'Reference Curves'!$AH$204*E218+'Reference Curves'!$AH$205 ),2))),    IF('Quantification Tool'!$B$11="Granitic Mountains",IF(E218&lt;=0.59,0,IF(E218&gt;=1.09,1,ROUND(IF(E218&lt;0.65, 'Reference Curves'!$AB$242*E218+'Reference Curves'!$AB$243, 'Reference Curves'!$AC$242*E218+'Reference Curves'!$AC$243),2))),IF('Quantification Tool'!$B$11="Bighorn Basin Foothills",IF(E218&lt;=0.41,0,IF(E218&gt;=0.92,1,ROUND(IF(E218&lt;0.84, 'Reference Curves'!$AD$242*E218+'Reference Curves'!$AD$243,  'Reference Curves'!$AE$242*E218+'Reference Curves'!$AE$243),2))),IF('Quantification Tool'!$B$11="Volcanic Mountains &amp; Valleys",IF(E218&lt;=0.21,0,IF(E218&gt;=1.21,1,ROUND(IF(E218&lt;0.65, 'Reference Curves'!$AI$242*E218+'Reference Curves'!$AI$243, IF(E218&lt;0.86,  'Reference Curves'!$AJ$242*E218+'Reference Curves'!$AJ$243,  'Reference Curves'!$AK$242*E218+'Reference Curves'!$AK$243)),2))), IF('Quantification Tool'!$B$11="Southern Foothills &amp; Laramie Range",IF(E218&lt;=0.29,0,IF(E218&gt;=1.2,1,ROUND(IF(E218&lt;0.68, 'Reference Curves'!$AF$242*E218+'Reference Curves'!$AF$243, IF(E218&lt;0.88,  'Reference Curves'!$AG$242*E218+'Reference Curves'!$AG$243, 'Reference Curves'!$AH$242*E218+'Reference Curves'!$AH$243)),2))) )))))))))))))</f>
        <v/>
      </c>
      <c r="G218" s="475"/>
      <c r="H218" s="476"/>
      <c r="I218" s="473"/>
    </row>
    <row r="219" spans="1:11" ht="15.75" x14ac:dyDescent="0.25">
      <c r="A219" s="509"/>
      <c r="B219" s="511" t="s">
        <v>75</v>
      </c>
      <c r="C219" s="58" t="s">
        <v>349</v>
      </c>
      <c r="D219" s="169"/>
      <c r="E219" s="142"/>
      <c r="F219" s="170" t="str">
        <f>IF(E219="","",IF(E219&lt;58,0,IF(E219&gt;=100,1,ROUND(E219*'Reference Curves'!$AB$280+'Reference Curves'!$AB$281,2))))</f>
        <v/>
      </c>
      <c r="G219" s="474" t="str">
        <f>IFERROR(AVERAGE(F219:F221),"")</f>
        <v/>
      </c>
      <c r="H219" s="476"/>
      <c r="I219" s="473"/>
      <c r="K219" s="5"/>
    </row>
    <row r="220" spans="1:11" ht="15.75" x14ac:dyDescent="0.25">
      <c r="A220" s="509"/>
      <c r="B220" s="512"/>
      <c r="C220" s="59" t="s">
        <v>350</v>
      </c>
      <c r="D220" s="171"/>
      <c r="E220" s="140"/>
      <c r="F220" s="170" t="str">
        <f>IF(E220="","",ROUND(IF(E220&gt;=3,0,IF(E220&gt;=2,0.3,IF(E220&gt;=1,0.69,1))),2))</f>
        <v/>
      </c>
      <c r="G220" s="477"/>
      <c r="H220" s="476"/>
      <c r="I220" s="473"/>
    </row>
    <row r="221" spans="1:11" ht="15.75" x14ac:dyDescent="0.25">
      <c r="A221" s="510"/>
      <c r="B221" s="513"/>
      <c r="C221" s="39" t="s">
        <v>351</v>
      </c>
      <c r="D221" s="172"/>
      <c r="E221" s="143"/>
      <c r="F221" s="168" t="str">
        <f>IF(E221="","",IF('Quantification Tool'!$B$20="","Enter Stream Producitvity Rating",IF('Quantification Tool'!$B$20="Blue Ribbon and non-trout",IF(E221&lt;5,0,IF(E221&gt;=40,1,ROUND(E221*'Reference Curves'!$AB$319+'Reference Curves'!$AB$320,2))),IF('Quantification Tool'!$B$20="Red Ribbon",IF(E221&lt;10,0,IF(E221&gt;=80,1,ROUND(E221*'Reference Curves'!$AC$319+'Reference Curves'!$AC$320,2))),IF(OR('Quantification Tool'!$B$20="Yellow Ribbon",'Quantification Tool'!$B$20="Green Ribbon"),IF(E221&lt;15,0,IF(E221&gt;=119,1,ROUND(E221*'Reference Curves'!$AD$319+'Reference Curves'!$AD$320,2)))   )))))</f>
        <v/>
      </c>
      <c r="G221" s="475"/>
      <c r="H221" s="476"/>
      <c r="I221" s="473"/>
    </row>
    <row r="222" spans="1:11" x14ac:dyDescent="0.25">
      <c r="J222" s="5"/>
    </row>
    <row r="223" spans="1:11" x14ac:dyDescent="0.25">
      <c r="J223" s="5"/>
    </row>
    <row r="224" spans="1:11" ht="21" x14ac:dyDescent="0.35">
      <c r="A224" s="47" t="s">
        <v>135</v>
      </c>
      <c r="B224" s="352"/>
      <c r="C224" s="355" t="s">
        <v>383</v>
      </c>
      <c r="D224" s="557"/>
      <c r="E224" s="558"/>
      <c r="F224" s="559"/>
      <c r="G224" s="554" t="s">
        <v>14</v>
      </c>
      <c r="H224" s="555"/>
      <c r="I224" s="556"/>
      <c r="J224" s="5"/>
    </row>
    <row r="225" spans="1:9" ht="15.75" x14ac:dyDescent="0.25">
      <c r="A225" s="53" t="s">
        <v>1</v>
      </c>
      <c r="B225" s="53" t="s">
        <v>2</v>
      </c>
      <c r="C225" s="327" t="s">
        <v>3</v>
      </c>
      <c r="D225" s="328"/>
      <c r="E225" s="53" t="s">
        <v>12</v>
      </c>
      <c r="F225" s="53" t="s">
        <v>13</v>
      </c>
      <c r="G225" s="53" t="s">
        <v>15</v>
      </c>
      <c r="H225" s="53" t="s">
        <v>16</v>
      </c>
      <c r="I225" s="413" t="s">
        <v>16</v>
      </c>
    </row>
    <row r="226" spans="1:9" ht="15.75" x14ac:dyDescent="0.25">
      <c r="A226" s="540" t="s">
        <v>345</v>
      </c>
      <c r="B226" s="485" t="s">
        <v>128</v>
      </c>
      <c r="C226" s="287" t="s">
        <v>341</v>
      </c>
      <c r="D226" s="288"/>
      <c r="E226" s="142"/>
      <c r="F226" s="335" t="str">
        <f>IF(E226="","",IF(E226&gt;=80,0,IF(E226&lt;=40,1,IF(E226&gt;=68,ROUND(E226*'Reference Curves'!$C$14+'Reference Curves'!$C$15,2),ROUND(E226*'Reference Curves'!$D$14+'Reference Curves'!$D$15,2)))))</f>
        <v/>
      </c>
      <c r="G226" s="501" t="str">
        <f>IFERROR(AVERAGE(F226:F227),"")</f>
        <v/>
      </c>
      <c r="H226" s="501" t="str">
        <f>IFERROR(ROUND(AVERAGE(G226:G230),2),"")</f>
        <v/>
      </c>
      <c r="I226" s="504" t="str">
        <f>IF(H226="","",IF(H226:H230&gt;0.69,"Functioning",IF(H226&gt;0.29,"Functioning At Risk",IF(H226&gt;-1,"Not Functioning"))))</f>
        <v/>
      </c>
    </row>
    <row r="227" spans="1:9" ht="15.75" x14ac:dyDescent="0.25">
      <c r="A227" s="541"/>
      <c r="B227" s="486"/>
      <c r="C227" s="289" t="s">
        <v>129</v>
      </c>
      <c r="D227" s="145"/>
      <c r="E227" s="143"/>
      <c r="F227" s="291" t="str">
        <f>IF(E227="","",   IF(E227&gt;3.22,0, IF(E227&lt;0, "", ROUND('Reference Curves'!$C$44*E227+'Reference Curves'!$C$45,2))))</f>
        <v/>
      </c>
      <c r="G227" s="503"/>
      <c r="H227" s="502"/>
      <c r="I227" s="505"/>
    </row>
    <row r="228" spans="1:9" ht="15.6" customHeight="1" x14ac:dyDescent="0.25">
      <c r="A228" s="541"/>
      <c r="B228" s="290" t="s">
        <v>140</v>
      </c>
      <c r="C228" s="543" t="s">
        <v>237</v>
      </c>
      <c r="D228" s="544"/>
      <c r="E228" s="144"/>
      <c r="F228" s="291" t="str">
        <f>IF(E228="","",IF(OR(E228&gt;=2,E228&lt;=0.26),0,IF(AND(E228&gt;=0.9,E228&lt;=1.1),1,ROUND(IF(E228&lt;0.9,'Reference Curves'!$C$75*E228+'Reference Curves'!$C$76,'Reference Curves'!$D$75*E228+'Reference Curves'!$D$76),2))))</f>
        <v/>
      </c>
      <c r="G228" s="364" t="str">
        <f>IFERROR(F228,"")</f>
        <v/>
      </c>
      <c r="H228" s="502"/>
      <c r="I228" s="505"/>
    </row>
    <row r="229" spans="1:9" ht="15.75" x14ac:dyDescent="0.25">
      <c r="A229" s="541"/>
      <c r="B229" s="485" t="s">
        <v>5</v>
      </c>
      <c r="C229" s="145" t="s">
        <v>6</v>
      </c>
      <c r="D229" s="145"/>
      <c r="E229" s="140"/>
      <c r="F229" s="336" t="str">
        <f>IF(E229="","",ROUND(IF(E229&gt;1.71,0,IF(E229&lt;=1,1,E229*'Reference Curves'!C$107+'Reference Curves'!C$108)),2))</f>
        <v/>
      </c>
      <c r="G229" s="501" t="str">
        <f>IFERROR(AVERAGE(F229:F230),"")</f>
        <v/>
      </c>
      <c r="H229" s="502"/>
      <c r="I229" s="505"/>
    </row>
    <row r="230" spans="1:9" ht="15.6" customHeight="1" x14ac:dyDescent="0.25">
      <c r="A230" s="542"/>
      <c r="B230" s="486"/>
      <c r="C230" s="146" t="s">
        <v>7</v>
      </c>
      <c r="D230" s="146"/>
      <c r="E230" s="143"/>
      <c r="F230" s="147" t="str">
        <f>IF(E230="","",IF(OR('Quantification Tool'!$B$9="A",'Quantification Tool'!$B$9="Ba",'Quantification Tool'!$B$9="B", 'Quantification Tool'!$B$9="Bc"),IF(E230&lt;1.05,0,IF(E230&gt;=2.2,1,ROUND(IF(E230&lt;1.4,E230*'Reference Curves'!$C$176+'Reference Curves'!$C$177,E230*'Reference Curves'!$D$176+'Reference Curves'!$D$177),2))),IF(OR('Quantification Tool'!$B$9="C",'Quantification Tool'!$B$9="Cb",'Quantification Tool'!$B$9="E"),IF(E230&lt;1.7,0,IF(E230&gt;=5,1,ROUND(IF(E230&lt;2.4,E230*'Reference Curves'!$D$141+'Reference Curves'!$D$142,E230*'Reference Curves'!$C$141+'Reference Curves'!$C$142),2))))))</f>
        <v/>
      </c>
      <c r="G230" s="503"/>
      <c r="H230" s="503"/>
      <c r="I230" s="506"/>
    </row>
    <row r="231" spans="1:9" ht="15.75" x14ac:dyDescent="0.25">
      <c r="A231" s="465" t="s">
        <v>20</v>
      </c>
      <c r="B231" s="465" t="s">
        <v>21</v>
      </c>
      <c r="C231" s="34" t="s">
        <v>19</v>
      </c>
      <c r="D231" s="148"/>
      <c r="E231" s="142"/>
      <c r="F231" s="149" t="str">
        <f>IF(E231="","",IF(E231&gt;=660,1,IF(E231&lt;=430,ROUND('Reference Curves'!$K$14*E231+'Reference Curves'!$K$15,2),ROUND('Reference Curves'!$L$14*E231+'Reference Curves'!$L$15,2))))</f>
        <v/>
      </c>
      <c r="G231" s="455" t="str">
        <f>IFERROR(AVERAGE(F231:F232),"")</f>
        <v/>
      </c>
      <c r="H231" s="455" t="str">
        <f>IFERROR(ROUND(AVERAGE(G231:G246),2),"")</f>
        <v/>
      </c>
      <c r="I231" s="458" t="str">
        <f>IF(H231="","",IF(H231&gt;0.69,"Functioning",IF(H231&gt;0.29,"Functioning At Risk",IF(H231&gt;-1,"Not Functioning"))))</f>
        <v/>
      </c>
    </row>
    <row r="232" spans="1:9" ht="15.75" x14ac:dyDescent="0.25">
      <c r="A232" s="462"/>
      <c r="B232" s="463"/>
      <c r="C232" s="279" t="s">
        <v>346</v>
      </c>
      <c r="D232" s="151"/>
      <c r="E232" s="140"/>
      <c r="F232" s="337" t="str">
        <f>IF(E232="","",IF(E232&gt;=28,1,ROUND(IF(E232&lt;=13,'Reference Curves'!$K$47*E232,'Reference Curves'!$L$47*E232+'Reference Curves'!$L$48),2)))</f>
        <v/>
      </c>
      <c r="G232" s="457"/>
      <c r="H232" s="456"/>
      <c r="I232" s="459"/>
    </row>
    <row r="233" spans="1:9" ht="15.75" x14ac:dyDescent="0.25">
      <c r="A233" s="462"/>
      <c r="B233" s="461" t="s">
        <v>402</v>
      </c>
      <c r="C233" s="148" t="s">
        <v>250</v>
      </c>
      <c r="D233" s="277"/>
      <c r="E233" s="142"/>
      <c r="F233" s="385" t="str">
        <f>IF(E233="","",ROUND(IF(E233&lt;=2,0,IF(E233&gt;=9,1,E233^3*'Reference Curves'!K$81+E233^2*'Reference Curves'!$K$82+E233*'Reference Curves'!$K$83+'Reference Curves'!$K$84)),2))</f>
        <v/>
      </c>
      <c r="G233" s="455" t="str">
        <f>IFERROR(AVERAGE(F233:F236),"")</f>
        <v/>
      </c>
      <c r="H233" s="456"/>
      <c r="I233" s="459"/>
    </row>
    <row r="234" spans="1:9" ht="15.75" x14ac:dyDescent="0.25">
      <c r="A234" s="462"/>
      <c r="B234" s="462"/>
      <c r="C234" s="151" t="s">
        <v>43</v>
      </c>
      <c r="D234" s="151"/>
      <c r="E234" s="140"/>
      <c r="F234" s="339" t="str">
        <f>IF(E234="","",IF(OR(E234="Ex/Ex",E234="Ex/VH",E234="Ex/H",E234="Ex/M",E234="VH/Ex",E234="VH/VH", E234="H/Ex",E234="H/VH"),0, IF(OR(E234="M/Ex"),0.1,IF(OR(E234="VH/H",E234="VH/M",E234="H/H",E234="H/M", E234="M/VH"),0.2, IF(OR(E234="Ex/VL",E234="Ex/L", E234="M/H"),0.3, IF(OR(E234="VH/L",E234="H/L"),0.4, IF(OR(E234="VH/VL",E234="H/VL",E234="M/M"),0.5, IF(OR(E234="M/L",E234="L/Ex"),0.6, IF(OR(E234="M/VL",E234="L/VH", E234="L/H",E234="L/M",E234="L/L",E234="L/VL"),1)))))))))</f>
        <v/>
      </c>
      <c r="G234" s="456"/>
      <c r="H234" s="456"/>
      <c r="I234" s="459"/>
    </row>
    <row r="235" spans="1:9" ht="15.75" x14ac:dyDescent="0.25">
      <c r="A235" s="462"/>
      <c r="B235" s="462"/>
      <c r="C235" s="368" t="s">
        <v>87</v>
      </c>
      <c r="D235" s="368"/>
      <c r="E235" s="140"/>
      <c r="F235" s="339" t="str">
        <f>IF(E235="","",ROUND(IF(E235&gt;=75,0,IF(E235&lt;=5,1,IF(E235&gt;10,E235*'Reference Curves'!K$115+'Reference Curves'!K$116,'Reference Curves'!$L$115*E235+'Reference Curves'!$L$116))),2))</f>
        <v/>
      </c>
      <c r="G235" s="456"/>
      <c r="H235" s="456"/>
      <c r="I235" s="459"/>
    </row>
    <row r="236" spans="1:9" s="317" customFormat="1" ht="15.75" x14ac:dyDescent="0.25">
      <c r="A236" s="462"/>
      <c r="B236" s="463"/>
      <c r="C236" s="371" t="s">
        <v>401</v>
      </c>
      <c r="D236" s="278"/>
      <c r="E236" s="143"/>
      <c r="F236" s="386" t="str">
        <f>IF(E236="","",IF(E236&gt;=30,0,ROUND(E236*'Reference Curves'!$K$146+'Reference Curves'!$K$147,2)))</f>
        <v/>
      </c>
      <c r="G236" s="457"/>
      <c r="H236" s="456"/>
      <c r="I236" s="459"/>
    </row>
    <row r="237" spans="1:9" ht="15.75" x14ac:dyDescent="0.25">
      <c r="A237" s="462"/>
      <c r="B237" s="361" t="s">
        <v>105</v>
      </c>
      <c r="C237" s="33" t="s">
        <v>130</v>
      </c>
      <c r="D237" s="151"/>
      <c r="E237" s="143"/>
      <c r="F237" s="332" t="str">
        <f>IF(OR(E237="",'Quantification Tool'!$B$13=""),"",IF(OR('Quantification Tool'!$B$13="Silt/Clay",'Quantification Tool'!$B$13="Sand",'Quantification Tool'!$B$13="Boulders",'Quantification Tool'!$B$13="Bedrock"),"NA",IF(E237&gt;0.1,1,IF(E237&lt;=0.01,0,ROUND(E237*'Reference Curves'!$K$177+'Reference Curves'!$K$178,2)))))</f>
        <v/>
      </c>
      <c r="G237" s="153" t="str">
        <f>IFERROR(AVERAGE(F237),"")</f>
        <v/>
      </c>
      <c r="H237" s="456"/>
      <c r="I237" s="459"/>
    </row>
    <row r="238" spans="1:9" ht="15.75" x14ac:dyDescent="0.25">
      <c r="A238" s="462"/>
      <c r="B238" s="465" t="s">
        <v>45</v>
      </c>
      <c r="C238" s="148" t="s">
        <v>46</v>
      </c>
      <c r="D238" s="148"/>
      <c r="E238" s="142"/>
      <c r="F238" s="155" t="str">
        <f>IF(E238="","",IF('Quantification Tool'!$B$9="Bc",IF(OR(E238&gt;=12,E238&lt;=0.1),0,IF(E238&lt;=3.4,1,ROUND('Reference Curves'!$K$310*E238+'Reference Curves'!$K$311,2))),  IF(OR('Quantification Tool'!$B$9="B",'Quantification Tool'!$B$9="Ba"),IF(OR(E238&gt;=7.5,E238&lt;=0.1),0,IF(E238&lt;=3,1,ROUND(IF(E238&gt;4,'Reference Curves'!$K$279*E238+'Reference Curves'!$K$280,'Reference Curves'!$L$279*E238+'Reference Curves'!$L$280),2))),  IF('Quantification Tool'!$B$9="Cb",IF(OR(E238&gt;=8.35,E238&lt;1.4),0,IF(AND(E238&gt;=3.7,E238&lt;=5),1,ROUND(IF(E238&lt;3.7,'Reference Curves'!$K$247*E238+'Reference Curves'!$K$248,'Reference Curves'!$L$247*E238+'Reference Curves'!$L$248),2))),  IF('Quantification Tool'!$B$9="C",IF(OR(E238&gt;9.3,E238&lt;=3),0,IF(AND(E238&gt;=4,E238&lt;=6),1,ROUND(IF(E238&lt;4,'Reference Curves'!$K$213*E238+'Reference Curves'!$K$214,'Reference Curves'!$L$213*E238+'Reference Curves'!$L$214),2))),  IF('Quantification Tool'!$B$9="E",IF(OR(E238&gt;8.2,E238&lt;1.85),0,IF(AND(E238&gt;=3.5,E238&lt;=5),1,ROUND(IF(E238&lt;3.5,'Reference Curves'!$K$343*E238+'Reference Curves'!$K$344,'Reference Curves'!$L$343*E238+'Reference Curves'!$L$344),2)))      ))))))</f>
        <v/>
      </c>
      <c r="G238" s="480" t="str">
        <f>IFERROR(AVERAGE(F238:F241),"")</f>
        <v/>
      </c>
      <c r="H238" s="456"/>
      <c r="I238" s="459"/>
    </row>
    <row r="239" spans="1:9" ht="15.75" x14ac:dyDescent="0.25">
      <c r="A239" s="462"/>
      <c r="B239" s="462"/>
      <c r="C239" s="151" t="s">
        <v>47</v>
      </c>
      <c r="D239" s="151"/>
      <c r="E239" s="140"/>
      <c r="F239" s="156" t="str">
        <f>IF(E239="","",IF(E239&lt;=1,0,IF(E239&gt;=3.2,1,IF(E239&gt;=2.2,ROUND('Reference Curves'!$L$375*E239+'Reference Curves'!$L$376,2),(ROUND('Reference Curves'!$K$375*E239+'Reference Curves'!$K$376,2))))))</f>
        <v/>
      </c>
      <c r="G239" s="464"/>
      <c r="H239" s="456"/>
      <c r="I239" s="459"/>
    </row>
    <row r="240" spans="1:9" ht="15.75" x14ac:dyDescent="0.25">
      <c r="A240" s="462"/>
      <c r="B240" s="462"/>
      <c r="C240" s="31" t="s">
        <v>356</v>
      </c>
      <c r="D240" s="151"/>
      <c r="E240" s="140"/>
      <c r="F240" s="362" t="str">
        <f>IF(E240="","",IF('Quantification Tool'!$B$11="Volcanic Mountains &amp; Valleys", IF(OR(E240&gt;86.65,E240&lt;33),0,IF(AND(E240&gt;=73,E240&lt;=80),1, ROUND(IF(E240&lt;73,'Reference Curves'!$K$408*E240+'Reference Curves'!$K$409, 'Reference Curves'!$L$408*E240+'Reference Curves'!$L$409),2))), IF('Quantification Tool'!B$16="","Need Slope",IF('Quantification Tool'!B$16&lt;3,IF( OR(E240&gt;=91,E240&lt;=13.5),0, IF(AND(E240&gt;49,E240&lt;61), 1, ROUND(IF(E240&lt;50,'Reference Curves'!$K$441*E240+'Reference Curves'!$K$442, IF(E240&gt;60,'Reference Curves'!$L$441*E240+'Reference Curves'!$L$442)),2))), IF('Quantification Tool'!B$16&gt;=3,IF(OR(E240&gt;94.5,E240&lt;41.5),0, IF(AND(E240 &gt;=68, E240&lt;=78),1, ROUND(IF(E240&lt;68,'Reference Curves'!$K$475*E240+'Reference Curves'!$K$476,'Reference Curves'!$L$475*E240+'Reference Curves'!$L$476),2) )))))))</f>
        <v/>
      </c>
      <c r="G240" s="464"/>
      <c r="H240" s="456"/>
      <c r="I240" s="459"/>
    </row>
    <row r="241" spans="1:11" ht="15.75" x14ac:dyDescent="0.25">
      <c r="A241" s="462"/>
      <c r="B241" s="463"/>
      <c r="C241" s="150" t="s">
        <v>213</v>
      </c>
      <c r="D241" s="150"/>
      <c r="E241" s="143"/>
      <c r="F241" s="360" t="str">
        <f>IF(E241="","",IF(E241&gt;=1.6,0,IF(E241&lt;=1,1,ROUND('Reference Curves'!$K$506*E241^3+'Reference Curves'!$K$507*E241^2+'Reference Curves'!$K$508*E241+'Reference Curves'!$K$509,2))))</f>
        <v/>
      </c>
      <c r="G241" s="481"/>
      <c r="H241" s="456"/>
      <c r="I241" s="459"/>
    </row>
    <row r="242" spans="1:11" ht="15.75" x14ac:dyDescent="0.25">
      <c r="A242" s="462"/>
      <c r="B242" s="361" t="s">
        <v>49</v>
      </c>
      <c r="C242" s="151" t="s">
        <v>48</v>
      </c>
      <c r="D242" s="151"/>
      <c r="E242" s="140"/>
      <c r="F242" s="341" t="str">
        <f>IF(E242="","",IF('Quantification Tool'!B$9="E",IF(OR(E242&gt;2.14,E242&lt;1.13),0, IF(AND(E242&gt;=1.3, E242&lt;=1.8),1, ROUND(IF(E242&lt;1.3,E242*'Reference Curves'!K$542+'Reference Curves'!K$543, E242*'Reference Curves'!L$542+'Reference Curves'!$L$543),2))),    IF('Quantification Tool'!$B$21="Unconfined Alluvial",IF(OR(E242&lt;1.12, E242&gt;1.67),0, IF(AND(E242&lt;=1.5,E242&gt;=1.2),1,ROUND(IF(E242&lt;1.2,E242*'Reference Curves'!$K$575+'Reference Curves'!$K$576, E242*'Reference Curves'!$L$575+'Reference Curves'!$L$576),2))),  IF('Quantification Tool'!$B$21="Confined Alluvial",IF(E242&lt;=1,0, IF(E242&gt;=1.2,1, ROUND(E242*'Reference Curves'!$K$604+'Reference Curves'!$K$605,2))),    IF('Quantification Tool'!$B$21="Colluvial/V-Shaped",IF(OR(E242&lt;1, E242&gt;1.47),0, IF(AND(E242&lt;=1.3,E242&gt;=1.1),1,ROUND(IF(E242&lt;1.1,E242*'Reference Curves'!$K$637+'Reference Curves'!$K$638, E242*'Reference Curves'!$L$637+'Reference Curves'!$L$638),2)))  )))))</f>
        <v/>
      </c>
      <c r="G242" s="156" t="str">
        <f>IFERROR(AVERAGE(F242),"")</f>
        <v/>
      </c>
      <c r="H242" s="456"/>
      <c r="I242" s="459"/>
    </row>
    <row r="243" spans="1:11" ht="15.75" x14ac:dyDescent="0.25">
      <c r="A243" s="462"/>
      <c r="B243" s="465" t="s">
        <v>44</v>
      </c>
      <c r="C243" s="32" t="s">
        <v>344</v>
      </c>
      <c r="D243" s="148"/>
      <c r="E243" s="142"/>
      <c r="F243" s="365" t="str">
        <f>IF(E243="","",IF('Quantification Tool'!$B$21="Unconfined Alluvial",IF(E243&gt;=100,1,IF(E243&lt;30,0,ROUND('Reference Curves'!$K$668*E243+'Reference Curves'!$K$669,2))),IF(OR('Quantification Tool'!$B$21="Confined Alluvial",'Quantification Tool'!$B$21="Colluvial/V-Shaped"),(IF(E243&gt;=100,1,IF(E243&lt;60,0,ROUND('Reference Curves'!$L$668*E243+'Reference Curves'!$L$669,2)))))))</f>
        <v/>
      </c>
      <c r="G243" s="480" t="str">
        <f>IFERROR(AVERAGE(F243:F246),"")</f>
        <v/>
      </c>
      <c r="H243" s="456"/>
      <c r="I243" s="459"/>
    </row>
    <row r="244" spans="1:11" ht="15.75" x14ac:dyDescent="0.25">
      <c r="A244" s="462"/>
      <c r="B244" s="462"/>
      <c r="C244" s="279" t="s">
        <v>390</v>
      </c>
      <c r="D244" s="151"/>
      <c r="E244" s="140"/>
      <c r="F244" s="156" t="str">
        <f>IF(E244="","",  IF(OR('Quantification Tool'!$B$10="Mountains",'Quantification Tool'!$B$10="Basins"),IF(E244&lt;=0,0, IF(E244&gt;=122,1,ROUND('Reference Curves'!$K$700*E244^2+'Reference Curves'!$K$701*E244+'Reference Curves'!$K$702,2))),   IF('Quantification Tool'!$B$10="Plains",IF(OR(E244&lt;=0,E244&gt;114),0, IF(AND(E244&lt;=69,E244&gt;=59),1, IF(E244&lt;59, ROUND(E244*'Reference Curves'!$K$735+'Reference Curves'!$K$736,2), ROUND(E244*'Reference Curves'!$L$735+'Reference Curves'!$L$736,2) )) ))))</f>
        <v/>
      </c>
      <c r="G244" s="464"/>
      <c r="H244" s="456"/>
      <c r="I244" s="459"/>
    </row>
    <row r="245" spans="1:11" ht="15.75" x14ac:dyDescent="0.25">
      <c r="A245" s="462"/>
      <c r="B245" s="466"/>
      <c r="C245" s="279" t="s">
        <v>391</v>
      </c>
      <c r="D245" s="151"/>
      <c r="E245" s="140"/>
      <c r="F245" s="156" t="str">
        <f>IF(E245="","",IF('Quantification Tool'!$B$19="Herbaceous", IF(E245&lt;=30,0,IF(E245&gt;=117,1, ROUND(E245*'Reference Curves'!$L$767+'Reference Curves'!$L$768,2))),  IF(E245&lt;=0,0, IF(E245&gt;=77,1, ROUND(E245*'Reference Curves'!$K$767+'Reference Curves'!$K$768,2)))  ))</f>
        <v/>
      </c>
      <c r="G245" s="464"/>
      <c r="H245" s="456"/>
      <c r="I245" s="459"/>
    </row>
    <row r="246" spans="1:11" s="317" customFormat="1" ht="15.75" x14ac:dyDescent="0.25">
      <c r="A246" s="463"/>
      <c r="B246" s="463"/>
      <c r="C246" s="467" t="s">
        <v>400</v>
      </c>
      <c r="D246" s="467"/>
      <c r="E246" s="143"/>
      <c r="F246" s="384" t="str">
        <f>IF(E246="","",IF(E246&lt;=46,0,IF(E246&gt;=100,1,IF(E246&lt;=91,ROUND(E246*'Reference Curves'!$L$799+'Reference Curves'!$L$800,2),ROUND(E246*'Reference Curves'!$K$799+'Reference Curves'!$K$800,2)))))</f>
        <v/>
      </c>
      <c r="G246" s="481"/>
      <c r="H246" s="457"/>
      <c r="I246" s="460"/>
    </row>
    <row r="247" spans="1:11" ht="15.75" x14ac:dyDescent="0.25">
      <c r="A247" s="496" t="s">
        <v>53</v>
      </c>
      <c r="B247" s="313" t="s">
        <v>80</v>
      </c>
      <c r="C247" s="60" t="s">
        <v>347</v>
      </c>
      <c r="D247" s="292"/>
      <c r="E247" s="140"/>
      <c r="F247" s="357" t="str">
        <f>IF(E247="","",IF('Quantification Tool'!$B$18="","Enter Stream Temperature",IF('Quantification Tool'!$B$18="Tier I (Cold) ",IF(E247&gt;=20.1,0,IF(E247&lt;=13.5,1,ROUND(E247*'Reference Curves'!$S$18+'Reference Curves'!$S$19,2))),IF('Quantification Tool'!$B$18="Tier II (Cold-Cool)",IF(E247&gt;=20.5,0,IF(E247&lt;=16.5,1,ROUND(E247*'Reference Curves'!$T$18+'Reference Curves'!$T$19,2))),IF('Quantification Tool'!$B$18="Tier III (Cool) ",IF(E247&gt;=23.6,0,IF(E247&lt;=18.3,1,ROUND(E247*'Reference Curves'!$U$18+'Reference Curves'!$U$19,2))),IF('Quantification Tool'!$B$18="Tier IV (Cool-Warm)",IF(E247&gt;=27.2,0,IF(E247&lt;=23.2,1,ROUND(E247*'Reference Curves'!$V$18+'Reference Curves'!$V$19,2))),IF('Quantification Tool'!$B$18="Tier V (Warm)",IF(E247&gt;=30.3,0,IF(E247&lt;=26,1,ROUND(E247*'Reference Curves'!$W$18+'Reference Curves'!$W$19,2))))))))))</f>
        <v/>
      </c>
      <c r="G247" s="309" t="str">
        <f>IF(F247="","", ROUND(AVERAGE(F247),2))</f>
        <v/>
      </c>
      <c r="H247" s="478" t="str">
        <f>IFERROR(ROUND(AVERAGE(G247:G248),2),"")</f>
        <v/>
      </c>
      <c r="I247" s="473" t="str">
        <f>IF(H247="","",IF(H247&gt;0.69,"Functioning",IF(H247&gt;0.29,"Functioning At Risk",IF(H247&gt;-1,"Not Functioning"))))</f>
        <v/>
      </c>
    </row>
    <row r="248" spans="1:11" ht="15.75" x14ac:dyDescent="0.25">
      <c r="A248" s="497"/>
      <c r="B248" s="363" t="s">
        <v>249</v>
      </c>
      <c r="C248" s="35" t="s">
        <v>357</v>
      </c>
      <c r="D248" s="160"/>
      <c r="E248" s="106"/>
      <c r="F248" s="161" t="str">
        <f>IF(E248="","",IF(OR('Quantification Tool'!$B$10="Basins",'Quantification Tool'!$B$10="Plains"),IF(E248&gt;=150,0,IF(E248&lt;16,1,ROUND('Reference Curves'!$S$53*LN(E248)+'Reference Curves'!$S$54,2))),IF(E248&gt;=97,0,IF(E248&lt;=13,1,ROUND('Reference Curves'!$T$53*LN(E248)+'Reference Curves'!$T$54,2)))))</f>
        <v/>
      </c>
      <c r="G248" s="162" t="str">
        <f>IFERROR(AVERAGE(F248),"")</f>
        <v/>
      </c>
      <c r="H248" s="479"/>
      <c r="I248" s="473"/>
    </row>
    <row r="249" spans="1:11" ht="15.75" x14ac:dyDescent="0.25">
      <c r="A249" s="508" t="s">
        <v>54</v>
      </c>
      <c r="B249" s="511" t="s">
        <v>189</v>
      </c>
      <c r="C249" s="163" t="s">
        <v>186</v>
      </c>
      <c r="D249" s="164"/>
      <c r="E249" s="142"/>
      <c r="F249" s="165" t="str">
        <f>IF(E249="","",IF('Quantification Tool'!$B$11="","Enter Bioregion",IF('Quantification Tool'!$B$11="Wyoming Basin",IF(E249&lt;=5.3,0,IF(E249&gt;=64.5,1,ROUND(IF(E249&lt;26.2,'Reference Curves'!$AB$17*E249+'Reference Curves'!$AB$18,IF(E249&lt;39.9, 'Reference Curves'!$AC$17*E249+'Reference Curves'!$AC$18,'Reference Curves'!$AD$17*E249+'Reference Curves'!$AD$18)),2))), IF('Quantification Tool'!$B$11="Black Hills",IF(E249&lt;=12.8,0,IF(E249&gt;=65.7,1,ROUND(IF(E249&lt;30.7,'Reference Curves'!$AE$17*E249+'Reference Curves'!$AE$18,IF(E249&lt;46.1,'Reference Curves'!$AF$17*E249+'Reference Curves'!$AF$18,'Reference Curves'!$AG$17*E249+'Reference Curves'!$AG$18)),2))), IF('Quantification Tool'!$B$11="High Valleys",IF(E249&lt;=17.1,0,IF(E249&gt;=78.2,1,ROUND(IF(E249&lt;48.8,'Reference Curves'!$AH$17*E249+'Reference Curves'!$AH$18,'Reference Curves'!$AI$17*E249+'Reference Curves'!$AI$18),2))),     IF('Quantification Tool'!$B$11="Southern Rockies",IF(E249&lt;=5.1,0,IF(E249&gt;=82.2,1,ROUND(IF(E249&lt;32.6, 'Reference Curves'!$AB$54*E249+'Reference Curves'!$AB$55, IF(E249&lt;48.8, 'Reference Curves'!$AC$54*E249+'Reference Curves'!$AC$55,  'Reference Curves'!$AD$54*E249+'Reference Curves'!$AD$55)), 2))), IF('Quantification Tool'!$B$11="SE Plains",IF(E249&lt;=10.4,0,IF(E249&gt;=87,1,ROUND(IF(E249&lt;36.7,'Reference Curves'!$AE$54*E249+'Reference Curves'!$AE$55, IF(E249&lt;55.1, 'Reference Curves'!$AF$54*E249+'Reference Curves'!$AF$55, 'Reference Curves'!$AG$54*E249+'Reference Curves'!$AG$55)),2))),   IF('Quantification Tool'!$B$11="NE Plains",IF(E249&lt;=1.6,0,IF(E249&gt;=95.8,1,ROUND(IF(E249&lt;38.9,'Reference Curves'!$AH$54*E249+'Reference Curves'!$AH$55, IF(E249&lt;58.4, 'Reference Curves'!$AI$54*E249+'Reference Curves'!$AI$55, 'Reference Curves'!$AJ$54*E249+'Reference Curves'!$AJ$55)),2))),      IF('Quantification Tool'!$B$11="Granitic Mountains",IF(E249&lt;=32.6,0,IF(E249&gt;=74.9,1,ROUND(IF(E249&lt;40.2, 'Reference Curves'!$AB$92*E249+'Reference Curves'!$AB$93, 'Reference Curves'!$AC$92*E249+'Reference Curves'!$AC$93),2))), IF('Quantification Tool'!$B$11="Volcanic Mountains &amp; Valleys",IF(E249&lt;=26,0,IF(E249&gt;=88.1,1,ROUND('Reference Curves'!$AF$92*E249+'Reference Curves'!$AF$93,2))), IF('Quantification Tool'!$B$11="Southern Foothills &amp; Laramie Range",IF(E249&lt;=30.7,0,IF(E249&gt;=85,1,ROUND(IF(E249&lt;44.5, 'Reference Curves'!$AD$92*E249+'Reference Curves'!$AD$93,  'Reference Curves'!$AE$92*E249+'Reference Curves'!$AE$93 ),2))),     IF('Quantification Tool'!$B$11="Sedimentary Mountains",IF(E249&lt;=17,0,IF(E249&gt;=70,1,ROUND('Reference Curves'!$AB$127*E249+'Reference Curves'!$AB$128,2))), IF('Quantification Tool'!$B$11="Bighorn Basin Foothills",IF(E249&lt;=3.9,0,IF(E249&gt;=80,1,ROUND(IF(E249&lt;40.6,'Reference Curves'!$AC$127*E249+'Reference Curves'!$AC$128,'Reference Curves'!$AD$127*E249+'Reference Curves'!$AD$128),2)))  )))))))))))))</f>
        <v/>
      </c>
      <c r="G249" s="474" t="str">
        <f>IFERROR(IF(AND(F249="",F250=""),"",IF(OR(F249="",F250=""),AVERAGE(F249:F250),IF(OR(F249&lt;0.3,F250&lt;0.3),IF(OR(F249&gt;=0.7,F250&gt;=0.7),MIN(0.69,AVERAGE(F249:F250)),MIN(0.29,AVERAGE(F249:F250))), IF(OR(F249&gt;=0.7,F250&gt;=0.7),IF(AVERAGE(F249:F250)&lt;0.7,0.7,AVERAGE(F249:F250)),AVERAGE(F249:F250))))),"")</f>
        <v/>
      </c>
      <c r="H249" s="476" t="str">
        <f>IFERROR(ROUND(AVERAGE(G249:G253),2),"")</f>
        <v/>
      </c>
      <c r="I249" s="473" t="str">
        <f>IF(H249="","",IF(H249&gt;0.69,"Functioning",IF(H249&gt;0.29,"Functioning At Risk",IF(H249&gt;-1,"Not Functioning"))))</f>
        <v/>
      </c>
    </row>
    <row r="250" spans="1:11" ht="15.75" x14ac:dyDescent="0.25">
      <c r="A250" s="509"/>
      <c r="B250" s="513"/>
      <c r="C250" s="166" t="s">
        <v>187</v>
      </c>
      <c r="D250" s="167"/>
      <c r="E250" s="143"/>
      <c r="F250" s="168" t="str">
        <f>IF(E250="","",IF('Quantification Tool'!$B$11="","Enter Bioregion",IF('Quantification Tool'!$B$11="Wyoming Basin",IF(E250&lt;0.15,0,IF(E250&gt;1.18,1,ROUND(IF(E250&lt;0.64,'Reference Curves'!$AB$166*E250+'Reference Curves'!$AB$167, IF(E250&lt;0.82, 'Reference Curves'!$AC$166*E250+'Reference Curves'!$AC$167, 'Reference Curves'!$AD$166*E250+'Reference Curves'!$AD$167) ),2))), IF('Quantification Tool'!$B$11="Black Hills",IF(E250&lt;=0.37,0,IF(E250&gt;1.08,1,ROUND('Reference Curves'!$AE$166*E250+'Reference Curves'!$AE$167,2))), IF('Quantification Tool'!$B$11="High Valleys",IF(E250&lt;0.42,0,IF(E250&gt;1.14,1,ROUND(IF(E250&lt;0.68, 'Reference Curves'!$AF$166*E250+'Reference Curves'!$AF$167, IF(E250&lt;0.86, 'Reference Curves'!$AG$166*E250+'Reference Curves'!$AG$167, 'Reference Curves'!$AH$166*E250+'Reference Curves'!$AH$167)),2))), IF('Quantification Tool'!$B$11="Sedimentary Mountains",IF(E250&lt;0.42,0,IF(E250&gt;1.17,1,ROUND(IF(E250&lt;0.68, 'Reference Curves'!$AI$166*E250+'Reference Curves'!$AI$167, IF(E250&lt;0.82, 'Reference Curves'!$AJ$166*E250+'Reference Curves'!$AJ$167, 'Reference Curves'!$AK$166*E250+'Reference Curves'!$AK$167) ),2))),        IF('Quantification Tool'!$B$11="Southern Rockies",IF(E250&lt;0.27,0,IF(E250&gt;=1.18,1,ROUND(IF(E250&lt;0.62, 'Reference Curves'!$AB$204*E250+'Reference Curves'!$AB$205, IF(E250&lt;0.89, 'Reference Curves'!$AC$204*E250+'Reference Curves'!$AC$205, 'Reference Curves'!$AD$204*E250+'Reference Curves'!$AD$205) ),2))), IF('Quantification Tool'!$B$11="SE Plains",IF(E250&lt;0.34,0,IF(E250&gt;1.12,1,ROUND(IF(E250&lt;0.78, 'Reference Curves'!$AE$204*E250+'Reference Curves'!$AE$205, 'Reference Curves'!$AF$204*E250+'Reference Curves'!$AF$205),2))), IF('Quantification Tool'!$B$11="NE Plains",IF(E250&lt;0.11,0,IF(E250&gt;=0.98,1,ROUND(IF(E250&lt;0.52, 'Reference Curves'!$AG$204*E250+'Reference Curves'!$AG$205,'Reference Curves'!$AH$204*E250+'Reference Curves'!$AH$205 ),2))),    IF('Quantification Tool'!$B$11="Granitic Mountains",IF(E250&lt;=0.59,0,IF(E250&gt;=1.09,1,ROUND(IF(E250&lt;0.65, 'Reference Curves'!$AB$242*E250+'Reference Curves'!$AB$243, 'Reference Curves'!$AC$242*E250+'Reference Curves'!$AC$243),2))),IF('Quantification Tool'!$B$11="Bighorn Basin Foothills",IF(E250&lt;=0.41,0,IF(E250&gt;=0.92,1,ROUND(IF(E250&lt;0.84, 'Reference Curves'!$AD$242*E250+'Reference Curves'!$AD$243,  'Reference Curves'!$AE$242*E250+'Reference Curves'!$AE$243),2))),IF('Quantification Tool'!$B$11="Volcanic Mountains &amp; Valleys",IF(E250&lt;=0.21,0,IF(E250&gt;=1.21,1,ROUND(IF(E250&lt;0.65, 'Reference Curves'!$AI$242*E250+'Reference Curves'!$AI$243, IF(E250&lt;0.86,  'Reference Curves'!$AJ$242*E250+'Reference Curves'!$AJ$243,  'Reference Curves'!$AK$242*E250+'Reference Curves'!$AK$243)),2))), IF('Quantification Tool'!$B$11="Southern Foothills &amp; Laramie Range",IF(E250&lt;=0.29,0,IF(E250&gt;=1.2,1,ROUND(IF(E250&lt;0.68, 'Reference Curves'!$AF$242*E250+'Reference Curves'!$AF$243, IF(E250&lt;0.88,  'Reference Curves'!$AG$242*E250+'Reference Curves'!$AG$243, 'Reference Curves'!$AH$242*E250+'Reference Curves'!$AH$243)),2))) )))))))))))))</f>
        <v/>
      </c>
      <c r="G250" s="475"/>
      <c r="H250" s="476"/>
      <c r="I250" s="473"/>
    </row>
    <row r="251" spans="1:11" ht="15.75" x14ac:dyDescent="0.25">
      <c r="A251" s="509"/>
      <c r="B251" s="511" t="s">
        <v>75</v>
      </c>
      <c r="C251" s="58" t="s">
        <v>349</v>
      </c>
      <c r="D251" s="169"/>
      <c r="E251" s="142"/>
      <c r="F251" s="170" t="str">
        <f>IF(E251="","",IF(E251&lt;58,0,IF(E251&gt;=100,1,ROUND(E251*'Reference Curves'!$AB$280+'Reference Curves'!$AB$281,2))))</f>
        <v/>
      </c>
      <c r="G251" s="474" t="str">
        <f>IFERROR(AVERAGE(F251:F253),"")</f>
        <v/>
      </c>
      <c r="H251" s="476"/>
      <c r="I251" s="473"/>
      <c r="K251" s="5"/>
    </row>
    <row r="252" spans="1:11" ht="15.75" x14ac:dyDescent="0.25">
      <c r="A252" s="509"/>
      <c r="B252" s="512"/>
      <c r="C252" s="59" t="s">
        <v>350</v>
      </c>
      <c r="D252" s="171"/>
      <c r="E252" s="140"/>
      <c r="F252" s="170" t="str">
        <f>IF(E252="","",ROUND(IF(E252&gt;=3,0,IF(E252&gt;=2,0.3,IF(E252&gt;=1,0.69,1))),2))</f>
        <v/>
      </c>
      <c r="G252" s="477"/>
      <c r="H252" s="476"/>
      <c r="I252" s="473"/>
    </row>
    <row r="253" spans="1:11" ht="15.75" x14ac:dyDescent="0.25">
      <c r="A253" s="510"/>
      <c r="B253" s="513"/>
      <c r="C253" s="39" t="s">
        <v>351</v>
      </c>
      <c r="D253" s="172"/>
      <c r="E253" s="143"/>
      <c r="F253" s="168" t="str">
        <f>IF(E253="","",IF('Quantification Tool'!$B$20="","Enter Stream Producitvity Rating",IF('Quantification Tool'!$B$20="Blue Ribbon and non-trout",IF(E253&lt;5,0,IF(E253&gt;=40,1,ROUND(E253*'Reference Curves'!$AB$319+'Reference Curves'!$AB$320,2))),IF('Quantification Tool'!$B$20="Red Ribbon",IF(E253&lt;10,0,IF(E253&gt;=80,1,ROUND(E253*'Reference Curves'!$AC$319+'Reference Curves'!$AC$320,2))),IF(OR('Quantification Tool'!$B$20="Yellow Ribbon",'Quantification Tool'!$B$20="Green Ribbon"),IF(E253&lt;15,0,IF(E253&gt;=119,1,ROUND(E253*'Reference Curves'!$AD$319+'Reference Curves'!$AD$320,2)))   )))))</f>
        <v/>
      </c>
      <c r="G253" s="475"/>
      <c r="H253" s="476"/>
      <c r="I253" s="473"/>
    </row>
    <row r="254" spans="1:11" x14ac:dyDescent="0.25">
      <c r="J254" s="5"/>
    </row>
    <row r="255" spans="1:11" x14ac:dyDescent="0.25">
      <c r="J255" s="5"/>
    </row>
    <row r="256" spans="1:11" ht="21" x14ac:dyDescent="0.35">
      <c r="A256" s="47" t="s">
        <v>135</v>
      </c>
      <c r="B256" s="352"/>
      <c r="C256" s="355" t="s">
        <v>383</v>
      </c>
      <c r="D256" s="557"/>
      <c r="E256" s="558"/>
      <c r="F256" s="559"/>
      <c r="G256" s="554" t="s">
        <v>14</v>
      </c>
      <c r="H256" s="555"/>
      <c r="I256" s="556"/>
      <c r="J256" s="5"/>
    </row>
    <row r="257" spans="1:9" ht="15.75" x14ac:dyDescent="0.25">
      <c r="A257" s="53" t="s">
        <v>1</v>
      </c>
      <c r="B257" s="53" t="s">
        <v>2</v>
      </c>
      <c r="C257" s="327" t="s">
        <v>3</v>
      </c>
      <c r="D257" s="328"/>
      <c r="E257" s="53" t="s">
        <v>12</v>
      </c>
      <c r="F257" s="53" t="s">
        <v>13</v>
      </c>
      <c r="G257" s="53" t="s">
        <v>15</v>
      </c>
      <c r="H257" s="53" t="s">
        <v>16</v>
      </c>
      <c r="I257" s="413" t="s">
        <v>16</v>
      </c>
    </row>
    <row r="258" spans="1:9" ht="15.75" x14ac:dyDescent="0.25">
      <c r="A258" s="540" t="s">
        <v>345</v>
      </c>
      <c r="B258" s="485" t="s">
        <v>128</v>
      </c>
      <c r="C258" s="287" t="s">
        <v>341</v>
      </c>
      <c r="D258" s="288"/>
      <c r="E258" s="142"/>
      <c r="F258" s="335" t="str">
        <f>IF(E258="","",IF(E258&gt;=80,0,IF(E258&lt;=40,1,IF(E258&gt;=68,ROUND(E258*'Reference Curves'!$C$14+'Reference Curves'!$C$15,2),ROUND(E258*'Reference Curves'!$D$14+'Reference Curves'!$D$15,2)))))</f>
        <v/>
      </c>
      <c r="G258" s="501" t="str">
        <f>IFERROR(AVERAGE(F258:F259),"")</f>
        <v/>
      </c>
      <c r="H258" s="501" t="str">
        <f>IFERROR(ROUND(AVERAGE(G258:G262),2),"")</f>
        <v/>
      </c>
      <c r="I258" s="504" t="str">
        <f>IF(H258="","",IF(H258:H262&gt;0.69,"Functioning",IF(H258&gt;0.29,"Functioning At Risk",IF(H258&gt;-1,"Not Functioning"))))</f>
        <v/>
      </c>
    </row>
    <row r="259" spans="1:9" ht="15.75" x14ac:dyDescent="0.25">
      <c r="A259" s="541"/>
      <c r="B259" s="486"/>
      <c r="C259" s="289" t="s">
        <v>129</v>
      </c>
      <c r="D259" s="145"/>
      <c r="E259" s="143"/>
      <c r="F259" s="291" t="str">
        <f>IF(E259="","",   IF(E259&gt;3.22,0, IF(E259&lt;0, "", ROUND('Reference Curves'!$C$44*E259+'Reference Curves'!$C$45,2))))</f>
        <v/>
      </c>
      <c r="G259" s="503"/>
      <c r="H259" s="502"/>
      <c r="I259" s="505"/>
    </row>
    <row r="260" spans="1:9" ht="15.6" customHeight="1" x14ac:dyDescent="0.25">
      <c r="A260" s="541"/>
      <c r="B260" s="290" t="s">
        <v>140</v>
      </c>
      <c r="C260" s="543" t="s">
        <v>237</v>
      </c>
      <c r="D260" s="544"/>
      <c r="E260" s="144"/>
      <c r="F260" s="291" t="str">
        <f>IF(E260="","",IF(OR(E260&gt;=2,E260&lt;=0.26),0,IF(AND(E260&gt;=0.9,E260&lt;=1.1),1,ROUND(IF(E260&lt;0.9,'Reference Curves'!$C$75*E260+'Reference Curves'!$C$76,'Reference Curves'!$D$75*E260+'Reference Curves'!$D$76),2))))</f>
        <v/>
      </c>
      <c r="G260" s="364" t="str">
        <f>IFERROR(F260,"")</f>
        <v/>
      </c>
      <c r="H260" s="502"/>
      <c r="I260" s="505"/>
    </row>
    <row r="261" spans="1:9" ht="15.75" x14ac:dyDescent="0.25">
      <c r="A261" s="541"/>
      <c r="B261" s="485" t="s">
        <v>5</v>
      </c>
      <c r="C261" s="145" t="s">
        <v>6</v>
      </c>
      <c r="D261" s="145"/>
      <c r="E261" s="140"/>
      <c r="F261" s="336" t="str">
        <f>IF(E261="","",ROUND(IF(E261&gt;1.71,0,IF(E261&lt;=1,1,E261*'Reference Curves'!C$107+'Reference Curves'!C$108)),2))</f>
        <v/>
      </c>
      <c r="G261" s="501" t="str">
        <f>IFERROR(AVERAGE(F261:F262),"")</f>
        <v/>
      </c>
      <c r="H261" s="502"/>
      <c r="I261" s="505"/>
    </row>
    <row r="262" spans="1:9" ht="15.6" customHeight="1" x14ac:dyDescent="0.25">
      <c r="A262" s="542"/>
      <c r="B262" s="486"/>
      <c r="C262" s="146" t="s">
        <v>7</v>
      </c>
      <c r="D262" s="146"/>
      <c r="E262" s="143"/>
      <c r="F262" s="147" t="str">
        <f>IF(E262="","",IF(OR('Quantification Tool'!$B$9="A",'Quantification Tool'!$B$9="Ba",'Quantification Tool'!$B$9="B", 'Quantification Tool'!$B$9="Bc"),IF(E262&lt;1.05,0,IF(E262&gt;=2.2,1,ROUND(IF(E262&lt;1.4,E262*'Reference Curves'!$C$176+'Reference Curves'!$C$177,E262*'Reference Curves'!$D$176+'Reference Curves'!$D$177),2))),IF(OR('Quantification Tool'!$B$9="C",'Quantification Tool'!$B$9="Cb",'Quantification Tool'!$B$9="E"),IF(E262&lt;1.7,0,IF(E262&gt;=5,1,ROUND(IF(E262&lt;2.4,E262*'Reference Curves'!$D$141+'Reference Curves'!$D$142,E262*'Reference Curves'!$C$141+'Reference Curves'!$C$142),2))))))</f>
        <v/>
      </c>
      <c r="G262" s="503"/>
      <c r="H262" s="503"/>
      <c r="I262" s="506"/>
    </row>
    <row r="263" spans="1:9" ht="15.75" x14ac:dyDescent="0.25">
      <c r="A263" s="465" t="s">
        <v>20</v>
      </c>
      <c r="B263" s="465" t="s">
        <v>21</v>
      </c>
      <c r="C263" s="34" t="s">
        <v>19</v>
      </c>
      <c r="D263" s="148"/>
      <c r="E263" s="142"/>
      <c r="F263" s="149" t="str">
        <f>IF(E263="","",IF(E263&gt;=660,1,IF(E263&lt;=430,ROUND('Reference Curves'!$K$14*E263+'Reference Curves'!$K$15,2),ROUND('Reference Curves'!$L$14*E263+'Reference Curves'!$L$15,2))))</f>
        <v/>
      </c>
      <c r="G263" s="455" t="str">
        <f>IFERROR(AVERAGE(F263:F264),"")</f>
        <v/>
      </c>
      <c r="H263" s="455" t="str">
        <f>IFERROR(ROUND(AVERAGE(G263:G278),2),"")</f>
        <v/>
      </c>
      <c r="I263" s="458" t="str">
        <f>IF(H263="","",IF(H263&gt;0.69,"Functioning",IF(H263&gt;0.29,"Functioning At Risk",IF(H263&gt;-1,"Not Functioning"))))</f>
        <v/>
      </c>
    </row>
    <row r="264" spans="1:9" ht="15.75" x14ac:dyDescent="0.25">
      <c r="A264" s="462"/>
      <c r="B264" s="463"/>
      <c r="C264" s="279" t="s">
        <v>346</v>
      </c>
      <c r="D264" s="151"/>
      <c r="E264" s="140"/>
      <c r="F264" s="337" t="str">
        <f>IF(E264="","",IF(E264&gt;=28,1,ROUND(IF(E264&lt;=13,'Reference Curves'!$K$47*E264,'Reference Curves'!$L$47*E264+'Reference Curves'!$L$48),2)))</f>
        <v/>
      </c>
      <c r="G264" s="457"/>
      <c r="H264" s="456"/>
      <c r="I264" s="459"/>
    </row>
    <row r="265" spans="1:9" ht="15.75" x14ac:dyDescent="0.25">
      <c r="A265" s="462"/>
      <c r="B265" s="461" t="s">
        <v>402</v>
      </c>
      <c r="C265" s="148" t="s">
        <v>250</v>
      </c>
      <c r="D265" s="277"/>
      <c r="E265" s="142"/>
      <c r="F265" s="385" t="str">
        <f>IF(E265="","",ROUND(IF(E265&lt;=2,0,IF(E265&gt;=9,1,E265^3*'Reference Curves'!K$81+E265^2*'Reference Curves'!$K$82+E265*'Reference Curves'!$K$83+'Reference Curves'!$K$84)),2))</f>
        <v/>
      </c>
      <c r="G265" s="455" t="str">
        <f>IFERROR(AVERAGE(F265:F268),"")</f>
        <v/>
      </c>
      <c r="H265" s="456"/>
      <c r="I265" s="459"/>
    </row>
    <row r="266" spans="1:9" ht="15.75" x14ac:dyDescent="0.25">
      <c r="A266" s="462"/>
      <c r="B266" s="462"/>
      <c r="C266" s="151" t="s">
        <v>43</v>
      </c>
      <c r="D266" s="151"/>
      <c r="E266" s="140"/>
      <c r="F266" s="339" t="str">
        <f>IF(E266="","",IF(OR(E266="Ex/Ex",E266="Ex/VH",E266="Ex/H",E266="Ex/M",E266="VH/Ex",E266="VH/VH", E266="H/Ex",E266="H/VH"),0, IF(OR(E266="M/Ex"),0.1,IF(OR(E266="VH/H",E266="VH/M",E266="H/H",E266="H/M", E266="M/VH"),0.2, IF(OR(E266="Ex/VL",E266="Ex/L", E266="M/H"),0.3, IF(OR(E266="VH/L",E266="H/L"),0.4, IF(OR(E266="VH/VL",E266="H/VL",E266="M/M"),0.5, IF(OR(E266="M/L",E266="L/Ex"),0.6, IF(OR(E266="M/VL",E266="L/VH", E266="L/H",E266="L/M",E266="L/L",E266="L/VL"),1)))))))))</f>
        <v/>
      </c>
      <c r="G266" s="456"/>
      <c r="H266" s="456"/>
      <c r="I266" s="459"/>
    </row>
    <row r="267" spans="1:9" ht="15.75" x14ac:dyDescent="0.25">
      <c r="A267" s="462"/>
      <c r="B267" s="462"/>
      <c r="C267" s="368" t="s">
        <v>87</v>
      </c>
      <c r="D267" s="368"/>
      <c r="E267" s="140"/>
      <c r="F267" s="339" t="str">
        <f>IF(E267="","",ROUND(IF(E267&gt;=75,0,IF(E267&lt;=5,1,IF(E267&gt;10,E267*'Reference Curves'!K$115+'Reference Curves'!K$116,'Reference Curves'!$L$115*E267+'Reference Curves'!$L$116))),2))</f>
        <v/>
      </c>
      <c r="G267" s="456"/>
      <c r="H267" s="456"/>
      <c r="I267" s="459"/>
    </row>
    <row r="268" spans="1:9" s="317" customFormat="1" ht="15.75" x14ac:dyDescent="0.25">
      <c r="A268" s="462"/>
      <c r="B268" s="463"/>
      <c r="C268" s="371" t="s">
        <v>401</v>
      </c>
      <c r="D268" s="278"/>
      <c r="E268" s="143"/>
      <c r="F268" s="386" t="str">
        <f>IF(E268="","",IF(E268&gt;=30,0,ROUND(E268*'Reference Curves'!$K$146+'Reference Curves'!$K$147,2)))</f>
        <v/>
      </c>
      <c r="G268" s="457"/>
      <c r="H268" s="456"/>
      <c r="I268" s="459"/>
    </row>
    <row r="269" spans="1:9" ht="15.75" x14ac:dyDescent="0.25">
      <c r="A269" s="462"/>
      <c r="B269" s="361" t="s">
        <v>105</v>
      </c>
      <c r="C269" s="33" t="s">
        <v>130</v>
      </c>
      <c r="D269" s="151"/>
      <c r="E269" s="143"/>
      <c r="F269" s="332" t="str">
        <f>IF(OR(E269="",'Quantification Tool'!$B$13=""),"",IF(OR('Quantification Tool'!$B$13="Silt/Clay",'Quantification Tool'!$B$13="Sand",'Quantification Tool'!$B$13="Boulders",'Quantification Tool'!$B$13="Bedrock"),"NA",IF(E269&gt;0.1,1,IF(E269&lt;=0.01,0,ROUND(E269*'Reference Curves'!$K$177+'Reference Curves'!$K$178,2)))))</f>
        <v/>
      </c>
      <c r="G269" s="153" t="str">
        <f>IFERROR(AVERAGE(F269),"")</f>
        <v/>
      </c>
      <c r="H269" s="456"/>
      <c r="I269" s="459"/>
    </row>
    <row r="270" spans="1:9" ht="15.75" x14ac:dyDescent="0.25">
      <c r="A270" s="462"/>
      <c r="B270" s="465" t="s">
        <v>45</v>
      </c>
      <c r="C270" s="148" t="s">
        <v>46</v>
      </c>
      <c r="D270" s="148"/>
      <c r="E270" s="142"/>
      <c r="F270" s="155" t="str">
        <f>IF(E270="","",IF('Quantification Tool'!$B$9="Bc",IF(OR(E270&gt;=12,E270&lt;=0.1),0,IF(E270&lt;=3.4,1,ROUND('Reference Curves'!$K$310*E270+'Reference Curves'!$K$311,2))),  IF(OR('Quantification Tool'!$B$9="B",'Quantification Tool'!$B$9="Ba"),IF(OR(E270&gt;=7.5,E270&lt;=0.1),0,IF(E270&lt;=3,1,ROUND(IF(E270&gt;4,'Reference Curves'!$K$279*E270+'Reference Curves'!$K$280,'Reference Curves'!$L$279*E270+'Reference Curves'!$L$280),2))),  IF('Quantification Tool'!$B$9="Cb",IF(OR(E270&gt;=8.35,E270&lt;1.4),0,IF(AND(E270&gt;=3.7,E270&lt;=5),1,ROUND(IF(E270&lt;3.7,'Reference Curves'!$K$247*E270+'Reference Curves'!$K$248,'Reference Curves'!$L$247*E270+'Reference Curves'!$L$248),2))),  IF('Quantification Tool'!$B$9="C",IF(OR(E270&gt;9.3,E270&lt;=3),0,IF(AND(E270&gt;=4,E270&lt;=6),1,ROUND(IF(E270&lt;4,'Reference Curves'!$K$213*E270+'Reference Curves'!$K$214,'Reference Curves'!$L$213*E270+'Reference Curves'!$L$214),2))),  IF('Quantification Tool'!$B$9="E",IF(OR(E270&gt;8.2,E270&lt;1.85),0,IF(AND(E270&gt;=3.5,E270&lt;=5),1,ROUND(IF(E270&lt;3.5,'Reference Curves'!$K$343*E270+'Reference Curves'!$K$344,'Reference Curves'!$L$343*E270+'Reference Curves'!$L$344),2)))      ))))))</f>
        <v/>
      </c>
      <c r="G270" s="480" t="str">
        <f>IFERROR(AVERAGE(F270:F273),"")</f>
        <v/>
      </c>
      <c r="H270" s="456"/>
      <c r="I270" s="459"/>
    </row>
    <row r="271" spans="1:9" ht="15.75" x14ac:dyDescent="0.25">
      <c r="A271" s="462"/>
      <c r="B271" s="462"/>
      <c r="C271" s="151" t="s">
        <v>47</v>
      </c>
      <c r="D271" s="151"/>
      <c r="E271" s="140"/>
      <c r="F271" s="156" t="str">
        <f>IF(E271="","",IF(E271&lt;=1,0,IF(E271&gt;=3.2,1,IF(E271&gt;=2.2,ROUND('Reference Curves'!$L$375*E271+'Reference Curves'!$L$376,2),(ROUND('Reference Curves'!$K$375*E271+'Reference Curves'!$K$376,2))))))</f>
        <v/>
      </c>
      <c r="G271" s="464"/>
      <c r="H271" s="456"/>
      <c r="I271" s="459"/>
    </row>
    <row r="272" spans="1:9" ht="15.75" x14ac:dyDescent="0.25">
      <c r="A272" s="462"/>
      <c r="B272" s="462"/>
      <c r="C272" s="31" t="s">
        <v>356</v>
      </c>
      <c r="D272" s="151"/>
      <c r="E272" s="140"/>
      <c r="F272" s="362" t="str">
        <f>IF(E272="","",IF('Quantification Tool'!$B$11="Volcanic Mountains &amp; Valleys", IF(OR(E272&gt;86.65,E272&lt;33),0,IF(AND(E272&gt;=73,E272&lt;=80),1, ROUND(IF(E272&lt;73,'Reference Curves'!$K$408*E272+'Reference Curves'!$K$409, 'Reference Curves'!$L$408*E272+'Reference Curves'!$L$409),2))), IF('Quantification Tool'!B$16="","Need Slope",IF('Quantification Tool'!B$16&lt;3,IF( OR(E272&gt;=91,E272&lt;=13.5),0, IF(AND(E272&gt;49,E272&lt;61), 1, ROUND(IF(E272&lt;50,'Reference Curves'!$K$441*E272+'Reference Curves'!$K$442, IF(E272&gt;60,'Reference Curves'!$L$441*E272+'Reference Curves'!$L$442)),2))), IF('Quantification Tool'!B$16&gt;=3,IF(OR(E272&gt;94.5,E272&lt;41.5),0, IF(AND(E272 &gt;=68, E272&lt;=78),1, ROUND(IF(E272&lt;68,'Reference Curves'!$K$475*E272+'Reference Curves'!$K$476,'Reference Curves'!$L$475*E272+'Reference Curves'!$L$476),2) )))))))</f>
        <v/>
      </c>
      <c r="G272" s="464"/>
      <c r="H272" s="456"/>
      <c r="I272" s="459"/>
    </row>
    <row r="273" spans="1:11" ht="15.75" x14ac:dyDescent="0.25">
      <c r="A273" s="462"/>
      <c r="B273" s="463"/>
      <c r="C273" s="150" t="s">
        <v>213</v>
      </c>
      <c r="D273" s="150"/>
      <c r="E273" s="143"/>
      <c r="F273" s="360" t="str">
        <f>IF(E273="","",IF(E273&gt;=1.6,0,IF(E273&lt;=1,1,ROUND('Reference Curves'!$K$506*E273^3+'Reference Curves'!$K$507*E273^2+'Reference Curves'!$K$508*E273+'Reference Curves'!$K$509,2))))</f>
        <v/>
      </c>
      <c r="G273" s="481"/>
      <c r="H273" s="456"/>
      <c r="I273" s="459"/>
    </row>
    <row r="274" spans="1:11" ht="15.75" x14ac:dyDescent="0.25">
      <c r="A274" s="462"/>
      <c r="B274" s="361" t="s">
        <v>49</v>
      </c>
      <c r="C274" s="151" t="s">
        <v>48</v>
      </c>
      <c r="D274" s="151"/>
      <c r="E274" s="140"/>
      <c r="F274" s="341" t="str">
        <f>IF(E274="","",IF('Quantification Tool'!B$9="E",IF(OR(E274&gt;2.14,E274&lt;1.13),0, IF(AND(E274&gt;=1.3, E274&lt;=1.8),1, ROUND(IF(E274&lt;1.3,E274*'Reference Curves'!K$542+'Reference Curves'!K$543, E274*'Reference Curves'!L$542+'Reference Curves'!$L$543),2))),    IF('Quantification Tool'!$B$21="Unconfined Alluvial",IF(OR(E274&lt;1.12, E274&gt;1.67),0, IF(AND(E274&lt;=1.5,E274&gt;=1.2),1,ROUND(IF(E274&lt;1.2,E274*'Reference Curves'!$K$575+'Reference Curves'!$K$576, E274*'Reference Curves'!$L$575+'Reference Curves'!$L$576),2))),  IF('Quantification Tool'!$B$21="Confined Alluvial",IF(E274&lt;=1,0, IF(E274&gt;=1.2,1, ROUND(E274*'Reference Curves'!$K$604+'Reference Curves'!$K$605,2))),    IF('Quantification Tool'!$B$21="Colluvial/V-Shaped",IF(OR(E274&lt;1, E274&gt;1.47),0, IF(AND(E274&lt;=1.3,E274&gt;=1.1),1,ROUND(IF(E274&lt;1.1,E274*'Reference Curves'!$K$637+'Reference Curves'!$K$638, E274*'Reference Curves'!$L$637+'Reference Curves'!$L$638),2)))  )))))</f>
        <v/>
      </c>
      <c r="G274" s="156" t="str">
        <f>IFERROR(AVERAGE(F274),"")</f>
        <v/>
      </c>
      <c r="H274" s="456"/>
      <c r="I274" s="459"/>
    </row>
    <row r="275" spans="1:11" ht="15.75" x14ac:dyDescent="0.25">
      <c r="A275" s="462"/>
      <c r="B275" s="465" t="s">
        <v>44</v>
      </c>
      <c r="C275" s="32" t="s">
        <v>344</v>
      </c>
      <c r="D275" s="148"/>
      <c r="E275" s="142"/>
      <c r="F275" s="365" t="str">
        <f>IF(E275="","",IF('Quantification Tool'!$B$21="Unconfined Alluvial",IF(E275&gt;=100,1,IF(E275&lt;30,0,ROUND('Reference Curves'!$K$668*E275+'Reference Curves'!$K$669,2))),IF(OR('Quantification Tool'!$B$21="Confined Alluvial",'Quantification Tool'!$B$21="Colluvial/V-Shaped"),(IF(E275&gt;=100,1,IF(E275&lt;60,0,ROUND('Reference Curves'!$L$668*E275+'Reference Curves'!$L$669,2)))))))</f>
        <v/>
      </c>
      <c r="G275" s="480" t="str">
        <f>IFERROR(AVERAGE(F275:F278),"")</f>
        <v/>
      </c>
      <c r="H275" s="456"/>
      <c r="I275" s="459"/>
    </row>
    <row r="276" spans="1:11" ht="15.75" x14ac:dyDescent="0.25">
      <c r="A276" s="462"/>
      <c r="B276" s="462"/>
      <c r="C276" s="279" t="s">
        <v>390</v>
      </c>
      <c r="D276" s="151"/>
      <c r="E276" s="140"/>
      <c r="F276" s="156" t="str">
        <f>IF(E276="","",  IF(OR('Quantification Tool'!$B$10="Mountains",'Quantification Tool'!$B$10="Basins"),IF(E276&lt;=0,0, IF(E276&gt;=122,1,ROUND('Reference Curves'!$K$700*E276^2+'Reference Curves'!$K$701*E276+'Reference Curves'!$K$702,2))),   IF('Quantification Tool'!$B$10="Plains",IF(OR(E276&lt;=0,E276&gt;114),0, IF(AND(E276&lt;=69,E276&gt;=59),1, IF(E276&lt;59, ROUND(E276*'Reference Curves'!$K$735+'Reference Curves'!$K$736,2), ROUND(E276*'Reference Curves'!$L$735+'Reference Curves'!$L$736,2) )) ))))</f>
        <v/>
      </c>
      <c r="G276" s="464"/>
      <c r="H276" s="456"/>
      <c r="I276" s="459"/>
    </row>
    <row r="277" spans="1:11" ht="15.75" x14ac:dyDescent="0.25">
      <c r="A277" s="462"/>
      <c r="B277" s="466"/>
      <c r="C277" s="279" t="s">
        <v>391</v>
      </c>
      <c r="D277" s="151"/>
      <c r="E277" s="140"/>
      <c r="F277" s="156" t="str">
        <f>IF(E277="","",IF('Quantification Tool'!$B$19="Herbaceous", IF(E277&lt;=30,0,IF(E277&gt;=117,1, ROUND(E277*'Reference Curves'!$L$767+'Reference Curves'!$L$768,2))),  IF(E277&lt;=0,0, IF(E277&gt;=77,1, ROUND(E277*'Reference Curves'!$K$767+'Reference Curves'!$K$768,2)))  ))</f>
        <v/>
      </c>
      <c r="G277" s="464"/>
      <c r="H277" s="456"/>
      <c r="I277" s="459"/>
    </row>
    <row r="278" spans="1:11" s="317" customFormat="1" ht="15.75" x14ac:dyDescent="0.25">
      <c r="A278" s="463"/>
      <c r="B278" s="463"/>
      <c r="C278" s="467" t="s">
        <v>400</v>
      </c>
      <c r="D278" s="467"/>
      <c r="E278" s="143"/>
      <c r="F278" s="384" t="str">
        <f>IF(E278="","",IF(E278&lt;=46,0,IF(E278&gt;=100,1,IF(E278&lt;=91,ROUND(E278*'Reference Curves'!$L$799+'Reference Curves'!$L$800,2),ROUND(E278*'Reference Curves'!$K$799+'Reference Curves'!$K$800,2)))))</f>
        <v/>
      </c>
      <c r="G278" s="481"/>
      <c r="H278" s="457"/>
      <c r="I278" s="460"/>
    </row>
    <row r="279" spans="1:11" ht="15.75" x14ac:dyDescent="0.25">
      <c r="A279" s="496" t="s">
        <v>53</v>
      </c>
      <c r="B279" s="313" t="s">
        <v>80</v>
      </c>
      <c r="C279" s="60" t="s">
        <v>347</v>
      </c>
      <c r="D279" s="292"/>
      <c r="E279" s="140"/>
      <c r="F279" s="357" t="str">
        <f>IF(E279="","",IF('Quantification Tool'!$B$18="","Enter Stream Temperature",IF('Quantification Tool'!$B$18="Tier I (Cold) ",IF(E279&gt;=20.1,0,IF(E279&lt;=13.5,1,ROUND(E279*'Reference Curves'!$S$18+'Reference Curves'!$S$19,2))),IF('Quantification Tool'!$B$18="Tier II (Cold-Cool)",IF(E279&gt;=20.5,0,IF(E279&lt;=16.5,1,ROUND(E279*'Reference Curves'!$T$18+'Reference Curves'!$T$19,2))),IF('Quantification Tool'!$B$18="Tier III (Cool) ",IF(E279&gt;=23.6,0,IF(E279&lt;=18.3,1,ROUND(E279*'Reference Curves'!$U$18+'Reference Curves'!$U$19,2))),IF('Quantification Tool'!$B$18="Tier IV (Cool-Warm)",IF(E279&gt;=27.2,0,IF(E279&lt;=23.2,1,ROUND(E279*'Reference Curves'!$V$18+'Reference Curves'!$V$19,2))),IF('Quantification Tool'!$B$18="Tier V (Warm)",IF(E279&gt;=30.3,0,IF(E279&lt;=26,1,ROUND(E279*'Reference Curves'!$W$18+'Reference Curves'!$W$19,2))))))))))</f>
        <v/>
      </c>
      <c r="G279" s="309" t="str">
        <f>IF(F279="","", ROUND(AVERAGE(F279),2))</f>
        <v/>
      </c>
      <c r="H279" s="478" t="str">
        <f>IFERROR(ROUND(AVERAGE(G279:G280),2),"")</f>
        <v/>
      </c>
      <c r="I279" s="473" t="str">
        <f>IF(H279="","",IF(H279&gt;0.69,"Functioning",IF(H279&gt;0.29,"Functioning At Risk",IF(H279&gt;-1,"Not Functioning"))))</f>
        <v/>
      </c>
    </row>
    <row r="280" spans="1:11" ht="15.75" x14ac:dyDescent="0.25">
      <c r="A280" s="497"/>
      <c r="B280" s="363" t="s">
        <v>249</v>
      </c>
      <c r="C280" s="35" t="s">
        <v>357</v>
      </c>
      <c r="D280" s="160"/>
      <c r="E280" s="106"/>
      <c r="F280" s="161" t="str">
        <f>IF(E280="","",IF(OR('Quantification Tool'!$B$10="Basins",'Quantification Tool'!$B$10="Plains"),IF(E280&gt;=150,0,IF(E280&lt;16,1,ROUND('Reference Curves'!$S$53*LN(E280)+'Reference Curves'!$S$54,2))),IF(E280&gt;=97,0,IF(E280&lt;=13,1,ROUND('Reference Curves'!$T$53*LN(E280)+'Reference Curves'!$T$54,2)))))</f>
        <v/>
      </c>
      <c r="G280" s="162" t="str">
        <f>IFERROR(AVERAGE(F280),"")</f>
        <v/>
      </c>
      <c r="H280" s="479"/>
      <c r="I280" s="473"/>
    </row>
    <row r="281" spans="1:11" ht="15.75" x14ac:dyDescent="0.25">
      <c r="A281" s="508" t="s">
        <v>54</v>
      </c>
      <c r="B281" s="511" t="s">
        <v>189</v>
      </c>
      <c r="C281" s="163" t="s">
        <v>186</v>
      </c>
      <c r="D281" s="164"/>
      <c r="E281" s="142"/>
      <c r="F281" s="165" t="str">
        <f>IF(E281="","",IF('Quantification Tool'!$B$11="","Enter Bioregion",IF('Quantification Tool'!$B$11="Wyoming Basin",IF(E281&lt;=5.3,0,IF(E281&gt;=64.5,1,ROUND(IF(E281&lt;26.2,'Reference Curves'!$AB$17*E281+'Reference Curves'!$AB$18,IF(E281&lt;39.9, 'Reference Curves'!$AC$17*E281+'Reference Curves'!$AC$18,'Reference Curves'!$AD$17*E281+'Reference Curves'!$AD$18)),2))), IF('Quantification Tool'!$B$11="Black Hills",IF(E281&lt;=12.8,0,IF(E281&gt;=65.7,1,ROUND(IF(E281&lt;30.7,'Reference Curves'!$AE$17*E281+'Reference Curves'!$AE$18,IF(E281&lt;46.1,'Reference Curves'!$AF$17*E281+'Reference Curves'!$AF$18,'Reference Curves'!$AG$17*E281+'Reference Curves'!$AG$18)),2))), IF('Quantification Tool'!$B$11="High Valleys",IF(E281&lt;=17.1,0,IF(E281&gt;=78.2,1,ROUND(IF(E281&lt;48.8,'Reference Curves'!$AH$17*E281+'Reference Curves'!$AH$18,'Reference Curves'!$AI$17*E281+'Reference Curves'!$AI$18),2))),     IF('Quantification Tool'!$B$11="Southern Rockies",IF(E281&lt;=5.1,0,IF(E281&gt;=82.2,1,ROUND(IF(E281&lt;32.6, 'Reference Curves'!$AB$54*E281+'Reference Curves'!$AB$55, IF(E281&lt;48.8, 'Reference Curves'!$AC$54*E281+'Reference Curves'!$AC$55,  'Reference Curves'!$AD$54*E281+'Reference Curves'!$AD$55)), 2))), IF('Quantification Tool'!$B$11="SE Plains",IF(E281&lt;=10.4,0,IF(E281&gt;=87,1,ROUND(IF(E281&lt;36.7,'Reference Curves'!$AE$54*E281+'Reference Curves'!$AE$55, IF(E281&lt;55.1, 'Reference Curves'!$AF$54*E281+'Reference Curves'!$AF$55, 'Reference Curves'!$AG$54*E281+'Reference Curves'!$AG$55)),2))),   IF('Quantification Tool'!$B$11="NE Plains",IF(E281&lt;=1.6,0,IF(E281&gt;=95.8,1,ROUND(IF(E281&lt;38.9,'Reference Curves'!$AH$54*E281+'Reference Curves'!$AH$55, IF(E281&lt;58.4, 'Reference Curves'!$AI$54*E281+'Reference Curves'!$AI$55, 'Reference Curves'!$AJ$54*E281+'Reference Curves'!$AJ$55)),2))),      IF('Quantification Tool'!$B$11="Granitic Mountains",IF(E281&lt;=32.6,0,IF(E281&gt;=74.9,1,ROUND(IF(E281&lt;40.2, 'Reference Curves'!$AB$92*E281+'Reference Curves'!$AB$93, 'Reference Curves'!$AC$92*E281+'Reference Curves'!$AC$93),2))), IF('Quantification Tool'!$B$11="Volcanic Mountains &amp; Valleys",IF(E281&lt;=26,0,IF(E281&gt;=88.1,1,ROUND('Reference Curves'!$AF$92*E281+'Reference Curves'!$AF$93,2))), IF('Quantification Tool'!$B$11="Southern Foothills &amp; Laramie Range",IF(E281&lt;=30.7,0,IF(E281&gt;=85,1,ROUND(IF(E281&lt;44.5, 'Reference Curves'!$AD$92*E281+'Reference Curves'!$AD$93,  'Reference Curves'!$AE$92*E281+'Reference Curves'!$AE$93 ),2))),     IF('Quantification Tool'!$B$11="Sedimentary Mountains",IF(E281&lt;=17,0,IF(E281&gt;=70,1,ROUND('Reference Curves'!$AB$127*E281+'Reference Curves'!$AB$128,2))), IF('Quantification Tool'!$B$11="Bighorn Basin Foothills",IF(E281&lt;=3.9,0,IF(E281&gt;=80,1,ROUND(IF(E281&lt;40.6,'Reference Curves'!$AC$127*E281+'Reference Curves'!$AC$128,'Reference Curves'!$AD$127*E281+'Reference Curves'!$AD$128),2)))  )))))))))))))</f>
        <v/>
      </c>
      <c r="G281" s="474" t="str">
        <f>IFERROR(IF(AND(F281="",F282=""),"",IF(OR(F281="",F282=""),AVERAGE(F281:F282),IF(OR(F281&lt;0.3,F282&lt;0.3),IF(OR(F281&gt;=0.7,F282&gt;=0.7),MIN(0.69,AVERAGE(F281:F282)),MIN(0.29,AVERAGE(F281:F282))), IF(OR(F281&gt;=0.7,F282&gt;=0.7),IF(AVERAGE(F281:F282)&lt;0.7,0.7,AVERAGE(F281:F282)),AVERAGE(F281:F282))))),"")</f>
        <v/>
      </c>
      <c r="H281" s="476" t="str">
        <f>IFERROR(ROUND(AVERAGE(G281:G285),2),"")</f>
        <v/>
      </c>
      <c r="I281" s="473" t="str">
        <f>IF(H281="","",IF(H281&gt;0.69,"Functioning",IF(H281&gt;0.29,"Functioning At Risk",IF(H281&gt;-1,"Not Functioning"))))</f>
        <v/>
      </c>
    </row>
    <row r="282" spans="1:11" ht="15.75" x14ac:dyDescent="0.25">
      <c r="A282" s="509"/>
      <c r="B282" s="513"/>
      <c r="C282" s="166" t="s">
        <v>187</v>
      </c>
      <c r="D282" s="167"/>
      <c r="E282" s="143"/>
      <c r="F282" s="168" t="str">
        <f>IF(E282="","",IF('Quantification Tool'!$B$11="","Enter Bioregion",IF('Quantification Tool'!$B$11="Wyoming Basin",IF(E282&lt;0.15,0,IF(E282&gt;1.18,1,ROUND(IF(E282&lt;0.64,'Reference Curves'!$AB$166*E282+'Reference Curves'!$AB$167, IF(E282&lt;0.82, 'Reference Curves'!$AC$166*E282+'Reference Curves'!$AC$167, 'Reference Curves'!$AD$166*E282+'Reference Curves'!$AD$167) ),2))), IF('Quantification Tool'!$B$11="Black Hills",IF(E282&lt;=0.37,0,IF(E282&gt;1.08,1,ROUND('Reference Curves'!$AE$166*E282+'Reference Curves'!$AE$167,2))), IF('Quantification Tool'!$B$11="High Valleys",IF(E282&lt;0.42,0,IF(E282&gt;1.14,1,ROUND(IF(E282&lt;0.68, 'Reference Curves'!$AF$166*E282+'Reference Curves'!$AF$167, IF(E282&lt;0.86, 'Reference Curves'!$AG$166*E282+'Reference Curves'!$AG$167, 'Reference Curves'!$AH$166*E282+'Reference Curves'!$AH$167)),2))), IF('Quantification Tool'!$B$11="Sedimentary Mountains",IF(E282&lt;0.42,0,IF(E282&gt;1.17,1,ROUND(IF(E282&lt;0.68, 'Reference Curves'!$AI$166*E282+'Reference Curves'!$AI$167, IF(E282&lt;0.82, 'Reference Curves'!$AJ$166*E282+'Reference Curves'!$AJ$167, 'Reference Curves'!$AK$166*E282+'Reference Curves'!$AK$167) ),2))),        IF('Quantification Tool'!$B$11="Southern Rockies",IF(E282&lt;0.27,0,IF(E282&gt;=1.18,1,ROUND(IF(E282&lt;0.62, 'Reference Curves'!$AB$204*E282+'Reference Curves'!$AB$205, IF(E282&lt;0.89, 'Reference Curves'!$AC$204*E282+'Reference Curves'!$AC$205, 'Reference Curves'!$AD$204*E282+'Reference Curves'!$AD$205) ),2))), IF('Quantification Tool'!$B$11="SE Plains",IF(E282&lt;0.34,0,IF(E282&gt;1.12,1,ROUND(IF(E282&lt;0.78, 'Reference Curves'!$AE$204*E282+'Reference Curves'!$AE$205, 'Reference Curves'!$AF$204*E282+'Reference Curves'!$AF$205),2))), IF('Quantification Tool'!$B$11="NE Plains",IF(E282&lt;0.11,0,IF(E282&gt;=0.98,1,ROUND(IF(E282&lt;0.52, 'Reference Curves'!$AG$204*E282+'Reference Curves'!$AG$205,'Reference Curves'!$AH$204*E282+'Reference Curves'!$AH$205 ),2))),    IF('Quantification Tool'!$B$11="Granitic Mountains",IF(E282&lt;=0.59,0,IF(E282&gt;=1.09,1,ROUND(IF(E282&lt;0.65, 'Reference Curves'!$AB$242*E282+'Reference Curves'!$AB$243, 'Reference Curves'!$AC$242*E282+'Reference Curves'!$AC$243),2))),IF('Quantification Tool'!$B$11="Bighorn Basin Foothills",IF(E282&lt;=0.41,0,IF(E282&gt;=0.92,1,ROUND(IF(E282&lt;0.84, 'Reference Curves'!$AD$242*E282+'Reference Curves'!$AD$243,  'Reference Curves'!$AE$242*E282+'Reference Curves'!$AE$243),2))),IF('Quantification Tool'!$B$11="Volcanic Mountains &amp; Valleys",IF(E282&lt;=0.21,0,IF(E282&gt;=1.21,1,ROUND(IF(E282&lt;0.65, 'Reference Curves'!$AI$242*E282+'Reference Curves'!$AI$243, IF(E282&lt;0.86,  'Reference Curves'!$AJ$242*E282+'Reference Curves'!$AJ$243,  'Reference Curves'!$AK$242*E282+'Reference Curves'!$AK$243)),2))), IF('Quantification Tool'!$B$11="Southern Foothills &amp; Laramie Range",IF(E282&lt;=0.29,0,IF(E282&gt;=1.2,1,ROUND(IF(E282&lt;0.68, 'Reference Curves'!$AF$242*E282+'Reference Curves'!$AF$243, IF(E282&lt;0.88,  'Reference Curves'!$AG$242*E282+'Reference Curves'!$AG$243, 'Reference Curves'!$AH$242*E282+'Reference Curves'!$AH$243)),2))) )))))))))))))</f>
        <v/>
      </c>
      <c r="G282" s="475"/>
      <c r="H282" s="476"/>
      <c r="I282" s="473"/>
    </row>
    <row r="283" spans="1:11" ht="15.75" x14ac:dyDescent="0.25">
      <c r="A283" s="509"/>
      <c r="B283" s="511" t="s">
        <v>75</v>
      </c>
      <c r="C283" s="58" t="s">
        <v>349</v>
      </c>
      <c r="D283" s="169"/>
      <c r="E283" s="142"/>
      <c r="F283" s="170" t="str">
        <f>IF(E283="","",IF(E283&lt;58,0,IF(E283&gt;=100,1,ROUND(E283*'Reference Curves'!$AB$280+'Reference Curves'!$AB$281,2))))</f>
        <v/>
      </c>
      <c r="G283" s="474" t="str">
        <f>IFERROR(AVERAGE(F283:F285),"")</f>
        <v/>
      </c>
      <c r="H283" s="476"/>
      <c r="I283" s="473"/>
      <c r="K283" s="5"/>
    </row>
    <row r="284" spans="1:11" ht="15.75" x14ac:dyDescent="0.25">
      <c r="A284" s="509"/>
      <c r="B284" s="512"/>
      <c r="C284" s="59" t="s">
        <v>350</v>
      </c>
      <c r="D284" s="171"/>
      <c r="E284" s="140"/>
      <c r="F284" s="170" t="str">
        <f>IF(E284="","",ROUND(IF(E284&gt;=3,0,IF(E284&gt;=2,0.3,IF(E284&gt;=1,0.69,1))),2))</f>
        <v/>
      </c>
      <c r="G284" s="477"/>
      <c r="H284" s="476"/>
      <c r="I284" s="473"/>
    </row>
    <row r="285" spans="1:11" ht="15.75" x14ac:dyDescent="0.25">
      <c r="A285" s="510"/>
      <c r="B285" s="513"/>
      <c r="C285" s="39" t="s">
        <v>351</v>
      </c>
      <c r="D285" s="172"/>
      <c r="E285" s="143"/>
      <c r="F285" s="168" t="str">
        <f>IF(E285="","",IF('Quantification Tool'!$B$20="","Enter Stream Producitvity Rating",IF('Quantification Tool'!$B$20="Blue Ribbon and non-trout",IF(E285&lt;5,0,IF(E285&gt;=40,1,ROUND(E285*'Reference Curves'!$AB$319+'Reference Curves'!$AB$320,2))),IF('Quantification Tool'!$B$20="Red Ribbon",IF(E285&lt;10,0,IF(E285&gt;=80,1,ROUND(E285*'Reference Curves'!$AC$319+'Reference Curves'!$AC$320,2))),IF(OR('Quantification Tool'!$B$20="Yellow Ribbon",'Quantification Tool'!$B$20="Green Ribbon"),IF(E285&lt;15,0,IF(E285&gt;=119,1,ROUND(E285*'Reference Curves'!$AD$319+'Reference Curves'!$AD$320,2)))   )))))</f>
        <v/>
      </c>
      <c r="G285" s="475"/>
      <c r="H285" s="476"/>
      <c r="I285" s="473"/>
    </row>
    <row r="286" spans="1:11" x14ac:dyDescent="0.25">
      <c r="J286" s="5"/>
    </row>
    <row r="287" spans="1:11" x14ac:dyDescent="0.25">
      <c r="J287" s="5"/>
    </row>
    <row r="288" spans="1:11" ht="21" x14ac:dyDescent="0.35">
      <c r="A288" s="47" t="s">
        <v>135</v>
      </c>
      <c r="B288" s="352"/>
      <c r="C288" s="355" t="s">
        <v>383</v>
      </c>
      <c r="D288" s="557"/>
      <c r="E288" s="558"/>
      <c r="F288" s="559"/>
      <c r="G288" s="554" t="s">
        <v>14</v>
      </c>
      <c r="H288" s="555"/>
      <c r="I288" s="556"/>
    </row>
    <row r="289" spans="1:9" ht="16.5" customHeight="1" x14ac:dyDescent="0.25">
      <c r="A289" s="53" t="s">
        <v>1</v>
      </c>
      <c r="B289" s="53" t="s">
        <v>2</v>
      </c>
      <c r="C289" s="327" t="s">
        <v>3</v>
      </c>
      <c r="D289" s="328"/>
      <c r="E289" s="53" t="s">
        <v>12</v>
      </c>
      <c r="F289" s="53" t="s">
        <v>13</v>
      </c>
      <c r="G289" s="53" t="s">
        <v>15</v>
      </c>
      <c r="H289" s="53" t="s">
        <v>16</v>
      </c>
      <c r="I289" s="413" t="s">
        <v>16</v>
      </c>
    </row>
    <row r="290" spans="1:9" ht="15.75" customHeight="1" x14ac:dyDescent="0.25">
      <c r="A290" s="540" t="s">
        <v>345</v>
      </c>
      <c r="B290" s="485" t="s">
        <v>128</v>
      </c>
      <c r="C290" s="287" t="s">
        <v>341</v>
      </c>
      <c r="D290" s="288"/>
      <c r="E290" s="142"/>
      <c r="F290" s="335" t="str">
        <f>IF(E290="","",IF(E290&gt;=80,0,IF(E290&lt;=40,1,IF(E290&gt;=68,ROUND(E290*'Reference Curves'!$C$14+'Reference Curves'!$C$15,2),ROUND(E290*'Reference Curves'!$D$14+'Reference Curves'!$D$15,2)))))</f>
        <v/>
      </c>
      <c r="G290" s="501" t="str">
        <f>IFERROR(AVERAGE(F290:F291),"")</f>
        <v/>
      </c>
      <c r="H290" s="501" t="str">
        <f>IFERROR(ROUND(AVERAGE(G290:G294),2),"")</f>
        <v/>
      </c>
      <c r="I290" s="504" t="str">
        <f>IF(H290="","",IF(H290:H294&gt;0.69,"Functioning",IF(H290&gt;0.29,"Functioning At Risk",IF(H290&gt;-1,"Not Functioning"))))</f>
        <v/>
      </c>
    </row>
    <row r="291" spans="1:9" ht="15.75" customHeight="1" x14ac:dyDescent="0.25">
      <c r="A291" s="541"/>
      <c r="B291" s="486"/>
      <c r="C291" s="289" t="s">
        <v>129</v>
      </c>
      <c r="D291" s="145"/>
      <c r="E291" s="143"/>
      <c r="F291" s="291" t="str">
        <f>IF(E291="","",   IF(E291&gt;3.22,0, IF(E291&lt;0, "", ROUND('Reference Curves'!$C$44*E291+'Reference Curves'!$C$45,2))))</f>
        <v/>
      </c>
      <c r="G291" s="503"/>
      <c r="H291" s="502"/>
      <c r="I291" s="505"/>
    </row>
    <row r="292" spans="1:9" ht="15.75" customHeight="1" x14ac:dyDescent="0.25">
      <c r="A292" s="541"/>
      <c r="B292" s="290" t="s">
        <v>140</v>
      </c>
      <c r="C292" s="543" t="s">
        <v>237</v>
      </c>
      <c r="D292" s="544"/>
      <c r="E292" s="144"/>
      <c r="F292" s="291" t="str">
        <f>IF(E292="","",IF(OR(E292&gt;=2,E292&lt;=0.26),0,IF(AND(E292&gt;=0.9,E292&lt;=1.1),1,ROUND(IF(E292&lt;0.9,'Reference Curves'!$C$75*E292+'Reference Curves'!$C$76,'Reference Curves'!$D$75*E292+'Reference Curves'!$D$76),2))))</f>
        <v/>
      </c>
      <c r="G292" s="364" t="str">
        <f>IFERROR(F292,"")</f>
        <v/>
      </c>
      <c r="H292" s="502"/>
      <c r="I292" s="505"/>
    </row>
    <row r="293" spans="1:9" ht="15.75" customHeight="1" x14ac:dyDescent="0.25">
      <c r="A293" s="541"/>
      <c r="B293" s="485" t="s">
        <v>5</v>
      </c>
      <c r="C293" s="145" t="s">
        <v>6</v>
      </c>
      <c r="D293" s="145"/>
      <c r="E293" s="140"/>
      <c r="F293" s="336" t="str">
        <f>IF(E293="","",ROUND(IF(E293&gt;1.71,0,IF(E293&lt;=1,1,E293*'Reference Curves'!C$107+'Reference Curves'!C$108)),2))</f>
        <v/>
      </c>
      <c r="G293" s="501" t="str">
        <f>IFERROR(AVERAGE(F293:F294),"")</f>
        <v/>
      </c>
      <c r="H293" s="502"/>
      <c r="I293" s="505"/>
    </row>
    <row r="294" spans="1:9" ht="15" customHeight="1" x14ac:dyDescent="0.25">
      <c r="A294" s="542"/>
      <c r="B294" s="486"/>
      <c r="C294" s="146" t="s">
        <v>7</v>
      </c>
      <c r="D294" s="146"/>
      <c r="E294" s="143"/>
      <c r="F294" s="147" t="str">
        <f>IF(E294="","",IF(OR('Quantification Tool'!$B$9="A",'Quantification Tool'!$B$9="Ba",'Quantification Tool'!$B$9="B", 'Quantification Tool'!$B$9="Bc"),IF(E294&lt;1.05,0,IF(E294&gt;=2.2,1,ROUND(IF(E294&lt;1.4,E294*'Reference Curves'!$C$176+'Reference Curves'!$C$177,E294*'Reference Curves'!$D$176+'Reference Curves'!$D$177),2))),IF(OR('Quantification Tool'!$B$9="C",'Quantification Tool'!$B$9="Cb",'Quantification Tool'!$B$9="E"),IF(E294&lt;1.7,0,IF(E294&gt;=5,1,ROUND(IF(E294&lt;2.4,E294*'Reference Curves'!$D$141+'Reference Curves'!$D$142,E294*'Reference Curves'!$C$141+'Reference Curves'!$C$142),2))))))</f>
        <v/>
      </c>
      <c r="G294" s="503"/>
      <c r="H294" s="503"/>
      <c r="I294" s="506"/>
    </row>
    <row r="295" spans="1:9" ht="15" customHeight="1" x14ac:dyDescent="0.25">
      <c r="A295" s="465" t="s">
        <v>20</v>
      </c>
      <c r="B295" s="465" t="s">
        <v>21</v>
      </c>
      <c r="C295" s="34" t="s">
        <v>19</v>
      </c>
      <c r="D295" s="148"/>
      <c r="E295" s="142"/>
      <c r="F295" s="149" t="str">
        <f>IF(E295="","",IF(E295&gt;=660,1,IF(E295&lt;=430,ROUND('Reference Curves'!$K$14*E295+'Reference Curves'!$K$15,2),ROUND('Reference Curves'!$L$14*E295+'Reference Curves'!$L$15,2))))</f>
        <v/>
      </c>
      <c r="G295" s="455" t="str">
        <f>IFERROR(AVERAGE(F295:F296),"")</f>
        <v/>
      </c>
      <c r="H295" s="455" t="str">
        <f>IFERROR(ROUND(AVERAGE(G295:G310),2),"")</f>
        <v/>
      </c>
      <c r="I295" s="458" t="str">
        <f>IF(H295="","",IF(H295&gt;0.69,"Functioning",IF(H295&gt;0.29,"Functioning At Risk",IF(H295&gt;-1,"Not Functioning"))))</f>
        <v/>
      </c>
    </row>
    <row r="296" spans="1:9" ht="15" customHeight="1" x14ac:dyDescent="0.25">
      <c r="A296" s="462"/>
      <c r="B296" s="463"/>
      <c r="C296" s="279" t="s">
        <v>346</v>
      </c>
      <c r="D296" s="151"/>
      <c r="E296" s="140"/>
      <c r="F296" s="337" t="str">
        <f>IF(E296="","",IF(E296&gt;=28,1,ROUND(IF(E296&lt;=13,'Reference Curves'!$K$47*E296,'Reference Curves'!$L$47*E296+'Reference Curves'!$L$48),2)))</f>
        <v/>
      </c>
      <c r="G296" s="457"/>
      <c r="H296" s="456"/>
      <c r="I296" s="459"/>
    </row>
    <row r="297" spans="1:9" ht="15.75" x14ac:dyDescent="0.25">
      <c r="A297" s="462"/>
      <c r="B297" s="461" t="s">
        <v>402</v>
      </c>
      <c r="C297" s="148" t="s">
        <v>250</v>
      </c>
      <c r="D297" s="277"/>
      <c r="E297" s="142"/>
      <c r="F297" s="385" t="str">
        <f>IF(E297="","",ROUND(IF(E297&lt;=2,0,IF(E297&gt;=9,1,E297^3*'Reference Curves'!K$81+E297^2*'Reference Curves'!$K$82+E297*'Reference Curves'!$K$83+'Reference Curves'!$K$84)),2))</f>
        <v/>
      </c>
      <c r="G297" s="455" t="str">
        <f>IFERROR(AVERAGE(F297:F300),"")</f>
        <v/>
      </c>
      <c r="H297" s="456"/>
      <c r="I297" s="459"/>
    </row>
    <row r="298" spans="1:9" ht="15.75" x14ac:dyDescent="0.25">
      <c r="A298" s="462"/>
      <c r="B298" s="462"/>
      <c r="C298" s="151" t="s">
        <v>43</v>
      </c>
      <c r="D298" s="151"/>
      <c r="E298" s="140"/>
      <c r="F298" s="339" t="str">
        <f>IF(E298="","",IF(OR(E298="Ex/Ex",E298="Ex/VH",E298="Ex/H",E298="Ex/M",E298="VH/Ex",E298="VH/VH", E298="H/Ex",E298="H/VH"),0, IF(OR(E298="M/Ex"),0.1,IF(OR(E298="VH/H",E298="VH/M",E298="H/H",E298="H/M", E298="M/VH"),0.2, IF(OR(E298="Ex/VL",E298="Ex/L", E298="M/H"),0.3, IF(OR(E298="VH/L",E298="H/L"),0.4, IF(OR(E298="VH/VL",E298="H/VL",E298="M/M"),0.5, IF(OR(E298="M/L",E298="L/Ex"),0.6, IF(OR(E298="M/VL",E298="L/VH", E298="L/H",E298="L/M",E298="L/L",E298="L/VL"),1)))))))))</f>
        <v/>
      </c>
      <c r="G298" s="456"/>
      <c r="H298" s="456"/>
      <c r="I298" s="459"/>
    </row>
    <row r="299" spans="1:9" ht="15.75" x14ac:dyDescent="0.25">
      <c r="A299" s="462"/>
      <c r="B299" s="462"/>
      <c r="C299" s="368" t="s">
        <v>87</v>
      </c>
      <c r="D299" s="368"/>
      <c r="E299" s="140"/>
      <c r="F299" s="339" t="str">
        <f>IF(E299="","",ROUND(IF(E299&gt;=75,0,IF(E299&lt;=5,1,IF(E299&gt;10,E299*'Reference Curves'!K$115+'Reference Curves'!K$116,'Reference Curves'!$L$115*E299+'Reference Curves'!$L$116))),2))</f>
        <v/>
      </c>
      <c r="G299" s="456"/>
      <c r="H299" s="456"/>
      <c r="I299" s="459"/>
    </row>
    <row r="300" spans="1:9" s="317" customFormat="1" ht="15.75" x14ac:dyDescent="0.25">
      <c r="A300" s="462"/>
      <c r="B300" s="463"/>
      <c r="C300" s="371" t="s">
        <v>401</v>
      </c>
      <c r="D300" s="278"/>
      <c r="E300" s="143"/>
      <c r="F300" s="386" t="str">
        <f>IF(E300="","",IF(E300&gt;=30,0,ROUND(E300*'Reference Curves'!$K$146+'Reference Curves'!$K$147,2)))</f>
        <v/>
      </c>
      <c r="G300" s="457"/>
      <c r="H300" s="456"/>
      <c r="I300" s="459"/>
    </row>
    <row r="301" spans="1:9" ht="15.75" x14ac:dyDescent="0.25">
      <c r="A301" s="462"/>
      <c r="B301" s="361" t="s">
        <v>105</v>
      </c>
      <c r="C301" s="33" t="s">
        <v>130</v>
      </c>
      <c r="D301" s="151"/>
      <c r="E301" s="143"/>
      <c r="F301" s="332" t="str">
        <f>IF(OR(E301="",'Quantification Tool'!$B$13=""),"",IF(OR('Quantification Tool'!$B$13="Silt/Clay",'Quantification Tool'!$B$13="Sand",'Quantification Tool'!$B$13="Boulders",'Quantification Tool'!$B$13="Bedrock"),"NA",IF(E301&gt;0.1,1,IF(E301&lt;=0.01,0,ROUND(E301*'Reference Curves'!$K$177+'Reference Curves'!$K$178,2)))))</f>
        <v/>
      </c>
      <c r="G301" s="153" t="str">
        <f>IFERROR(AVERAGE(F301),"")</f>
        <v/>
      </c>
      <c r="H301" s="456"/>
      <c r="I301" s="459"/>
    </row>
    <row r="302" spans="1:9" ht="15.75" x14ac:dyDescent="0.25">
      <c r="A302" s="462"/>
      <c r="B302" s="465" t="s">
        <v>45</v>
      </c>
      <c r="C302" s="148" t="s">
        <v>46</v>
      </c>
      <c r="D302" s="148"/>
      <c r="E302" s="142"/>
      <c r="F302" s="155" t="str">
        <f>IF(E302="","",IF('Quantification Tool'!$B$9="Bc",IF(OR(E302&gt;=12,E302&lt;=0.1),0,IF(E302&lt;=3.4,1,ROUND('Reference Curves'!$K$310*E302+'Reference Curves'!$K$311,2))),  IF(OR('Quantification Tool'!$B$9="B",'Quantification Tool'!$B$9="Ba"),IF(OR(E302&gt;=7.5,E302&lt;=0.1),0,IF(E302&lt;=3,1,ROUND(IF(E302&gt;4,'Reference Curves'!$K$279*E302+'Reference Curves'!$K$280,'Reference Curves'!$L$279*E302+'Reference Curves'!$L$280),2))),  IF('Quantification Tool'!$B$9="Cb",IF(OR(E302&gt;=8.35,E302&lt;1.4),0,IF(AND(E302&gt;=3.7,E302&lt;=5),1,ROUND(IF(E302&lt;3.7,'Reference Curves'!$K$247*E302+'Reference Curves'!$K$248,'Reference Curves'!$L$247*E302+'Reference Curves'!$L$248),2))),  IF('Quantification Tool'!$B$9="C",IF(OR(E302&gt;9.3,E302&lt;=3),0,IF(AND(E302&gt;=4,E302&lt;=6),1,ROUND(IF(E302&lt;4,'Reference Curves'!$K$213*E302+'Reference Curves'!$K$214,'Reference Curves'!$L$213*E302+'Reference Curves'!$L$214),2))),  IF('Quantification Tool'!$B$9="E",IF(OR(E302&gt;8.2,E302&lt;1.85),0,IF(AND(E302&gt;=3.5,E302&lt;=5),1,ROUND(IF(E302&lt;3.5,'Reference Curves'!$K$343*E302+'Reference Curves'!$K$344,'Reference Curves'!$L$343*E302+'Reference Curves'!$L$344),2)))      ))))))</f>
        <v/>
      </c>
      <c r="G302" s="480" t="str">
        <f>IFERROR(AVERAGE(F302:F305),"")</f>
        <v/>
      </c>
      <c r="H302" s="456"/>
      <c r="I302" s="459"/>
    </row>
    <row r="303" spans="1:9" ht="15.75" x14ac:dyDescent="0.25">
      <c r="A303" s="462"/>
      <c r="B303" s="462"/>
      <c r="C303" s="151" t="s">
        <v>47</v>
      </c>
      <c r="D303" s="151"/>
      <c r="E303" s="140"/>
      <c r="F303" s="156" t="str">
        <f>IF(E303="","",IF(E303&lt;=1,0,IF(E303&gt;=3.2,1,IF(E303&gt;=2.2,ROUND('Reference Curves'!$L$375*E303+'Reference Curves'!$L$376,2),(ROUND('Reference Curves'!$K$375*E303+'Reference Curves'!$K$376,2))))))</f>
        <v/>
      </c>
      <c r="G303" s="464"/>
      <c r="H303" s="456"/>
      <c r="I303" s="459"/>
    </row>
    <row r="304" spans="1:9" ht="15.75" x14ac:dyDescent="0.25">
      <c r="A304" s="462"/>
      <c r="B304" s="462"/>
      <c r="C304" s="31" t="s">
        <v>356</v>
      </c>
      <c r="D304" s="151"/>
      <c r="E304" s="140"/>
      <c r="F304" s="362" t="str">
        <f>IF(E304="","",IF('Quantification Tool'!$B$11="Volcanic Mountains &amp; Valleys", IF(OR(E304&gt;86.65,E304&lt;33),0,IF(AND(E304&gt;=73,E304&lt;=80),1, ROUND(IF(E304&lt;73,'Reference Curves'!$K$408*E304+'Reference Curves'!$K$409, 'Reference Curves'!$L$408*E304+'Reference Curves'!$L$409),2))), IF('Quantification Tool'!B$16="","Need Slope",IF('Quantification Tool'!B$16&lt;3,IF( OR(E304&gt;=91,E304&lt;=13.5),0, IF(AND(E304&gt;49,E304&lt;61), 1, ROUND(IF(E304&lt;50,'Reference Curves'!$K$441*E304+'Reference Curves'!$K$442, IF(E304&gt;60,'Reference Curves'!$L$441*E304+'Reference Curves'!$L$442)),2))), IF('Quantification Tool'!B$16&gt;=3,IF(OR(E304&gt;94.5,E304&lt;41.5),0, IF(AND(E304 &gt;=68, E304&lt;=78),1, ROUND(IF(E304&lt;68,'Reference Curves'!$K$475*E304+'Reference Curves'!$K$476,'Reference Curves'!$L$475*E304+'Reference Curves'!$L$476),2) )))))))</f>
        <v/>
      </c>
      <c r="G304" s="464"/>
      <c r="H304" s="456"/>
      <c r="I304" s="459"/>
    </row>
    <row r="305" spans="1:10" ht="15.75" x14ac:dyDescent="0.25">
      <c r="A305" s="462"/>
      <c r="B305" s="463"/>
      <c r="C305" s="150" t="s">
        <v>213</v>
      </c>
      <c r="D305" s="150"/>
      <c r="E305" s="143"/>
      <c r="F305" s="360" t="str">
        <f>IF(E305="","",IF(E305&gt;=1.6,0,IF(E305&lt;=1,1,ROUND('Reference Curves'!$K$506*E305^3+'Reference Curves'!$K$507*E305^2+'Reference Curves'!$K$508*E305+'Reference Curves'!$K$509,2))))</f>
        <v/>
      </c>
      <c r="G305" s="481"/>
      <c r="H305" s="456"/>
      <c r="I305" s="459"/>
    </row>
    <row r="306" spans="1:10" ht="15.75" x14ac:dyDescent="0.25">
      <c r="A306" s="462"/>
      <c r="B306" s="361" t="s">
        <v>49</v>
      </c>
      <c r="C306" s="151" t="s">
        <v>48</v>
      </c>
      <c r="D306" s="151"/>
      <c r="E306" s="140"/>
      <c r="F306" s="341" t="str">
        <f>IF(E306="","",IF('Quantification Tool'!B$9="E",IF(OR(E306&gt;2.12,E306&lt;1.13),0, IF(AND(E306&gt;=1.3, E306&lt;=1.8),1, ROUND(IF(E306&lt;1.3,E306*'Reference Curves'!K$542+'Reference Curves'!K$543, E306*'Reference Curves'!L$542+'Reference Curves'!$L$543),2))),    IF('Quantification Tool'!$B$21="Unconfined Alluvial",IF(OR(E306&lt;1.12, E306&gt;1.67),0, IF(AND(E306&lt;=1.5,E306&gt;=1.2),1,ROUND(IF(E306&lt;1.2,E306*'Reference Curves'!$K$575+'Reference Curves'!$K$576, E306*'Reference Curves'!$L$575+'Reference Curves'!$L$576),2))),  IF('Quantification Tool'!$B$21="Confined Alluvial",IF(E306&lt;=1,0, IF(E306&gt;=1.2,1, ROUND(E306*'Reference Curves'!$K$604+'Reference Curves'!$K$605,2))),    IF('Quantification Tool'!$B$21="Colluvial/V-Shaped",IF(OR(E306&lt;1, E306&gt;1.47),0, IF(AND(E306&lt;=1.3,E306&gt;=1.1),1,ROUND(IF(E306&lt;1.1,E306*'Reference Curves'!$K$637+'Reference Curves'!$K$638, E306*'Reference Curves'!$L$637+'Reference Curves'!$L$638),2)))  )))))</f>
        <v/>
      </c>
      <c r="G306" s="156" t="str">
        <f>IFERROR(AVERAGE(F306),"")</f>
        <v/>
      </c>
      <c r="H306" s="456"/>
      <c r="I306" s="459"/>
    </row>
    <row r="307" spans="1:10" ht="15.75" x14ac:dyDescent="0.25">
      <c r="A307" s="462"/>
      <c r="B307" s="465" t="s">
        <v>44</v>
      </c>
      <c r="C307" s="32" t="s">
        <v>344</v>
      </c>
      <c r="D307" s="148"/>
      <c r="E307" s="142"/>
      <c r="F307" s="365" t="str">
        <f>IF(E307="","",IF('Quantification Tool'!$B$21="Unconfined Alluvial",IF(E307&gt;=100,1,IF(E307&lt;30,0,ROUND('Reference Curves'!$K$668*E307+'Reference Curves'!$K$669,2))),IF(OR('Quantification Tool'!$B$21="Confined Alluvial",'Quantification Tool'!$B$21="Colluvial/V-Shaped"),(IF(E307&gt;=100,1,IF(E307&lt;60,0,ROUND('Reference Curves'!$L$668*E307+'Reference Curves'!$L$669,2)))))))</f>
        <v/>
      </c>
      <c r="G307" s="480" t="str">
        <f>IFERROR(AVERAGE(F307:F310),"")</f>
        <v/>
      </c>
      <c r="H307" s="456"/>
      <c r="I307" s="459"/>
    </row>
    <row r="308" spans="1:10" ht="15.75" x14ac:dyDescent="0.25">
      <c r="A308" s="462"/>
      <c r="B308" s="462"/>
      <c r="C308" s="279" t="s">
        <v>390</v>
      </c>
      <c r="D308" s="151"/>
      <c r="E308" s="140"/>
      <c r="F308" s="156" t="str">
        <f>IF(E308="","",  IF(OR('Quantification Tool'!$B$10="Mountains",'Quantification Tool'!$B$10="Basins"),IF(E308&lt;=0,0, IF(E308&gt;=122,1,ROUND('Reference Curves'!$K$700*E308^2+'Reference Curves'!$K$701*E308+'Reference Curves'!$K$702,2))),   IF('Quantification Tool'!$B$10="Plains",IF(OR(E308&lt;=0,E308&gt;114),0, IF(AND(E308&lt;=69,E308&gt;=59),1, IF(E308&lt;59, ROUND(E308*'Reference Curves'!$K$735+'Reference Curves'!$K$736,2), ROUND(E308*'Reference Curves'!$L$735+'Reference Curves'!$L$736,2) )) ))))</f>
        <v/>
      </c>
      <c r="G308" s="464"/>
      <c r="H308" s="456"/>
      <c r="I308" s="459"/>
    </row>
    <row r="309" spans="1:10" ht="15.75" x14ac:dyDescent="0.25">
      <c r="A309" s="462"/>
      <c r="B309" s="466"/>
      <c r="C309" s="279" t="s">
        <v>391</v>
      </c>
      <c r="D309" s="151"/>
      <c r="E309" s="140"/>
      <c r="F309" s="156" t="str">
        <f>IF(E309="","",IF('Quantification Tool'!$B$19="Herbaceous", IF(E309&lt;=30,0,IF(E309&gt;=117,1, ROUND(E309*'Reference Curves'!$L$767+'Reference Curves'!$L$768,2))),  IF(E309&lt;=0,0, IF(E309&gt;=77,1, ROUND(E309*'Reference Curves'!$K$767+'Reference Curves'!$K$768,2)))  ))</f>
        <v/>
      </c>
      <c r="G309" s="464"/>
      <c r="H309" s="456"/>
      <c r="I309" s="459"/>
    </row>
    <row r="310" spans="1:10" s="317" customFormat="1" ht="15.75" x14ac:dyDescent="0.25">
      <c r="A310" s="463"/>
      <c r="B310" s="463"/>
      <c r="C310" s="467" t="s">
        <v>400</v>
      </c>
      <c r="D310" s="467"/>
      <c r="E310" s="143"/>
      <c r="F310" s="384" t="str">
        <f>IF(E310="","",IF(E310&lt;=46,0,IF(E310&gt;=100,1,IF(E310&lt;=91,ROUND(E310*'Reference Curves'!$L$799+'Reference Curves'!$L$800,2),ROUND(E310*'Reference Curves'!$K$799+'Reference Curves'!$K$800,2)))))</f>
        <v/>
      </c>
      <c r="G310" s="481"/>
      <c r="H310" s="457"/>
      <c r="I310" s="460"/>
    </row>
    <row r="311" spans="1:10" ht="15.75" x14ac:dyDescent="0.25">
      <c r="A311" s="496" t="s">
        <v>53</v>
      </c>
      <c r="B311" s="313" t="s">
        <v>80</v>
      </c>
      <c r="C311" s="60" t="s">
        <v>347</v>
      </c>
      <c r="D311" s="292"/>
      <c r="E311" s="140"/>
      <c r="F311" s="357" t="str">
        <f>IF(E311="","",IF('Quantification Tool'!$B$18="","Enter Stream Temperature",IF('Quantification Tool'!$B$18="Tier I (Cold) ",IF(E311&gt;=20.1,0,IF(E311&lt;=13.5,1,ROUND(E311*'Reference Curves'!$S$18+'Reference Curves'!$S$19,2))),IF('Quantification Tool'!$B$18="Tier II (Cold-Cool)",IF(E311&gt;=20.5,0,IF(E311&lt;=16.5,1,ROUND(E311*'Reference Curves'!$T$18+'Reference Curves'!$T$19,2))),IF('Quantification Tool'!$B$18="Tier III (Cool) ",IF(E311&gt;=23.6,0,IF(E311&lt;=18.3,1,ROUND(E311*'Reference Curves'!$U$18+'Reference Curves'!$U$19,2))),IF('Quantification Tool'!$B$18="Tier IV (Cool-Warm)",IF(E311&gt;=27.2,0,IF(E311&lt;=23.2,1,ROUND(E311*'Reference Curves'!$V$18+'Reference Curves'!$V$19,2))),IF('Quantification Tool'!$B$18="Tier V (Warm)",IF(E311&gt;=30.3,0,IF(E311&lt;=26,1,ROUND(E311*'Reference Curves'!$W$18+'Reference Curves'!$W$19,2))))))))))</f>
        <v/>
      </c>
      <c r="G311" s="309" t="str">
        <f>IF(F311="","", ROUND(AVERAGE(F311),2))</f>
        <v/>
      </c>
      <c r="H311" s="478" t="str">
        <f>IFERROR(ROUND(AVERAGE(G311:G312),2),"")</f>
        <v/>
      </c>
      <c r="I311" s="473" t="str">
        <f>IF(H311="","",IF(H311&gt;0.69,"Functioning",IF(H311&gt;0.29,"Functioning At Risk",IF(H311&gt;-1,"Not Functioning"))))</f>
        <v/>
      </c>
    </row>
    <row r="312" spans="1:10" ht="15.75" x14ac:dyDescent="0.25">
      <c r="A312" s="497"/>
      <c r="B312" s="363" t="s">
        <v>249</v>
      </c>
      <c r="C312" s="35" t="s">
        <v>357</v>
      </c>
      <c r="D312" s="160"/>
      <c r="E312" s="106"/>
      <c r="F312" s="161" t="str">
        <f>IF(E312="","",IF(OR('Quantification Tool'!$B$10="Basins",'Quantification Tool'!$B$10="Plains"),IF(E312&gt;=150,0,IF(E312&lt;16,1,ROUND('Reference Curves'!$S$53*LN(E312)+'Reference Curves'!$S$54,2))),IF(E312&gt;=97,0,IF(E312&lt;=13,1,ROUND('Reference Curves'!$T$53*LN(E312)+'Reference Curves'!$T$54,2)))))</f>
        <v/>
      </c>
      <c r="G312" s="162" t="str">
        <f>IFERROR(AVERAGE(F312),"")</f>
        <v/>
      </c>
      <c r="H312" s="479"/>
      <c r="I312" s="473"/>
    </row>
    <row r="313" spans="1:10" ht="15.75" x14ac:dyDescent="0.25">
      <c r="A313" s="508" t="s">
        <v>54</v>
      </c>
      <c r="B313" s="511" t="s">
        <v>189</v>
      </c>
      <c r="C313" s="163" t="s">
        <v>186</v>
      </c>
      <c r="D313" s="164"/>
      <c r="E313" s="142"/>
      <c r="F313" s="165" t="str">
        <f>IF(E313="","",IF('Quantification Tool'!$B$11="","Enter Bioregion",IF('Quantification Tool'!$B$11="Wyoming Basin",IF(E313&lt;=5.3,0,IF(E313&gt;=64.5,1,ROUND(IF(E313&lt;26.2,'Reference Curves'!$AB$17*E313+'Reference Curves'!$AB$18,IF(E313&lt;39.9, 'Reference Curves'!$AC$17*E313+'Reference Curves'!$AC$18,'Reference Curves'!$AD$17*E313+'Reference Curves'!$AD$18)),2))), IF('Quantification Tool'!$B$11="Black Hills",IF(E313&lt;=12.8,0,IF(E313&gt;=65.7,1,ROUND(IF(E313&lt;30.7,'Reference Curves'!$AE$17*E313+'Reference Curves'!$AE$18,IF(E313&lt;46.1,'Reference Curves'!$AF$17*E313+'Reference Curves'!$AF$18,'Reference Curves'!$AG$17*E313+'Reference Curves'!$AG$18)),2))), IF('Quantification Tool'!$B$11="High Valleys",IF(E313&lt;=17.1,0,IF(E313&gt;=78.2,1,ROUND(IF(E313&lt;48.8,'Reference Curves'!$AH$17*E313+'Reference Curves'!$AH$18,'Reference Curves'!$AI$17*E313+'Reference Curves'!$AI$18),2))),     IF('Quantification Tool'!$B$11="Southern Rockies",IF(E313&lt;=5.1,0,IF(E313&gt;=82.2,1,ROUND(IF(E313&lt;32.6, 'Reference Curves'!$AB$54*E313+'Reference Curves'!$AB$55, IF(E313&lt;48.8, 'Reference Curves'!$AC$54*E313+'Reference Curves'!$AC$55,  'Reference Curves'!$AD$54*E313+'Reference Curves'!$AD$55)), 2))), IF('Quantification Tool'!$B$11="SE Plains",IF(E313&lt;=10.4,0,IF(E313&gt;=87,1,ROUND(IF(E313&lt;36.7,'Reference Curves'!$AE$54*E313+'Reference Curves'!$AE$55, IF(E313&lt;55.1, 'Reference Curves'!$AF$54*E313+'Reference Curves'!$AF$55, 'Reference Curves'!$AG$54*E313+'Reference Curves'!$AG$55)),2))),   IF('Quantification Tool'!$B$11="NE Plains",IF(E313&lt;=1.6,0,IF(E313&gt;=95.8,1,ROUND(IF(E313&lt;38.9,'Reference Curves'!$AH$54*E313+'Reference Curves'!$AH$55, IF(E313&lt;58.4, 'Reference Curves'!$AI$54*E313+'Reference Curves'!$AI$55, 'Reference Curves'!$AJ$54*E313+'Reference Curves'!$AJ$55)),2))),      IF('Quantification Tool'!$B$11="Granitic Mountains",IF(E313&lt;=32.6,0,IF(E313&gt;=74.9,1,ROUND(IF(E313&lt;40.2, 'Reference Curves'!$AB$92*E313+'Reference Curves'!$AB$93, 'Reference Curves'!$AC$92*E313+'Reference Curves'!$AC$93),2))), IF('Quantification Tool'!$B$11="Volcanic Mountains &amp; Valleys",IF(E313&lt;=26,0,IF(E313&gt;=88.1,1,ROUND('Reference Curves'!$AF$92*E313+'Reference Curves'!$AF$93,2))), IF('Quantification Tool'!$B$11="Southern Foothills &amp; Laramie Range",IF(E313&lt;=30.7,0,IF(E313&gt;=85,1,ROUND(IF(E313&lt;44.5, 'Reference Curves'!$AD$92*E313+'Reference Curves'!$AD$93,  'Reference Curves'!$AE$92*E313+'Reference Curves'!$AE$93 ),2))),     IF('Quantification Tool'!$B$11="Sedimentary Mountains",IF(E313&lt;=17,0,IF(E313&gt;=70,1,ROUND('Reference Curves'!$AB$127*E313+'Reference Curves'!$AB$128,2))), IF('Quantification Tool'!$B$11="Bighorn Basin Foothills",IF(E313&lt;=3.9,0,IF(E313&gt;=80,1,ROUND(IF(E313&lt;40.6,'Reference Curves'!$AC$127*E313+'Reference Curves'!$AC$128,'Reference Curves'!$AD$127*E313+'Reference Curves'!$AD$128),2)))  )))))))))))))</f>
        <v/>
      </c>
      <c r="G313" s="474" t="str">
        <f>IFERROR(IF(AND(F313="",F314=""),"",IF(OR(F313="",F314=""),AVERAGE(F313:F314),IF(OR(F313&lt;0.3,F314&lt;0.3),IF(OR(F313&gt;=0.7,F314&gt;=0.7),MIN(0.69,AVERAGE(F313:F314)),MIN(0.29,AVERAGE(F313:F314))), IF(OR(F313&gt;=0.7,F314&gt;=0.7),IF(AVERAGE(F313:F314)&lt;0.7,0.7,AVERAGE(F313:F314)),AVERAGE(F313:F314))))),"")</f>
        <v/>
      </c>
      <c r="H313" s="476" t="str">
        <f>IFERROR(ROUND(AVERAGE(G313:G317),2),"")</f>
        <v/>
      </c>
      <c r="I313" s="473" t="str">
        <f>IF(H313="","",IF(H313&gt;0.69,"Functioning",IF(H313&gt;0.29,"Functioning At Risk",IF(H313&gt;-1,"Not Functioning"))))</f>
        <v/>
      </c>
      <c r="J313" s="5"/>
    </row>
    <row r="314" spans="1:10" ht="15.75" x14ac:dyDescent="0.25">
      <c r="A314" s="509"/>
      <c r="B314" s="513"/>
      <c r="C314" s="166" t="s">
        <v>187</v>
      </c>
      <c r="D314" s="167"/>
      <c r="E314" s="143"/>
      <c r="F314" s="168" t="str">
        <f>IF(E314="","",IF('Quantification Tool'!$B$11="","Enter Bioregion",IF('Quantification Tool'!$B$11="Wyoming Basin",IF(E314&lt;0.15,0,IF(E314&gt;1.18,1,ROUND(IF(E314&lt;0.64,'Reference Curves'!$AB$166*E314+'Reference Curves'!$AB$167, IF(E314&lt;0.82, 'Reference Curves'!$AC$166*E314+'Reference Curves'!$AC$167, 'Reference Curves'!$AD$166*E314+'Reference Curves'!$AD$167) ),2))), IF('Quantification Tool'!$B$11="Black Hills",IF(E314&lt;=0.37,0,IF(E314&gt;1.08,1,ROUND('Reference Curves'!$AE$166*E314+'Reference Curves'!$AE$167,2))), IF('Quantification Tool'!$B$11="High Valleys",IF(E314&lt;0.42,0,IF(E314&gt;1.14,1,ROUND(IF(E314&lt;0.68, 'Reference Curves'!$AF$166*E314+'Reference Curves'!$AF$167, IF(E314&lt;0.86, 'Reference Curves'!$AG$166*E314+'Reference Curves'!$AG$167, 'Reference Curves'!$AH$166*E314+'Reference Curves'!$AH$167)),2))), IF('Quantification Tool'!$B$11="Sedimentary Mountains",IF(E314&lt;0.42,0,IF(E314&gt;1.17,1,ROUND(IF(E314&lt;0.68, 'Reference Curves'!$AI$166*E314+'Reference Curves'!$AI$167, IF(E314&lt;0.82, 'Reference Curves'!$AJ$166*E314+'Reference Curves'!$AJ$167, 'Reference Curves'!$AK$166*E314+'Reference Curves'!$AK$167) ),2))),        IF('Quantification Tool'!$B$11="Southern Rockies",IF(E314&lt;0.27,0,IF(E314&gt;=1.18,1,ROUND(IF(E314&lt;0.62, 'Reference Curves'!$AB$204*E314+'Reference Curves'!$AB$205, IF(E314&lt;0.89, 'Reference Curves'!$AC$204*E314+'Reference Curves'!$AC$205, 'Reference Curves'!$AD$204*E314+'Reference Curves'!$AD$205) ),2))), IF('Quantification Tool'!$B$11="SE Plains",IF(E314&lt;0.34,0,IF(E314&gt;1.12,1,ROUND(IF(E314&lt;0.78, 'Reference Curves'!$AE$204*E314+'Reference Curves'!$AE$205, 'Reference Curves'!$AF$204*E314+'Reference Curves'!$AF$205),2))), IF('Quantification Tool'!$B$11="NE Plains",IF(E314&lt;0.11,0,IF(E314&gt;=0.98,1,ROUND(IF(E314&lt;0.52, 'Reference Curves'!$AG$204*E314+'Reference Curves'!$AG$205,'Reference Curves'!$AH$204*E314+'Reference Curves'!$AH$205 ),2))),    IF('Quantification Tool'!$B$11="Granitic Mountains",IF(E314&lt;=0.59,0,IF(E314&gt;=1.09,1,ROUND(IF(E314&lt;0.65, 'Reference Curves'!$AB$242*E314+'Reference Curves'!$AB$243, 'Reference Curves'!$AC$242*E314+'Reference Curves'!$AC$243),2))),IF('Quantification Tool'!$B$11="Bighorn Basin Foothills",IF(E314&lt;=0.41,0,IF(E314&gt;=0.92,1,ROUND(IF(E314&lt;0.84, 'Reference Curves'!$AD$242*E314+'Reference Curves'!$AD$243,  'Reference Curves'!$AE$242*E314+'Reference Curves'!$AE$243),2))),IF('Quantification Tool'!$B$11="Volcanic Mountains &amp; Valleys",IF(E314&lt;=0.21,0,IF(E314&gt;=1.21,1,ROUND(IF(E314&lt;0.65, 'Reference Curves'!$AI$242*E314+'Reference Curves'!$AI$243, IF(E314&lt;0.86,  'Reference Curves'!$AJ$242*E314+'Reference Curves'!$AJ$243,  'Reference Curves'!$AK$242*E314+'Reference Curves'!$AK$243)),2))), IF('Quantification Tool'!$B$11="Southern Foothills &amp; Laramie Range",IF(E314&lt;=0.29,0,IF(E314&gt;=1.2,1,ROUND(IF(E314&lt;0.68, 'Reference Curves'!$AF$242*E314+'Reference Curves'!$AF$243, IF(E314&lt;0.88,  'Reference Curves'!$AG$242*E314+'Reference Curves'!$AG$243, 'Reference Curves'!$AH$242*E314+'Reference Curves'!$AH$243)),2))) )))))))))))))</f>
        <v/>
      </c>
      <c r="G314" s="475"/>
      <c r="H314" s="476"/>
      <c r="I314" s="473"/>
      <c r="J314" s="5"/>
    </row>
    <row r="315" spans="1:10" ht="15.75" x14ac:dyDescent="0.25">
      <c r="A315" s="509"/>
      <c r="B315" s="511" t="s">
        <v>75</v>
      </c>
      <c r="C315" s="58" t="s">
        <v>349</v>
      </c>
      <c r="D315" s="169"/>
      <c r="E315" s="142"/>
      <c r="F315" s="170" t="str">
        <f>IF(E315="","",IF(E315&lt;58,0,IF(E315&gt;=100,1,ROUND(E315*'Reference Curves'!$AB$280+'Reference Curves'!$AB$281,2))))</f>
        <v/>
      </c>
      <c r="G315" s="474" t="str">
        <f>IFERROR(AVERAGE(F315:F317),"")</f>
        <v/>
      </c>
      <c r="H315" s="476"/>
      <c r="I315" s="473"/>
      <c r="J315" s="5"/>
    </row>
    <row r="316" spans="1:10" ht="15.75" x14ac:dyDescent="0.25">
      <c r="A316" s="509"/>
      <c r="B316" s="512"/>
      <c r="C316" s="59" t="s">
        <v>350</v>
      </c>
      <c r="D316" s="171"/>
      <c r="E316" s="140"/>
      <c r="F316" s="170" t="str">
        <f>IF(E316="","",ROUND(IF(E316&gt;=3,0,IF(E316&gt;=2,0.3,IF(E316&gt;=1,0.69,1))),2))</f>
        <v/>
      </c>
      <c r="G316" s="477"/>
      <c r="H316" s="476"/>
      <c r="I316" s="473"/>
      <c r="J316" s="5"/>
    </row>
    <row r="317" spans="1:10" ht="15.75" x14ac:dyDescent="0.25">
      <c r="A317" s="510"/>
      <c r="B317" s="513"/>
      <c r="C317" s="39" t="s">
        <v>351</v>
      </c>
      <c r="D317" s="172"/>
      <c r="E317" s="143"/>
      <c r="F317" s="168" t="str">
        <f>IF(E317="","",IF('Quantification Tool'!$B$20="","Enter Stream Producitvity Rating",IF('Quantification Tool'!$B$20="Blue Ribbon and non-trout",IF(E317&lt;5,0,IF(E317&gt;=40,1,ROUND(E317*'Reference Curves'!$AB$319+'Reference Curves'!$AB$320,2))),IF('Quantification Tool'!$B$20="Red Ribbon",IF(E317&lt;10,0,IF(E317&gt;=80,1,ROUND(E317*'Reference Curves'!$AC$319+'Reference Curves'!$AC$320,2))),IF(OR('Quantification Tool'!$B$20="Yellow Ribbon",'Quantification Tool'!$B$20="Green Ribbon"),IF(E317&lt;15,0,IF(E317&gt;=119,1,ROUND(E317*'Reference Curves'!$AD$319+'Reference Curves'!$AD$320,2)))   )))))</f>
        <v/>
      </c>
      <c r="G317" s="475"/>
      <c r="H317" s="476"/>
      <c r="I317" s="473"/>
      <c r="J317" s="5"/>
    </row>
    <row r="318" spans="1:10" x14ac:dyDescent="0.25">
      <c r="J318" s="5"/>
    </row>
    <row r="319" spans="1:10" x14ac:dyDescent="0.25">
      <c r="J319" s="5"/>
    </row>
    <row r="320" spans="1:10" ht="21" x14ac:dyDescent="0.35">
      <c r="A320" s="47" t="s">
        <v>135</v>
      </c>
      <c r="B320" s="352"/>
      <c r="C320" s="355" t="s">
        <v>383</v>
      </c>
      <c r="D320" s="557"/>
      <c r="E320" s="558"/>
      <c r="F320" s="559"/>
      <c r="G320" s="554" t="s">
        <v>14</v>
      </c>
      <c r="H320" s="555"/>
      <c r="I320" s="556"/>
    </row>
    <row r="321" spans="1:9" ht="16.5" customHeight="1" x14ac:dyDescent="0.25">
      <c r="A321" s="53" t="s">
        <v>1</v>
      </c>
      <c r="B321" s="53" t="s">
        <v>2</v>
      </c>
      <c r="C321" s="327" t="s">
        <v>3</v>
      </c>
      <c r="D321" s="328"/>
      <c r="E321" s="53" t="s">
        <v>12</v>
      </c>
      <c r="F321" s="53" t="s">
        <v>13</v>
      </c>
      <c r="G321" s="53" t="s">
        <v>15</v>
      </c>
      <c r="H321" s="53" t="s">
        <v>16</v>
      </c>
      <c r="I321" s="413" t="s">
        <v>16</v>
      </c>
    </row>
    <row r="322" spans="1:9" ht="15.75" customHeight="1" x14ac:dyDescent="0.25">
      <c r="A322" s="540" t="s">
        <v>345</v>
      </c>
      <c r="B322" s="485" t="s">
        <v>128</v>
      </c>
      <c r="C322" s="287" t="s">
        <v>341</v>
      </c>
      <c r="D322" s="288"/>
      <c r="E322" s="142"/>
      <c r="F322" s="335" t="str">
        <f>IF(E322="","",IF(E322&gt;=80,0,IF(E322&lt;=40,1,IF(E322&gt;=68,ROUND(E322*'Reference Curves'!$C$14+'Reference Curves'!$C$15,2),ROUND(E322*'Reference Curves'!$D$14+'Reference Curves'!$D$15,2)))))</f>
        <v/>
      </c>
      <c r="G322" s="501" t="str">
        <f>IFERROR(AVERAGE(F322:F323),"")</f>
        <v/>
      </c>
      <c r="H322" s="501" t="str">
        <f>IFERROR(ROUND(AVERAGE(G322:G326),2),"")</f>
        <v/>
      </c>
      <c r="I322" s="504" t="str">
        <f>IF(H322="","",IF(H322:H326&gt;0.69,"Functioning",IF(H322&gt;0.29,"Functioning At Risk",IF(H322&gt;-1,"Not Functioning"))))</f>
        <v/>
      </c>
    </row>
    <row r="323" spans="1:9" ht="15.75" customHeight="1" x14ac:dyDescent="0.25">
      <c r="A323" s="541"/>
      <c r="B323" s="486"/>
      <c r="C323" s="289" t="s">
        <v>129</v>
      </c>
      <c r="D323" s="145"/>
      <c r="E323" s="143"/>
      <c r="F323" s="291" t="str">
        <f>IF(E323="","",   IF(E323&gt;3.22,0, IF(E323&lt;0, "", ROUND('Reference Curves'!$C$44*E323+'Reference Curves'!$C$45,2))))</f>
        <v/>
      </c>
      <c r="G323" s="503"/>
      <c r="H323" s="502"/>
      <c r="I323" s="505"/>
    </row>
    <row r="324" spans="1:9" ht="15.75" customHeight="1" x14ac:dyDescent="0.25">
      <c r="A324" s="541"/>
      <c r="B324" s="290" t="s">
        <v>140</v>
      </c>
      <c r="C324" s="543" t="s">
        <v>237</v>
      </c>
      <c r="D324" s="544"/>
      <c r="E324" s="144"/>
      <c r="F324" s="291" t="str">
        <f>IF(E324="","",IF(OR(E324&gt;=2,E324&lt;=0.26),0,IF(AND(E324&gt;=0.9,E324&lt;=1.1),1,ROUND(IF(E324&lt;0.9,'Reference Curves'!$C$75*E324+'Reference Curves'!$C$76,'Reference Curves'!$D$75*E324+'Reference Curves'!$D$76),2))))</f>
        <v/>
      </c>
      <c r="G324" s="364" t="str">
        <f>IFERROR(F324,"")</f>
        <v/>
      </c>
      <c r="H324" s="502"/>
      <c r="I324" s="505"/>
    </row>
    <row r="325" spans="1:9" ht="15.75" customHeight="1" x14ac:dyDescent="0.25">
      <c r="A325" s="541"/>
      <c r="B325" s="485" t="s">
        <v>5</v>
      </c>
      <c r="C325" s="145" t="s">
        <v>6</v>
      </c>
      <c r="D325" s="145"/>
      <c r="E325" s="140"/>
      <c r="F325" s="336" t="str">
        <f>IF(E325="","",ROUND(IF(E325&gt;1.71,0,IF(E325&lt;=1,1,E325*'Reference Curves'!C$107+'Reference Curves'!C$108)),2))</f>
        <v/>
      </c>
      <c r="G325" s="501" t="str">
        <f>IFERROR(AVERAGE(F325:F326),"")</f>
        <v/>
      </c>
      <c r="H325" s="502"/>
      <c r="I325" s="505"/>
    </row>
    <row r="326" spans="1:9" ht="15" customHeight="1" x14ac:dyDescent="0.25">
      <c r="A326" s="542"/>
      <c r="B326" s="486"/>
      <c r="C326" s="146" t="s">
        <v>7</v>
      </c>
      <c r="D326" s="146"/>
      <c r="E326" s="143"/>
      <c r="F326" s="147" t="str">
        <f>IF(E326="","",IF(OR('Quantification Tool'!$B$9="A",'Quantification Tool'!$B$9="Ba",'Quantification Tool'!$B$9="B", 'Quantification Tool'!$B$9="Bc"),IF(E326&lt;1.05,0,IF(E326&gt;=2.2,1,ROUND(IF(E326&lt;1.4,E326*'Reference Curves'!$C$176+'Reference Curves'!$C$177,E326*'Reference Curves'!$D$176+'Reference Curves'!$D$177),2))),IF(OR('Quantification Tool'!$B$9="C",'Quantification Tool'!$B$9="Cb",'Quantification Tool'!$B$9="E"),IF(E326&lt;1.7,0,IF(E326&gt;=5,1,ROUND(IF(E326&lt;2.4,E326*'Reference Curves'!$D$141+'Reference Curves'!$D$142,E326*'Reference Curves'!$C$141+'Reference Curves'!$C$142),2))))))</f>
        <v/>
      </c>
      <c r="G326" s="503"/>
      <c r="H326" s="503"/>
      <c r="I326" s="506"/>
    </row>
    <row r="327" spans="1:9" ht="15" customHeight="1" x14ac:dyDescent="0.25">
      <c r="A327" s="465" t="s">
        <v>20</v>
      </c>
      <c r="B327" s="465" t="s">
        <v>21</v>
      </c>
      <c r="C327" s="34" t="s">
        <v>19</v>
      </c>
      <c r="D327" s="148"/>
      <c r="E327" s="142"/>
      <c r="F327" s="149" t="str">
        <f>IF(E327="","",IF(E327&gt;=660,1,IF(E327&lt;=430,ROUND('Reference Curves'!$K$14*E327+'Reference Curves'!$K$15,2),ROUND('Reference Curves'!$L$14*E327+'Reference Curves'!$L$15,2))))</f>
        <v/>
      </c>
      <c r="G327" s="455" t="str">
        <f>IFERROR(AVERAGE(F327:F328),"")</f>
        <v/>
      </c>
      <c r="H327" s="455" t="str">
        <f>IFERROR(ROUND(AVERAGE(G327:G342),2),"")</f>
        <v/>
      </c>
      <c r="I327" s="458" t="str">
        <f>IF(H327="","",IF(H327&gt;0.69,"Functioning",IF(H327&gt;0.29,"Functioning At Risk",IF(H327&gt;-1,"Not Functioning"))))</f>
        <v/>
      </c>
    </row>
    <row r="328" spans="1:9" ht="15" customHeight="1" x14ac:dyDescent="0.25">
      <c r="A328" s="462"/>
      <c r="B328" s="463"/>
      <c r="C328" s="279" t="s">
        <v>346</v>
      </c>
      <c r="D328" s="151"/>
      <c r="E328" s="140"/>
      <c r="F328" s="337" t="str">
        <f>IF(E328="","",IF(E328&gt;=28,1,ROUND(IF(E328&lt;=13,'Reference Curves'!$K$47*E328,'Reference Curves'!$L$47*E328+'Reference Curves'!$L$48),2)))</f>
        <v/>
      </c>
      <c r="G328" s="457"/>
      <c r="H328" s="456"/>
      <c r="I328" s="459"/>
    </row>
    <row r="329" spans="1:9" ht="15.75" x14ac:dyDescent="0.25">
      <c r="A329" s="462"/>
      <c r="B329" s="461" t="s">
        <v>402</v>
      </c>
      <c r="C329" s="148" t="s">
        <v>250</v>
      </c>
      <c r="D329" s="277"/>
      <c r="E329" s="142"/>
      <c r="F329" s="385" t="str">
        <f>IF(E329="","",ROUND(IF(E329&lt;=2,0,IF(E329&gt;=9,1,E329^3*'Reference Curves'!K$81+E329^2*'Reference Curves'!$K$82+E329*'Reference Curves'!$K$83+'Reference Curves'!$K$84)),2))</f>
        <v/>
      </c>
      <c r="G329" s="455" t="str">
        <f>IFERROR(AVERAGE(F329:F332),"")</f>
        <v/>
      </c>
      <c r="H329" s="456"/>
      <c r="I329" s="459"/>
    </row>
    <row r="330" spans="1:9" ht="15.75" x14ac:dyDescent="0.25">
      <c r="A330" s="462"/>
      <c r="B330" s="462"/>
      <c r="C330" s="151" t="s">
        <v>43</v>
      </c>
      <c r="D330" s="151"/>
      <c r="E330" s="140"/>
      <c r="F330" s="339" t="str">
        <f>IF(E330="","",IF(OR(E330="Ex/Ex",E330="Ex/VH",E330="Ex/H",E330="Ex/M",E330="VH/Ex",E330="VH/VH", E330="H/Ex",E330="H/VH"),0, IF(OR(E330="M/Ex"),0.1,IF(OR(E330="VH/H",E330="VH/M",E330="H/H",E330="H/M", E330="M/VH"),0.2, IF(OR(E330="Ex/VL",E330="Ex/L", E330="M/H"),0.3, IF(OR(E330="VH/L",E330="H/L"),0.4, IF(OR(E330="VH/VL",E330="H/VL",E330="M/M"),0.5, IF(OR(E330="M/L",E330="L/Ex"),0.6, IF(OR(E330="M/VL",E330="L/VH", E330="L/H",E330="L/M",E330="L/L",E330="L/VL"),1)))))))))</f>
        <v/>
      </c>
      <c r="G330" s="456"/>
      <c r="H330" s="456"/>
      <c r="I330" s="459"/>
    </row>
    <row r="331" spans="1:9" ht="15.75" x14ac:dyDescent="0.25">
      <c r="A331" s="462"/>
      <c r="B331" s="462"/>
      <c r="C331" s="368" t="s">
        <v>87</v>
      </c>
      <c r="D331" s="368"/>
      <c r="E331" s="140"/>
      <c r="F331" s="339" t="str">
        <f>IF(E331="","",ROUND(IF(E331&gt;=75,0,IF(E331&lt;=5,1,IF(E331&gt;10,E331*'Reference Curves'!K$115+'Reference Curves'!K$116,'Reference Curves'!$L$115*E331+'Reference Curves'!$L$116))),2))</f>
        <v/>
      </c>
      <c r="G331" s="456"/>
      <c r="H331" s="456"/>
      <c r="I331" s="459"/>
    </row>
    <row r="332" spans="1:9" s="317" customFormat="1" ht="15.75" x14ac:dyDescent="0.25">
      <c r="A332" s="462"/>
      <c r="B332" s="463"/>
      <c r="C332" s="371" t="s">
        <v>401</v>
      </c>
      <c r="D332" s="278"/>
      <c r="E332" s="143"/>
      <c r="F332" s="386" t="str">
        <f>IF(E332="","",IF(E332&gt;=30,0,ROUND(E332*'Reference Curves'!$K$146+'Reference Curves'!$K$147,2)))</f>
        <v/>
      </c>
      <c r="G332" s="457"/>
      <c r="H332" s="456"/>
      <c r="I332" s="459"/>
    </row>
    <row r="333" spans="1:9" ht="15.75" x14ac:dyDescent="0.25">
      <c r="A333" s="462"/>
      <c r="B333" s="361" t="s">
        <v>105</v>
      </c>
      <c r="C333" s="33" t="s">
        <v>130</v>
      </c>
      <c r="D333" s="151"/>
      <c r="E333" s="143"/>
      <c r="F333" s="332" t="str">
        <f>IF(OR(E333="",'Quantification Tool'!$B$13=""),"",IF(OR('Quantification Tool'!$B$13="Silt/Clay",'Quantification Tool'!$B$13="Sand",'Quantification Tool'!$B$13="Boulders",'Quantification Tool'!$B$13="Bedrock"),"NA",IF(E333&gt;0.1,1,IF(E333&lt;=0.01,0,ROUND(E333*'Reference Curves'!$K$177+'Reference Curves'!$K$178,2)))))</f>
        <v/>
      </c>
      <c r="G333" s="153" t="str">
        <f>IFERROR(AVERAGE(F333),"")</f>
        <v/>
      </c>
      <c r="H333" s="456"/>
      <c r="I333" s="459"/>
    </row>
    <row r="334" spans="1:9" ht="15.75" x14ac:dyDescent="0.25">
      <c r="A334" s="462"/>
      <c r="B334" s="465" t="s">
        <v>45</v>
      </c>
      <c r="C334" s="148" t="s">
        <v>46</v>
      </c>
      <c r="D334" s="148"/>
      <c r="E334" s="142"/>
      <c r="F334" s="155" t="str">
        <f>IF(E334="","",IF('Quantification Tool'!$B$9="Bc",IF(OR(E334&gt;=12,E334&lt;=0.1),0,IF(E334&lt;=3.4,1,ROUND('Reference Curves'!$K$310*E334+'Reference Curves'!$K$311,2))),  IF(OR('Quantification Tool'!$B$9="B",'Quantification Tool'!$B$9="Ba"),IF(OR(E334&gt;=7.5,E334&lt;=0.1),0,IF(E334&lt;=3,1,ROUND(IF(E334&gt;4,'Reference Curves'!$K$279*E334+'Reference Curves'!$K$280,'Reference Curves'!$L$279*E334+'Reference Curves'!$L$280),2))),  IF('Quantification Tool'!$B$9="Cb",IF(OR(E334&gt;=8.35,E334&lt;1.4),0,IF(AND(E334&gt;=3.7,E334&lt;=5),1,ROUND(IF(E334&lt;3.7,'Reference Curves'!$K$247*E334+'Reference Curves'!$K$248,'Reference Curves'!$L$247*E334+'Reference Curves'!$L$248),2))),  IF('Quantification Tool'!$B$9="C",IF(OR(E334&gt;9.3,E334&lt;=3),0,IF(AND(E334&gt;=4,E334&lt;=6),1,ROUND(IF(E334&lt;4,'Reference Curves'!$K$213*E334+'Reference Curves'!$K$214,'Reference Curves'!$L$213*E334+'Reference Curves'!$L$214),2))),  IF('Quantification Tool'!$B$9="E",IF(OR(E334&gt;8.2,E334&lt;1.85),0,IF(AND(E334&gt;=3.5,E334&lt;=5),1,ROUND(IF(E334&lt;3.5,'Reference Curves'!$K$343*E334+'Reference Curves'!$K$344,'Reference Curves'!$L$343*E334+'Reference Curves'!$L$344),2)))      ))))))</f>
        <v/>
      </c>
      <c r="G334" s="480" t="str">
        <f>IFERROR(AVERAGE(F334:F337),"")</f>
        <v/>
      </c>
      <c r="H334" s="456"/>
      <c r="I334" s="459"/>
    </row>
    <row r="335" spans="1:9" ht="15.75" x14ac:dyDescent="0.25">
      <c r="A335" s="462"/>
      <c r="B335" s="462"/>
      <c r="C335" s="151" t="s">
        <v>47</v>
      </c>
      <c r="D335" s="151"/>
      <c r="E335" s="140"/>
      <c r="F335" s="156" t="str">
        <f>IF(E335="","",IF(E335&lt;=1,0,IF(E335&gt;=3.2,1,IF(E335&gt;=2.2,ROUND('Reference Curves'!$L$375*E335+'Reference Curves'!$L$376,2),(ROUND('Reference Curves'!$K$375*E335+'Reference Curves'!$K$376,2))))))</f>
        <v/>
      </c>
      <c r="G335" s="464"/>
      <c r="H335" s="456"/>
      <c r="I335" s="459"/>
    </row>
    <row r="336" spans="1:9" ht="15.75" x14ac:dyDescent="0.25">
      <c r="A336" s="462"/>
      <c r="B336" s="462"/>
      <c r="C336" s="31" t="s">
        <v>356</v>
      </c>
      <c r="D336" s="151"/>
      <c r="E336" s="140"/>
      <c r="F336" s="362" t="str">
        <f>IF(E336="","",IF('Quantification Tool'!$B$11="Volcanic Mountains &amp; Valleys", IF(OR(E336&gt;86.65,E336&lt;33),0,IF(AND(E336&gt;=73,E336&lt;=80),1, ROUND(IF(E336&lt;73,'Reference Curves'!$K$408*E336+'Reference Curves'!$K$409, 'Reference Curves'!$L$408*E336+'Reference Curves'!$L$409),2))), IF('Quantification Tool'!B$16="","Need Slope",IF('Quantification Tool'!B$16&lt;3,IF( OR(E336&gt;=91,E336&lt;=13.5),0, IF(AND(E336&gt;49,E336&lt;61), 1, ROUND(IF(E336&lt;50,'Reference Curves'!$K$441*E336+'Reference Curves'!$K$442, IF(E336&gt;60,'Reference Curves'!$L$441*E336+'Reference Curves'!$L$442)),2))), IF('Quantification Tool'!B$16&gt;=3,IF(OR(E336&gt;94.5,E336&lt;41.5),0, IF(AND(E336 &gt;=68, E336&lt;=78),1, ROUND(IF(E336&lt;68,'Reference Curves'!$K$475*E336+'Reference Curves'!$K$476,'Reference Curves'!$L$475*E336+'Reference Curves'!$L$476),2) )))))))</f>
        <v/>
      </c>
      <c r="G336" s="464"/>
      <c r="H336" s="456"/>
      <c r="I336" s="459"/>
    </row>
    <row r="337" spans="1:10" ht="15.75" x14ac:dyDescent="0.25">
      <c r="A337" s="462"/>
      <c r="B337" s="463"/>
      <c r="C337" s="150" t="s">
        <v>213</v>
      </c>
      <c r="D337" s="150"/>
      <c r="E337" s="143"/>
      <c r="F337" s="360" t="str">
        <f>IF(E337="","",IF(E337&gt;=1.6,0,IF(E337&lt;=1,1,ROUND('Reference Curves'!$K$506*E337^3+'Reference Curves'!$K$507*E337^2+'Reference Curves'!$K$508*E337+'Reference Curves'!$K$509,2))))</f>
        <v/>
      </c>
      <c r="G337" s="481"/>
      <c r="H337" s="456"/>
      <c r="I337" s="459"/>
    </row>
    <row r="338" spans="1:10" ht="15.75" x14ac:dyDescent="0.25">
      <c r="A338" s="462"/>
      <c r="B338" s="361" t="s">
        <v>49</v>
      </c>
      <c r="C338" s="151" t="s">
        <v>48</v>
      </c>
      <c r="D338" s="151"/>
      <c r="E338" s="140"/>
      <c r="F338" s="341" t="str">
        <f>IF(E338="","",IF('Quantification Tool'!B$9="E",IF(OR(E338&gt;2.14,E338&lt;1.13),0, IF(AND(E338&gt;=1.3, E338&lt;=1.8),1, ROUND(IF(E338&lt;1.3,E338*'Reference Curves'!K$542+'Reference Curves'!K$543, E338*'Reference Curves'!L$542+'Reference Curves'!$L$543),2))),    IF('Quantification Tool'!$B$21="Unconfined Alluvial",IF(OR(E338&lt;1.12, E338&gt;1.67),0, IF(AND(E338&lt;=1.5,E338&gt;=1.2),1,ROUND(IF(E338&lt;1.2,E338*'Reference Curves'!$K$575+'Reference Curves'!$K$576, E338*'Reference Curves'!$L$575+'Reference Curves'!$L$576),2))),  IF('Quantification Tool'!$B$21="Confined Alluvial",IF(E338&lt;=1,0, IF(E338&gt;=1.2,1, ROUND(E338*'Reference Curves'!$K$604+'Reference Curves'!$K$605,2))),    IF('Quantification Tool'!$B$21="Colluvial/V-Shaped",IF(OR(E338&lt;1, E338&gt;1.47),0, IF(AND(E338&lt;=1.3,E338&gt;=1.1),1,ROUND(IF(E338&lt;1.1,E338*'Reference Curves'!$K$637+'Reference Curves'!$K$638, E338*'Reference Curves'!$L$637+'Reference Curves'!$L$638),2)))  )))))</f>
        <v/>
      </c>
      <c r="G338" s="156" t="str">
        <f>IFERROR(AVERAGE(F338),"")</f>
        <v/>
      </c>
      <c r="H338" s="456"/>
      <c r="I338" s="459"/>
    </row>
    <row r="339" spans="1:10" ht="15.75" x14ac:dyDescent="0.25">
      <c r="A339" s="462"/>
      <c r="B339" s="465" t="s">
        <v>44</v>
      </c>
      <c r="C339" s="32" t="s">
        <v>344</v>
      </c>
      <c r="D339" s="148"/>
      <c r="E339" s="142"/>
      <c r="F339" s="365" t="str">
        <f>IF(E339="","",IF('Quantification Tool'!$B$21="Unconfined Alluvial",IF(E339&gt;=100,1,IF(E339&lt;30,0,ROUND('Reference Curves'!$K$668*E339+'Reference Curves'!$K$669,2))),IF(OR('Quantification Tool'!$B$21="Confined Alluvial",'Quantification Tool'!$B$21="Colluvial/V-Shaped"),(IF(E339&gt;=100,1,IF(E339&lt;60,0,ROUND('Reference Curves'!$L$668*E339+'Reference Curves'!$L$669,2)))))))</f>
        <v/>
      </c>
      <c r="G339" s="480" t="str">
        <f>IFERROR(AVERAGE(F339:F342),"")</f>
        <v/>
      </c>
      <c r="H339" s="456"/>
      <c r="I339" s="459"/>
    </row>
    <row r="340" spans="1:10" ht="15.75" x14ac:dyDescent="0.25">
      <c r="A340" s="462"/>
      <c r="B340" s="462"/>
      <c r="C340" s="279" t="s">
        <v>390</v>
      </c>
      <c r="D340" s="151"/>
      <c r="E340" s="140"/>
      <c r="F340" s="156" t="str">
        <f>IF(E340="","",  IF(OR('Quantification Tool'!$B$10="Mountains",'Quantification Tool'!$B$10="Basins"),IF(E340&lt;=0,0, IF(E340&gt;=122,1,ROUND('Reference Curves'!$K$700*E340^2+'Reference Curves'!$K$701*E340+'Reference Curves'!$K$702,2))),   IF('Quantification Tool'!$B$10="Plains",IF(OR(E340&lt;=0,E340&gt;114),0, IF(AND(E340&lt;=69,E340&gt;=59),1, IF(E340&lt;59, ROUND(E340*'Reference Curves'!$K$735+'Reference Curves'!$K$736,2), ROUND(E340*'Reference Curves'!$L$735+'Reference Curves'!$L$736,2) )) ))))</f>
        <v/>
      </c>
      <c r="G340" s="464"/>
      <c r="H340" s="456"/>
      <c r="I340" s="459"/>
    </row>
    <row r="341" spans="1:10" ht="15.75" x14ac:dyDescent="0.25">
      <c r="A341" s="462"/>
      <c r="B341" s="466"/>
      <c r="C341" s="279" t="s">
        <v>391</v>
      </c>
      <c r="D341" s="151"/>
      <c r="E341" s="140"/>
      <c r="F341" s="156" t="str">
        <f>IF(E341="","",IF('Quantification Tool'!$B$19="Herbaceous", IF(E341&lt;=30,0,IF(E341&gt;=117,1, ROUND(E341*'Reference Curves'!$L$767+'Reference Curves'!$L$768,2))),  IF(E341&lt;=0,0, IF(E341&gt;=77,1, ROUND(E341*'Reference Curves'!$K$767+'Reference Curves'!$K$768,2)))  ))</f>
        <v/>
      </c>
      <c r="G341" s="464"/>
      <c r="H341" s="456"/>
      <c r="I341" s="459"/>
    </row>
    <row r="342" spans="1:10" s="317" customFormat="1" ht="15.75" x14ac:dyDescent="0.25">
      <c r="A342" s="463"/>
      <c r="B342" s="463"/>
      <c r="C342" s="467" t="s">
        <v>400</v>
      </c>
      <c r="D342" s="467"/>
      <c r="E342" s="143"/>
      <c r="F342" s="384" t="str">
        <f>IF(E342="","",IF(E342&lt;=46,0,IF(E342&gt;=100,1,IF(E342&lt;=91,ROUND(E342*'Reference Curves'!$L$799+'Reference Curves'!$L$800,2),ROUND(E342*'Reference Curves'!$K$799+'Reference Curves'!$K$800,2)))))</f>
        <v/>
      </c>
      <c r="G342" s="481"/>
      <c r="H342" s="457"/>
      <c r="I342" s="460"/>
    </row>
    <row r="343" spans="1:10" ht="15.75" x14ac:dyDescent="0.25">
      <c r="A343" s="496" t="s">
        <v>53</v>
      </c>
      <c r="B343" s="313" t="s">
        <v>80</v>
      </c>
      <c r="C343" s="60" t="s">
        <v>347</v>
      </c>
      <c r="D343" s="292"/>
      <c r="E343" s="140"/>
      <c r="F343" s="357" t="str">
        <f>IF(E343="","",IF('Quantification Tool'!$B$18="","Enter Stream Temperature",IF('Quantification Tool'!$B$18="Tier I (Cold) ",IF(E343&gt;=20.1,0,IF(E343&lt;=13.5,1,ROUND(E343*'Reference Curves'!$S$18+'Reference Curves'!$S$19,2))),IF('Quantification Tool'!$B$18="Tier II (Cold-Cool)",IF(E343&gt;=20.5,0,IF(E343&lt;=16.5,1,ROUND(E343*'Reference Curves'!$T$18+'Reference Curves'!$T$19,2))),IF('Quantification Tool'!$B$18="Tier III (Cool) ",IF(E343&gt;=23.6,0,IF(E343&lt;=18.3,1,ROUND(E343*'Reference Curves'!$U$18+'Reference Curves'!$U$19,2))),IF('Quantification Tool'!$B$18="Tier IV (Cool-Warm)",IF(E343&gt;=27.2,0,IF(E343&lt;=23.2,1,ROUND(E343*'Reference Curves'!$V$18+'Reference Curves'!$V$19,2))),IF('Quantification Tool'!$B$18="Tier V (Warm)",IF(E343&gt;=30.3,0,IF(E343&lt;=26,1,ROUND(E343*'Reference Curves'!$W$18+'Reference Curves'!$W$19,2))))))))))</f>
        <v/>
      </c>
      <c r="G343" s="309" t="str">
        <f>IF(F343="","", ROUND(AVERAGE(F343),2))</f>
        <v/>
      </c>
      <c r="H343" s="478" t="str">
        <f>IFERROR(ROUND(AVERAGE(G343:G344),2),"")</f>
        <v/>
      </c>
      <c r="I343" s="473" t="str">
        <f>IF(H343="","",IF(H343&gt;0.69,"Functioning",IF(H343&gt;0.29,"Functioning At Risk",IF(H343&gt;-1,"Not Functioning"))))</f>
        <v/>
      </c>
    </row>
    <row r="344" spans="1:10" ht="15.75" x14ac:dyDescent="0.25">
      <c r="A344" s="497"/>
      <c r="B344" s="363" t="s">
        <v>249</v>
      </c>
      <c r="C344" s="35" t="s">
        <v>357</v>
      </c>
      <c r="D344" s="160"/>
      <c r="E344" s="106"/>
      <c r="F344" s="161" t="str">
        <f>IF(E344="","",IF(OR('Quantification Tool'!$B$10="Basins",'Quantification Tool'!$B$10="Plains"),IF(E344&gt;=150,0,IF(E344&lt;16,1,ROUND('Reference Curves'!$S$53*LN(E344)+'Reference Curves'!$S$54,2))),IF(E344&gt;=97,0,IF(E344&lt;=13,1,ROUND('Reference Curves'!$T$53*LN(E344)+'Reference Curves'!$T$54,2)))))</f>
        <v/>
      </c>
      <c r="G344" s="162" t="str">
        <f>IFERROR(AVERAGE(F344),"")</f>
        <v/>
      </c>
      <c r="H344" s="479"/>
      <c r="I344" s="473"/>
    </row>
    <row r="345" spans="1:10" ht="15.75" x14ac:dyDescent="0.25">
      <c r="A345" s="508" t="s">
        <v>54</v>
      </c>
      <c r="B345" s="511" t="s">
        <v>189</v>
      </c>
      <c r="C345" s="163" t="s">
        <v>186</v>
      </c>
      <c r="D345" s="164"/>
      <c r="E345" s="142"/>
      <c r="F345" s="165" t="str">
        <f>IF(E345="","",IF('Quantification Tool'!$B$11="","Enter Bioregion",IF('Quantification Tool'!$B$11="Wyoming Basin",IF(E345&lt;=5.3,0,IF(E345&gt;=64.5,1,ROUND(IF(E345&lt;26.2,'Reference Curves'!$AB$17*E345+'Reference Curves'!$AB$18,IF(E345&lt;39.9, 'Reference Curves'!$AC$17*E345+'Reference Curves'!$AC$18,'Reference Curves'!$AD$17*E345+'Reference Curves'!$AD$18)),2))), IF('Quantification Tool'!$B$11="Black Hills",IF(E345&lt;=12.8,0,IF(E345&gt;=65.7,1,ROUND(IF(E345&lt;30.7,'Reference Curves'!$AE$17*E345+'Reference Curves'!$AE$18,IF(E345&lt;46.1,'Reference Curves'!$AF$17*E345+'Reference Curves'!$AF$18,'Reference Curves'!$AG$17*E345+'Reference Curves'!$AG$18)),2))), IF('Quantification Tool'!$B$11="High Valleys",IF(E345&lt;=17.1,0,IF(E345&gt;=78.2,1,ROUND(IF(E345&lt;48.8,'Reference Curves'!$AH$17*E345+'Reference Curves'!$AH$18,'Reference Curves'!$AI$17*E345+'Reference Curves'!$AI$18),2))),     IF('Quantification Tool'!$B$11="Southern Rockies",IF(E345&lt;=5.1,0,IF(E345&gt;=82.2,1,ROUND(IF(E345&lt;32.6, 'Reference Curves'!$AB$54*E345+'Reference Curves'!$AB$55, IF(E345&lt;48.8, 'Reference Curves'!$AC$54*E345+'Reference Curves'!$AC$55,  'Reference Curves'!$AD$54*E345+'Reference Curves'!$AD$55)), 2))), IF('Quantification Tool'!$B$11="SE Plains",IF(E345&lt;=10.4,0,IF(E345&gt;=87,1,ROUND(IF(E345&lt;36.7,'Reference Curves'!$AE$54*E345+'Reference Curves'!$AE$55, IF(E345&lt;55.1, 'Reference Curves'!$AF$54*E345+'Reference Curves'!$AF$55, 'Reference Curves'!$AG$54*E345+'Reference Curves'!$AG$55)),2))),   IF('Quantification Tool'!$B$11="NE Plains",IF(E345&lt;=1.6,0,IF(E345&gt;=95.8,1,ROUND(IF(E345&lt;38.9,'Reference Curves'!$AH$54*E345+'Reference Curves'!$AH$55, IF(E345&lt;58.4, 'Reference Curves'!$AI$54*E345+'Reference Curves'!$AI$55, 'Reference Curves'!$AJ$54*E345+'Reference Curves'!$AJ$55)),2))),      IF('Quantification Tool'!$B$11="Granitic Mountains",IF(E345&lt;=32.6,0,IF(E345&gt;=74.9,1,ROUND(IF(E345&lt;40.2, 'Reference Curves'!$AB$92*E345+'Reference Curves'!$AB$93, 'Reference Curves'!$AC$92*E345+'Reference Curves'!$AC$93),2))), IF('Quantification Tool'!$B$11="Volcanic Mountains &amp; Valleys",IF(E345&lt;=26,0,IF(E345&gt;=88.1,1,ROUND('Reference Curves'!$AF$92*E345+'Reference Curves'!$AF$93,2))), IF('Quantification Tool'!$B$11="Southern Foothills &amp; Laramie Range",IF(E345&lt;=30.7,0,IF(E345&gt;=85,1,ROUND(IF(E345&lt;44.5, 'Reference Curves'!$AD$92*E345+'Reference Curves'!$AD$93,  'Reference Curves'!$AE$92*E345+'Reference Curves'!$AE$93 ),2))),     IF('Quantification Tool'!$B$11="Sedimentary Mountains",IF(E345&lt;=17,0,IF(E345&gt;=70,1,ROUND('Reference Curves'!$AB$127*E345+'Reference Curves'!$AB$128,2))), IF('Quantification Tool'!$B$11="Bighorn Basin Foothills",IF(E345&lt;=3.9,0,IF(E345&gt;=80,1,ROUND(IF(E345&lt;40.6,'Reference Curves'!$AC$127*E345+'Reference Curves'!$AC$128,'Reference Curves'!$AD$127*E345+'Reference Curves'!$AD$128),2)))  )))))))))))))</f>
        <v/>
      </c>
      <c r="G345" s="474" t="str">
        <f>IFERROR(IF(AND(F345="",F346=""),"",IF(OR(F345="",F346=""),AVERAGE(F345:F346),IF(OR(F345&lt;0.3,F346&lt;0.3),IF(OR(F345&gt;=0.7,F346&gt;=0.7),MIN(0.69,AVERAGE(F345:F346)),MIN(0.29,AVERAGE(F345:F346))), IF(OR(F345&gt;=0.7,F346&gt;=0.7),IF(AVERAGE(F345:F346)&lt;0.7,0.7,AVERAGE(F345:F346)),AVERAGE(F345:F346))))),"")</f>
        <v/>
      </c>
      <c r="H345" s="476" t="str">
        <f>IFERROR(ROUND(AVERAGE(G345:G349),2),"")</f>
        <v/>
      </c>
      <c r="I345" s="473" t="str">
        <f>IF(H345="","",IF(H345&gt;0.69,"Functioning",IF(H345&gt;0.29,"Functioning At Risk",IF(H345&gt;-1,"Not Functioning"))))</f>
        <v/>
      </c>
      <c r="J345" s="5"/>
    </row>
    <row r="346" spans="1:10" ht="15.75" x14ac:dyDescent="0.25">
      <c r="A346" s="509"/>
      <c r="B346" s="513"/>
      <c r="C346" s="166" t="s">
        <v>187</v>
      </c>
      <c r="D346" s="167"/>
      <c r="E346" s="143"/>
      <c r="F346" s="168" t="str">
        <f>IF(E346="","",IF('Quantification Tool'!$B$11="","Enter Bioregion",IF('Quantification Tool'!$B$11="Wyoming Basin",IF(E346&lt;0.15,0,IF(E346&gt;1.18,1,ROUND(IF(E346&lt;0.64,'Reference Curves'!$AB$166*E346+'Reference Curves'!$AB$167, IF(E346&lt;0.82, 'Reference Curves'!$AC$166*E346+'Reference Curves'!$AC$167, 'Reference Curves'!$AD$166*E346+'Reference Curves'!$AD$167) ),2))), IF('Quantification Tool'!$B$11="Black Hills",IF(E346&lt;=0.37,0,IF(E346&gt;1.08,1,ROUND('Reference Curves'!$AE$166*E346+'Reference Curves'!$AE$167,2))), IF('Quantification Tool'!$B$11="High Valleys",IF(E346&lt;0.42,0,IF(E346&gt;1.14,1,ROUND(IF(E346&lt;0.68, 'Reference Curves'!$AF$166*E346+'Reference Curves'!$AF$167, IF(E346&lt;0.86, 'Reference Curves'!$AG$166*E346+'Reference Curves'!$AG$167, 'Reference Curves'!$AH$166*E346+'Reference Curves'!$AH$167)),2))), IF('Quantification Tool'!$B$11="Sedimentary Mountains",IF(E346&lt;0.42,0,IF(E346&gt;1.17,1,ROUND(IF(E346&lt;0.68, 'Reference Curves'!$AI$166*E346+'Reference Curves'!$AI$167, IF(E346&lt;0.82, 'Reference Curves'!$AJ$166*E346+'Reference Curves'!$AJ$167, 'Reference Curves'!$AK$166*E346+'Reference Curves'!$AK$167) ),2))),        IF('Quantification Tool'!$B$11="Southern Rockies",IF(E346&lt;0.27,0,IF(E346&gt;=1.18,1,ROUND(IF(E346&lt;0.62, 'Reference Curves'!$AB$204*E346+'Reference Curves'!$AB$205, IF(E346&lt;0.89, 'Reference Curves'!$AC$204*E346+'Reference Curves'!$AC$205, 'Reference Curves'!$AD$204*E346+'Reference Curves'!$AD$205) ),2))), IF('Quantification Tool'!$B$11="SE Plains",IF(E346&lt;0.34,0,IF(E346&gt;1.12,1,ROUND(IF(E346&lt;0.78, 'Reference Curves'!$AE$204*E346+'Reference Curves'!$AE$205, 'Reference Curves'!$AF$204*E346+'Reference Curves'!$AF$205),2))), IF('Quantification Tool'!$B$11="NE Plains",IF(E346&lt;0.11,0,IF(E346&gt;=0.98,1,ROUND(IF(E346&lt;0.52, 'Reference Curves'!$AG$204*E346+'Reference Curves'!$AG$205,'Reference Curves'!$AH$204*E346+'Reference Curves'!$AH$205 ),2))),    IF('Quantification Tool'!$B$11="Granitic Mountains",IF(E346&lt;=0.59,0,IF(E346&gt;=1.09,1,ROUND(IF(E346&lt;0.65, 'Reference Curves'!$AB$242*E346+'Reference Curves'!$AB$243, 'Reference Curves'!$AC$242*E346+'Reference Curves'!$AC$243),2))),IF('Quantification Tool'!$B$11="Bighorn Basin Foothills",IF(E346&lt;=0.41,0,IF(E346&gt;=0.92,1,ROUND(IF(E346&lt;0.84, 'Reference Curves'!$AD$242*E346+'Reference Curves'!$AD$243,  'Reference Curves'!$AE$242*E346+'Reference Curves'!$AE$243),2))),IF('Quantification Tool'!$B$11="Volcanic Mountains &amp; Valleys",IF(E346&lt;=0.21,0,IF(E346&gt;=1.21,1,ROUND(IF(E346&lt;0.65, 'Reference Curves'!$AI$242*E346+'Reference Curves'!$AI$243, IF(E346&lt;0.86,  'Reference Curves'!$AJ$242*E346+'Reference Curves'!$AJ$243,  'Reference Curves'!$AK$242*E346+'Reference Curves'!$AK$243)),2))), IF('Quantification Tool'!$B$11="Southern Foothills &amp; Laramie Range",IF(E346&lt;=0.29,0,IF(E346&gt;=1.2,1,ROUND(IF(E346&lt;0.68, 'Reference Curves'!$AF$242*E346+'Reference Curves'!$AF$243, IF(E346&lt;0.88,  'Reference Curves'!$AG$242*E346+'Reference Curves'!$AG$243, 'Reference Curves'!$AH$242*E346+'Reference Curves'!$AH$243)),2))) )))))))))))))</f>
        <v/>
      </c>
      <c r="G346" s="475"/>
      <c r="H346" s="476"/>
      <c r="I346" s="473"/>
      <c r="J346" s="5"/>
    </row>
    <row r="347" spans="1:10" ht="15.75" x14ac:dyDescent="0.25">
      <c r="A347" s="509"/>
      <c r="B347" s="511" t="s">
        <v>75</v>
      </c>
      <c r="C347" s="58" t="s">
        <v>349</v>
      </c>
      <c r="D347" s="169"/>
      <c r="E347" s="142"/>
      <c r="F347" s="170" t="str">
        <f>IF(E347="","",IF(E347&lt;58,0,IF(E347&gt;=100,1,ROUND(E347*'Reference Curves'!$AB$280+'Reference Curves'!$AB$281,2))))</f>
        <v/>
      </c>
      <c r="G347" s="474" t="str">
        <f>IFERROR(AVERAGE(F347:F349),"")</f>
        <v/>
      </c>
      <c r="H347" s="476"/>
      <c r="I347" s="473"/>
      <c r="J347" s="5"/>
    </row>
    <row r="348" spans="1:10" ht="15.75" x14ac:dyDescent="0.25">
      <c r="A348" s="509"/>
      <c r="B348" s="512"/>
      <c r="C348" s="59" t="s">
        <v>350</v>
      </c>
      <c r="D348" s="171"/>
      <c r="E348" s="140"/>
      <c r="F348" s="170" t="str">
        <f>IF(E348="","",ROUND(IF(E348&gt;=3,0,IF(E348&gt;=2,0.3,IF(E348&gt;=1,0.69,1))),2))</f>
        <v/>
      </c>
      <c r="G348" s="477"/>
      <c r="H348" s="476"/>
      <c r="I348" s="473"/>
      <c r="J348" s="5"/>
    </row>
    <row r="349" spans="1:10" ht="15.75" x14ac:dyDescent="0.25">
      <c r="A349" s="510"/>
      <c r="B349" s="513"/>
      <c r="C349" s="39" t="s">
        <v>351</v>
      </c>
      <c r="D349" s="172"/>
      <c r="E349" s="143"/>
      <c r="F349" s="168" t="str">
        <f>IF(E349="","",IF('Quantification Tool'!$B$20="","Enter Stream Producitvity Rating",IF('Quantification Tool'!$B$20="Blue Ribbon and non-trout",IF(E349&lt;5,0,IF(E349&gt;=40,1,ROUND(E349*'Reference Curves'!$AB$319+'Reference Curves'!$AB$320,2))),IF('Quantification Tool'!$B$20="Red Ribbon",IF(E349&lt;10,0,IF(E349&gt;=80,1,ROUND(E349*'Reference Curves'!$AC$319+'Reference Curves'!$AC$320,2))),IF(OR('Quantification Tool'!$B$20="Yellow Ribbon",'Quantification Tool'!$B$20="Green Ribbon"),IF(E349&lt;15,0,IF(E349&gt;=119,1,ROUND(E349*'Reference Curves'!$AD$319+'Reference Curves'!$AD$320,2)))   )))))</f>
        <v/>
      </c>
      <c r="G349" s="475"/>
      <c r="H349" s="476"/>
      <c r="I349" s="473"/>
      <c r="J349" s="5"/>
    </row>
  </sheetData>
  <sheetProtection algorithmName="SHA-512" hashValue="ZwsVdXQMtnqmNXjqJF5i6aYywciiDEcNYEKtS5+8Q6H1Fm3qMwSsg2koK6RuyDL1olDPTy73FoDWlKRlxmTjGg==" saltValue="enz83omh2NU/Zq2dBbMUKw==" spinCount="100000" sheet="1" formatColumns="0"/>
  <dataConsolidate link="1"/>
  <mergeCells count="352">
    <mergeCell ref="A279:A280"/>
    <mergeCell ref="H279:H280"/>
    <mergeCell ref="I279:I280"/>
    <mergeCell ref="A281:A285"/>
    <mergeCell ref="H281:H285"/>
    <mergeCell ref="I281:I285"/>
    <mergeCell ref="A322:A326"/>
    <mergeCell ref="B322:B323"/>
    <mergeCell ref="G322:G323"/>
    <mergeCell ref="H322:H326"/>
    <mergeCell ref="I322:I326"/>
    <mergeCell ref="C324:D324"/>
    <mergeCell ref="B325:B326"/>
    <mergeCell ref="G325:G326"/>
    <mergeCell ref="A290:A294"/>
    <mergeCell ref="B290:B291"/>
    <mergeCell ref="G290:G291"/>
    <mergeCell ref="H290:H294"/>
    <mergeCell ref="I290:I294"/>
    <mergeCell ref="C292:D292"/>
    <mergeCell ref="B293:B294"/>
    <mergeCell ref="A311:A312"/>
    <mergeCell ref="H311:H312"/>
    <mergeCell ref="I311:I312"/>
    <mergeCell ref="I56:I57"/>
    <mergeCell ref="A58:A62"/>
    <mergeCell ref="B58:B59"/>
    <mergeCell ref="G58:G59"/>
    <mergeCell ref="H58:H62"/>
    <mergeCell ref="I58:I62"/>
    <mergeCell ref="B60:B62"/>
    <mergeCell ref="G60:G62"/>
    <mergeCell ref="I26:I30"/>
    <mergeCell ref="B28:B30"/>
    <mergeCell ref="G28:G30"/>
    <mergeCell ref="A35:A39"/>
    <mergeCell ref="B35:B36"/>
    <mergeCell ref="G35:G36"/>
    <mergeCell ref="H35:H39"/>
    <mergeCell ref="I35:I39"/>
    <mergeCell ref="C37:D37"/>
    <mergeCell ref="B38:B39"/>
    <mergeCell ref="G38:G39"/>
    <mergeCell ref="G33:I33"/>
    <mergeCell ref="D33:F33"/>
    <mergeCell ref="G26:G27"/>
    <mergeCell ref="G47:G50"/>
    <mergeCell ref="A56:A57"/>
    <mergeCell ref="H3:H7"/>
    <mergeCell ref="A8:A23"/>
    <mergeCell ref="B10:B13"/>
    <mergeCell ref="B20:B23"/>
    <mergeCell ref="C23:D23"/>
    <mergeCell ref="H8:H23"/>
    <mergeCell ref="I3:I7"/>
    <mergeCell ref="G1:I1"/>
    <mergeCell ref="A3:A7"/>
    <mergeCell ref="A1:F1"/>
    <mergeCell ref="B3:B4"/>
    <mergeCell ref="G3:G4"/>
    <mergeCell ref="B6:B7"/>
    <mergeCell ref="G6:G7"/>
    <mergeCell ref="C5:D5"/>
    <mergeCell ref="I8:I23"/>
    <mergeCell ref="G10:G13"/>
    <mergeCell ref="G20:G23"/>
    <mergeCell ref="G8:G9"/>
    <mergeCell ref="B8:B9"/>
    <mergeCell ref="A87:A88"/>
    <mergeCell ref="H87:H88"/>
    <mergeCell ref="I87:I88"/>
    <mergeCell ref="H153:H157"/>
    <mergeCell ref="I153:I157"/>
    <mergeCell ref="B155:B157"/>
    <mergeCell ref="G155:G157"/>
    <mergeCell ref="H151:H152"/>
    <mergeCell ref="I151:I152"/>
    <mergeCell ref="B153:B154"/>
    <mergeCell ref="G153:G154"/>
    <mergeCell ref="A151:A152"/>
    <mergeCell ref="A130:A134"/>
    <mergeCell ref="B130:B131"/>
    <mergeCell ref="G130:G131"/>
    <mergeCell ref="H130:H134"/>
    <mergeCell ref="I130:I134"/>
    <mergeCell ref="C132:D132"/>
    <mergeCell ref="B133:B134"/>
    <mergeCell ref="G133:G134"/>
    <mergeCell ref="I89:I93"/>
    <mergeCell ref="B91:B93"/>
    <mergeCell ref="G91:G93"/>
    <mergeCell ref="A98:A102"/>
    <mergeCell ref="H98:H102"/>
    <mergeCell ref="I98:I102"/>
    <mergeCell ref="C100:D100"/>
    <mergeCell ref="B101:B102"/>
    <mergeCell ref="G101:G102"/>
    <mergeCell ref="A89:A93"/>
    <mergeCell ref="B89:B90"/>
    <mergeCell ref="G89:G90"/>
    <mergeCell ref="H89:H93"/>
    <mergeCell ref="A119:A120"/>
    <mergeCell ref="H119:H120"/>
    <mergeCell ref="I119:I120"/>
    <mergeCell ref="A121:A125"/>
    <mergeCell ref="B121:B122"/>
    <mergeCell ref="G121:G122"/>
    <mergeCell ref="H121:H125"/>
    <mergeCell ref="I121:I125"/>
    <mergeCell ref="B123:B125"/>
    <mergeCell ref="G123:G125"/>
    <mergeCell ref="G137:G140"/>
    <mergeCell ref="B147:B150"/>
    <mergeCell ref="G147:G150"/>
    <mergeCell ref="A167:A182"/>
    <mergeCell ref="H167:H182"/>
    <mergeCell ref="I167:I182"/>
    <mergeCell ref="B169:B172"/>
    <mergeCell ref="G169:G172"/>
    <mergeCell ref="B179:B182"/>
    <mergeCell ref="G179:G182"/>
    <mergeCell ref="B167:B168"/>
    <mergeCell ref="G142:G145"/>
    <mergeCell ref="A153:A157"/>
    <mergeCell ref="G160:I160"/>
    <mergeCell ref="A135:A150"/>
    <mergeCell ref="H135:H150"/>
    <mergeCell ref="I135:I150"/>
    <mergeCell ref="A162:A166"/>
    <mergeCell ref="B162:B163"/>
    <mergeCell ref="G162:G163"/>
    <mergeCell ref="H162:H166"/>
    <mergeCell ref="I162:I166"/>
    <mergeCell ref="B165:B166"/>
    <mergeCell ref="D160:F160"/>
    <mergeCell ref="A183:A184"/>
    <mergeCell ref="H183:H184"/>
    <mergeCell ref="I183:I184"/>
    <mergeCell ref="A185:A189"/>
    <mergeCell ref="B185:B186"/>
    <mergeCell ref="G185:G186"/>
    <mergeCell ref="H185:H189"/>
    <mergeCell ref="I185:I189"/>
    <mergeCell ref="B187:B189"/>
    <mergeCell ref="G187:G189"/>
    <mergeCell ref="H194:H198"/>
    <mergeCell ref="I194:I198"/>
    <mergeCell ref="C196:D196"/>
    <mergeCell ref="B197:B198"/>
    <mergeCell ref="G197:G198"/>
    <mergeCell ref="B199:B200"/>
    <mergeCell ref="G199:G200"/>
    <mergeCell ref="A215:A216"/>
    <mergeCell ref="H215:H216"/>
    <mergeCell ref="I215:I216"/>
    <mergeCell ref="B206:B209"/>
    <mergeCell ref="G206:G209"/>
    <mergeCell ref="A199:A214"/>
    <mergeCell ref="I199:I214"/>
    <mergeCell ref="B201:B204"/>
    <mergeCell ref="G201:G204"/>
    <mergeCell ref="B211:B214"/>
    <mergeCell ref="A194:A198"/>
    <mergeCell ref="B194:B195"/>
    <mergeCell ref="G194:G195"/>
    <mergeCell ref="A217:A221"/>
    <mergeCell ref="H217:H221"/>
    <mergeCell ref="I217:I221"/>
    <mergeCell ref="B219:B221"/>
    <mergeCell ref="G219:G221"/>
    <mergeCell ref="A226:A230"/>
    <mergeCell ref="B226:B227"/>
    <mergeCell ref="G226:G227"/>
    <mergeCell ref="H226:H230"/>
    <mergeCell ref="I226:I230"/>
    <mergeCell ref="B229:B230"/>
    <mergeCell ref="G229:G230"/>
    <mergeCell ref="B217:B218"/>
    <mergeCell ref="G217:G218"/>
    <mergeCell ref="C228:D228"/>
    <mergeCell ref="G224:I224"/>
    <mergeCell ref="I249:I253"/>
    <mergeCell ref="B251:B253"/>
    <mergeCell ref="G251:G253"/>
    <mergeCell ref="B233:B236"/>
    <mergeCell ref="G233:G236"/>
    <mergeCell ref="B243:B246"/>
    <mergeCell ref="G243:G246"/>
    <mergeCell ref="A231:A246"/>
    <mergeCell ref="C246:D246"/>
    <mergeCell ref="A345:A349"/>
    <mergeCell ref="B345:B346"/>
    <mergeCell ref="G345:G346"/>
    <mergeCell ref="H345:H349"/>
    <mergeCell ref="I345:I349"/>
    <mergeCell ref="B347:B349"/>
    <mergeCell ref="G347:G349"/>
    <mergeCell ref="B334:B337"/>
    <mergeCell ref="G334:G337"/>
    <mergeCell ref="A343:A344"/>
    <mergeCell ref="H343:H344"/>
    <mergeCell ref="I343:I344"/>
    <mergeCell ref="A327:A342"/>
    <mergeCell ref="H327:H342"/>
    <mergeCell ref="I327:I342"/>
    <mergeCell ref="B339:B342"/>
    <mergeCell ref="G339:G342"/>
    <mergeCell ref="C342:D342"/>
    <mergeCell ref="B281:B282"/>
    <mergeCell ref="G281:G282"/>
    <mergeCell ref="H199:H214"/>
    <mergeCell ref="B295:B296"/>
    <mergeCell ref="G295:G296"/>
    <mergeCell ref="B302:B305"/>
    <mergeCell ref="G302:G305"/>
    <mergeCell ref="H295:H310"/>
    <mergeCell ref="I231:I246"/>
    <mergeCell ref="H258:H262"/>
    <mergeCell ref="I258:I262"/>
    <mergeCell ref="C260:D260"/>
    <mergeCell ref="B261:B262"/>
    <mergeCell ref="G261:G262"/>
    <mergeCell ref="B263:B264"/>
    <mergeCell ref="G263:G264"/>
    <mergeCell ref="B270:B273"/>
    <mergeCell ref="H263:H278"/>
    <mergeCell ref="I263:I278"/>
    <mergeCell ref="B265:B268"/>
    <mergeCell ref="G265:G268"/>
    <mergeCell ref="B275:B278"/>
    <mergeCell ref="B231:B232"/>
    <mergeCell ref="G231:G232"/>
    <mergeCell ref="H26:H30"/>
    <mergeCell ref="B15:B18"/>
    <mergeCell ref="G15:G18"/>
    <mergeCell ref="B26:B27"/>
    <mergeCell ref="D64:F64"/>
    <mergeCell ref="D96:F96"/>
    <mergeCell ref="D128:F128"/>
    <mergeCell ref="C68:D68"/>
    <mergeCell ref="G128:I128"/>
    <mergeCell ref="G96:I96"/>
    <mergeCell ref="B69:B70"/>
    <mergeCell ref="G69:G70"/>
    <mergeCell ref="G64:I64"/>
    <mergeCell ref="B71:B72"/>
    <mergeCell ref="G71:G72"/>
    <mergeCell ref="B78:B81"/>
    <mergeCell ref="G78:G81"/>
    <mergeCell ref="B66:B67"/>
    <mergeCell ref="G66:G67"/>
    <mergeCell ref="H66:H70"/>
    <mergeCell ref="I66:I70"/>
    <mergeCell ref="H56:H57"/>
    <mergeCell ref="B98:B99"/>
    <mergeCell ref="G98:G99"/>
    <mergeCell ref="A24:A25"/>
    <mergeCell ref="A26:A30"/>
    <mergeCell ref="B40:B41"/>
    <mergeCell ref="G40:G41"/>
    <mergeCell ref="B47:B50"/>
    <mergeCell ref="A71:A86"/>
    <mergeCell ref="H71:H86"/>
    <mergeCell ref="I71:I86"/>
    <mergeCell ref="B73:B76"/>
    <mergeCell ref="G73:G76"/>
    <mergeCell ref="B83:B86"/>
    <mergeCell ref="G83:G86"/>
    <mergeCell ref="C86:D86"/>
    <mergeCell ref="B52:B55"/>
    <mergeCell ref="G52:G55"/>
    <mergeCell ref="C55:D55"/>
    <mergeCell ref="H24:H25"/>
    <mergeCell ref="I24:I25"/>
    <mergeCell ref="A66:A70"/>
    <mergeCell ref="A40:A55"/>
    <mergeCell ref="H40:H55"/>
    <mergeCell ref="I40:I55"/>
    <mergeCell ref="B42:B45"/>
    <mergeCell ref="G42:G45"/>
    <mergeCell ref="C278:D278"/>
    <mergeCell ref="A103:A118"/>
    <mergeCell ref="H103:H118"/>
    <mergeCell ref="I103:I118"/>
    <mergeCell ref="B105:B108"/>
    <mergeCell ref="G105:G108"/>
    <mergeCell ref="B115:B118"/>
    <mergeCell ref="G115:G118"/>
    <mergeCell ref="C118:D118"/>
    <mergeCell ref="B103:B104"/>
    <mergeCell ref="G103:G104"/>
    <mergeCell ref="B110:B113"/>
    <mergeCell ref="G110:G113"/>
    <mergeCell ref="G256:I256"/>
    <mergeCell ref="G165:G166"/>
    <mergeCell ref="B238:B241"/>
    <mergeCell ref="G238:G241"/>
    <mergeCell ref="A247:A248"/>
    <mergeCell ref="H247:H248"/>
    <mergeCell ref="I247:I248"/>
    <mergeCell ref="A249:A253"/>
    <mergeCell ref="B249:B250"/>
    <mergeCell ref="G249:G250"/>
    <mergeCell ref="H249:H253"/>
    <mergeCell ref="G275:G278"/>
    <mergeCell ref="C164:D164"/>
    <mergeCell ref="C150:D150"/>
    <mergeCell ref="B135:B136"/>
    <mergeCell ref="G135:G136"/>
    <mergeCell ref="B137:B140"/>
    <mergeCell ref="B142:B145"/>
    <mergeCell ref="G192:I192"/>
    <mergeCell ref="B329:B332"/>
    <mergeCell ref="G329:G332"/>
    <mergeCell ref="G211:G214"/>
    <mergeCell ref="C214:D214"/>
    <mergeCell ref="H231:H246"/>
    <mergeCell ref="G320:I320"/>
    <mergeCell ref="D320:F320"/>
    <mergeCell ref="B327:B328"/>
    <mergeCell ref="G327:G328"/>
    <mergeCell ref="G167:G168"/>
    <mergeCell ref="B174:B177"/>
    <mergeCell ref="G174:G177"/>
    <mergeCell ref="D192:F192"/>
    <mergeCell ref="D224:F224"/>
    <mergeCell ref="D256:F256"/>
    <mergeCell ref="D288:F288"/>
    <mergeCell ref="G258:G259"/>
    <mergeCell ref="C182:D182"/>
    <mergeCell ref="A313:A317"/>
    <mergeCell ref="A295:A310"/>
    <mergeCell ref="I295:I310"/>
    <mergeCell ref="B297:B300"/>
    <mergeCell ref="G297:G300"/>
    <mergeCell ref="B307:B310"/>
    <mergeCell ref="G307:G310"/>
    <mergeCell ref="C310:D310"/>
    <mergeCell ref="A258:A262"/>
    <mergeCell ref="B258:B259"/>
    <mergeCell ref="B313:B314"/>
    <mergeCell ref="G313:G314"/>
    <mergeCell ref="H313:H317"/>
    <mergeCell ref="I313:I317"/>
    <mergeCell ref="B315:B317"/>
    <mergeCell ref="G315:G317"/>
    <mergeCell ref="B283:B285"/>
    <mergeCell ref="G283:G285"/>
    <mergeCell ref="G270:G273"/>
    <mergeCell ref="G293:G294"/>
    <mergeCell ref="G288:I288"/>
    <mergeCell ref="A263:A278"/>
  </mergeCells>
  <conditionalFormatting sqref="I24:I30">
    <cfRule type="containsText" dxfId="144" priority="228" stopIfTrue="1" operator="containsText" text="Functioning At Risk">
      <formula>NOT(ISERROR(SEARCH("Functioning At Risk",I24)))</formula>
    </cfRule>
    <cfRule type="containsText" dxfId="143" priority="229" stopIfTrue="1" operator="containsText" text="Not Functioning">
      <formula>NOT(ISERROR(SEARCH("Not Functioning",I24)))</formula>
    </cfRule>
    <cfRule type="containsText" dxfId="142" priority="230" operator="containsText" text="Functioning">
      <formula>NOT(ISERROR(SEARCH("Functioning",I24)))</formula>
    </cfRule>
  </conditionalFormatting>
  <conditionalFormatting sqref="I27:I28">
    <cfRule type="containsText" dxfId="141" priority="231" stopIfTrue="1" operator="containsText" text="Functioning At Risk">
      <formula>NOT(ISERROR(SEARCH("Functioning At Risk",I31)))</formula>
    </cfRule>
  </conditionalFormatting>
  <conditionalFormatting sqref="I3">
    <cfRule type="containsText" dxfId="140" priority="225" stopIfTrue="1" operator="containsText" text="Functioning At Risk">
      <formula>NOT(ISERROR(SEARCH("Functioning At Risk",I3)))</formula>
    </cfRule>
    <cfRule type="containsText" dxfId="139" priority="226" stopIfTrue="1" operator="containsText" text="Not Functioning">
      <formula>NOT(ISERROR(SEARCH("Not Functioning",I3)))</formula>
    </cfRule>
    <cfRule type="containsText" dxfId="138" priority="227" operator="containsText" text="Functioning">
      <formula>NOT(ISERROR(SEARCH("Functioning",I3)))</formula>
    </cfRule>
  </conditionalFormatting>
  <conditionalFormatting sqref="I24">
    <cfRule type="containsText" dxfId="137" priority="459" stopIfTrue="1" operator="containsText" text="Functioning At Risk">
      <formula>NOT(ISERROR(SEARCH("Functioning At Risk",#REF!)))</formula>
    </cfRule>
  </conditionalFormatting>
  <conditionalFormatting sqref="I25:I26">
    <cfRule type="containsText" dxfId="136" priority="460" stopIfTrue="1" operator="containsText" text="Functioning At Risk">
      <formula>NOT(ISERROR(SEARCH("Functioning At Risk",#REF!)))</formula>
    </cfRule>
  </conditionalFormatting>
  <conditionalFormatting sqref="I8">
    <cfRule type="containsText" dxfId="135" priority="131" stopIfTrue="1" operator="containsText" text="Functioning At Risk">
      <formula>NOT(ISERROR(SEARCH("Functioning At Risk",I8)))</formula>
    </cfRule>
    <cfRule type="containsText" dxfId="134" priority="132" stopIfTrue="1" operator="containsText" text="Not Functioning">
      <formula>NOT(ISERROR(SEARCH("Not Functioning",I8)))</formula>
    </cfRule>
    <cfRule type="containsText" dxfId="133" priority="133" operator="containsText" text="Functioning">
      <formula>NOT(ISERROR(SEARCH("Functioning",I8)))</formula>
    </cfRule>
  </conditionalFormatting>
  <conditionalFormatting sqref="I8">
    <cfRule type="containsText" dxfId="132" priority="134" stopIfTrue="1" operator="containsText" text="Functioning At Risk">
      <formula>NOT(ISERROR(SEARCH("Functioning At Risk",I3)))</formula>
    </cfRule>
  </conditionalFormatting>
  <conditionalFormatting sqref="I56:I62">
    <cfRule type="containsText" dxfId="131" priority="125" stopIfTrue="1" operator="containsText" text="Functioning At Risk">
      <formula>NOT(ISERROR(SEARCH("Functioning At Risk",I56)))</formula>
    </cfRule>
    <cfRule type="containsText" dxfId="130" priority="126" stopIfTrue="1" operator="containsText" text="Not Functioning">
      <formula>NOT(ISERROR(SEARCH("Not Functioning",I56)))</formula>
    </cfRule>
    <cfRule type="containsText" dxfId="129" priority="127" operator="containsText" text="Functioning">
      <formula>NOT(ISERROR(SEARCH("Functioning",I56)))</formula>
    </cfRule>
  </conditionalFormatting>
  <conditionalFormatting sqref="I59:I60">
    <cfRule type="containsText" dxfId="128" priority="128" stopIfTrue="1" operator="containsText" text="Functioning At Risk">
      <formula>NOT(ISERROR(SEARCH("Functioning At Risk",I63)))</formula>
    </cfRule>
  </conditionalFormatting>
  <conditionalFormatting sqref="I35">
    <cfRule type="containsText" dxfId="127" priority="122" stopIfTrue="1" operator="containsText" text="Functioning At Risk">
      <formula>NOT(ISERROR(SEARCH("Functioning At Risk",I35)))</formula>
    </cfRule>
    <cfRule type="containsText" dxfId="126" priority="123" stopIfTrue="1" operator="containsText" text="Not Functioning">
      <formula>NOT(ISERROR(SEARCH("Not Functioning",I35)))</formula>
    </cfRule>
    <cfRule type="containsText" dxfId="125" priority="124" operator="containsText" text="Functioning">
      <formula>NOT(ISERROR(SEARCH("Functioning",I35)))</formula>
    </cfRule>
  </conditionalFormatting>
  <conditionalFormatting sqref="I56">
    <cfRule type="containsText" dxfId="124" priority="129" stopIfTrue="1" operator="containsText" text="Functioning At Risk">
      <formula>NOT(ISERROR(SEARCH("Functioning At Risk",#REF!)))</formula>
    </cfRule>
  </conditionalFormatting>
  <conditionalFormatting sqref="I57:I58">
    <cfRule type="containsText" dxfId="123" priority="130" stopIfTrue="1" operator="containsText" text="Functioning At Risk">
      <formula>NOT(ISERROR(SEARCH("Functioning At Risk",#REF!)))</formula>
    </cfRule>
  </conditionalFormatting>
  <conditionalFormatting sqref="I40">
    <cfRule type="containsText" dxfId="122" priority="118" stopIfTrue="1" operator="containsText" text="Functioning At Risk">
      <formula>NOT(ISERROR(SEARCH("Functioning At Risk",I40)))</formula>
    </cfRule>
    <cfRule type="containsText" dxfId="121" priority="119" stopIfTrue="1" operator="containsText" text="Not Functioning">
      <formula>NOT(ISERROR(SEARCH("Not Functioning",I40)))</formula>
    </cfRule>
    <cfRule type="containsText" dxfId="120" priority="120" operator="containsText" text="Functioning">
      <formula>NOT(ISERROR(SEARCH("Functioning",I40)))</formula>
    </cfRule>
  </conditionalFormatting>
  <conditionalFormatting sqref="I40">
    <cfRule type="containsText" dxfId="119" priority="121" stopIfTrue="1" operator="containsText" text="Functioning At Risk">
      <formula>NOT(ISERROR(SEARCH("Functioning At Risk",I35)))</formula>
    </cfRule>
  </conditionalFormatting>
  <conditionalFormatting sqref="I87:I93">
    <cfRule type="containsText" dxfId="118" priority="112" stopIfTrue="1" operator="containsText" text="Functioning At Risk">
      <formula>NOT(ISERROR(SEARCH("Functioning At Risk",I87)))</formula>
    </cfRule>
    <cfRule type="containsText" dxfId="117" priority="113" stopIfTrue="1" operator="containsText" text="Not Functioning">
      <formula>NOT(ISERROR(SEARCH("Not Functioning",I87)))</formula>
    </cfRule>
    <cfRule type="containsText" dxfId="116" priority="114" operator="containsText" text="Functioning">
      <formula>NOT(ISERROR(SEARCH("Functioning",I87)))</formula>
    </cfRule>
  </conditionalFormatting>
  <conditionalFormatting sqref="I90:I91">
    <cfRule type="containsText" dxfId="115" priority="115" stopIfTrue="1" operator="containsText" text="Functioning At Risk">
      <formula>NOT(ISERROR(SEARCH("Functioning At Risk",I94)))</formula>
    </cfRule>
  </conditionalFormatting>
  <conditionalFormatting sqref="I66">
    <cfRule type="containsText" dxfId="114" priority="109" stopIfTrue="1" operator="containsText" text="Functioning At Risk">
      <formula>NOT(ISERROR(SEARCH("Functioning At Risk",I66)))</formula>
    </cfRule>
    <cfRule type="containsText" dxfId="113" priority="110" stopIfTrue="1" operator="containsText" text="Not Functioning">
      <formula>NOT(ISERROR(SEARCH("Not Functioning",I66)))</formula>
    </cfRule>
    <cfRule type="containsText" dxfId="112" priority="111" operator="containsText" text="Functioning">
      <formula>NOT(ISERROR(SEARCH("Functioning",I66)))</formula>
    </cfRule>
  </conditionalFormatting>
  <conditionalFormatting sqref="I87">
    <cfRule type="containsText" dxfId="111" priority="116" stopIfTrue="1" operator="containsText" text="Functioning At Risk">
      <formula>NOT(ISERROR(SEARCH("Functioning At Risk",#REF!)))</formula>
    </cfRule>
  </conditionalFormatting>
  <conditionalFormatting sqref="I88:I89">
    <cfRule type="containsText" dxfId="110" priority="117" stopIfTrue="1" operator="containsText" text="Functioning At Risk">
      <formula>NOT(ISERROR(SEARCH("Functioning At Risk",#REF!)))</formula>
    </cfRule>
  </conditionalFormatting>
  <conditionalFormatting sqref="I71">
    <cfRule type="containsText" dxfId="109" priority="105" stopIfTrue="1" operator="containsText" text="Functioning At Risk">
      <formula>NOT(ISERROR(SEARCH("Functioning At Risk",I71)))</formula>
    </cfRule>
    <cfRule type="containsText" dxfId="108" priority="106" stopIfTrue="1" operator="containsText" text="Not Functioning">
      <formula>NOT(ISERROR(SEARCH("Not Functioning",I71)))</formula>
    </cfRule>
    <cfRule type="containsText" dxfId="107" priority="107" operator="containsText" text="Functioning">
      <formula>NOT(ISERROR(SEARCH("Functioning",I71)))</formula>
    </cfRule>
  </conditionalFormatting>
  <conditionalFormatting sqref="I71">
    <cfRule type="containsText" dxfId="106" priority="108" stopIfTrue="1" operator="containsText" text="Functioning At Risk">
      <formula>NOT(ISERROR(SEARCH("Functioning At Risk",I66)))</formula>
    </cfRule>
  </conditionalFormatting>
  <conditionalFormatting sqref="I119:I125">
    <cfRule type="containsText" dxfId="105" priority="99" stopIfTrue="1" operator="containsText" text="Functioning At Risk">
      <formula>NOT(ISERROR(SEARCH("Functioning At Risk",I119)))</formula>
    </cfRule>
    <cfRule type="containsText" dxfId="104" priority="100" stopIfTrue="1" operator="containsText" text="Not Functioning">
      <formula>NOT(ISERROR(SEARCH("Not Functioning",I119)))</formula>
    </cfRule>
    <cfRule type="containsText" dxfId="103" priority="101" operator="containsText" text="Functioning">
      <formula>NOT(ISERROR(SEARCH("Functioning",I119)))</formula>
    </cfRule>
  </conditionalFormatting>
  <conditionalFormatting sqref="I122:I123">
    <cfRule type="containsText" dxfId="102" priority="102" stopIfTrue="1" operator="containsText" text="Functioning At Risk">
      <formula>NOT(ISERROR(SEARCH("Functioning At Risk",I126)))</formula>
    </cfRule>
  </conditionalFormatting>
  <conditionalFormatting sqref="I98">
    <cfRule type="containsText" dxfId="101" priority="96" stopIfTrue="1" operator="containsText" text="Functioning At Risk">
      <formula>NOT(ISERROR(SEARCH("Functioning At Risk",I98)))</formula>
    </cfRule>
    <cfRule type="containsText" dxfId="100" priority="97" stopIfTrue="1" operator="containsText" text="Not Functioning">
      <formula>NOT(ISERROR(SEARCH("Not Functioning",I98)))</formula>
    </cfRule>
    <cfRule type="containsText" dxfId="99" priority="98" operator="containsText" text="Functioning">
      <formula>NOT(ISERROR(SEARCH("Functioning",I98)))</formula>
    </cfRule>
  </conditionalFormatting>
  <conditionalFormatting sqref="I119">
    <cfRule type="containsText" dxfId="98" priority="103" stopIfTrue="1" operator="containsText" text="Functioning At Risk">
      <formula>NOT(ISERROR(SEARCH("Functioning At Risk",#REF!)))</formula>
    </cfRule>
  </conditionalFormatting>
  <conditionalFormatting sqref="I120:I121">
    <cfRule type="containsText" dxfId="97" priority="104" stopIfTrue="1" operator="containsText" text="Functioning At Risk">
      <formula>NOT(ISERROR(SEARCH("Functioning At Risk",#REF!)))</formula>
    </cfRule>
  </conditionalFormatting>
  <conditionalFormatting sqref="I103">
    <cfRule type="containsText" dxfId="96" priority="92" stopIfTrue="1" operator="containsText" text="Functioning At Risk">
      <formula>NOT(ISERROR(SEARCH("Functioning At Risk",I103)))</formula>
    </cfRule>
    <cfRule type="containsText" dxfId="95" priority="93" stopIfTrue="1" operator="containsText" text="Not Functioning">
      <formula>NOT(ISERROR(SEARCH("Not Functioning",I103)))</formula>
    </cfRule>
    <cfRule type="containsText" dxfId="94" priority="94" operator="containsText" text="Functioning">
      <formula>NOT(ISERROR(SEARCH("Functioning",I103)))</formula>
    </cfRule>
  </conditionalFormatting>
  <conditionalFormatting sqref="I103">
    <cfRule type="containsText" dxfId="93" priority="95" stopIfTrue="1" operator="containsText" text="Functioning At Risk">
      <formula>NOT(ISERROR(SEARCH("Functioning At Risk",I98)))</formula>
    </cfRule>
  </conditionalFormatting>
  <conditionalFormatting sqref="I151:I157">
    <cfRule type="containsText" dxfId="92" priority="86" stopIfTrue="1" operator="containsText" text="Functioning At Risk">
      <formula>NOT(ISERROR(SEARCH("Functioning At Risk",I151)))</formula>
    </cfRule>
    <cfRule type="containsText" dxfId="91" priority="87" stopIfTrue="1" operator="containsText" text="Not Functioning">
      <formula>NOT(ISERROR(SEARCH("Not Functioning",I151)))</formula>
    </cfRule>
    <cfRule type="containsText" dxfId="90" priority="88" operator="containsText" text="Functioning">
      <formula>NOT(ISERROR(SEARCH("Functioning",I151)))</formula>
    </cfRule>
  </conditionalFormatting>
  <conditionalFormatting sqref="I154:I155">
    <cfRule type="containsText" dxfId="89" priority="89" stopIfTrue="1" operator="containsText" text="Functioning At Risk">
      <formula>NOT(ISERROR(SEARCH("Functioning At Risk",I158)))</formula>
    </cfRule>
  </conditionalFormatting>
  <conditionalFormatting sqref="I130">
    <cfRule type="containsText" dxfId="88" priority="83" stopIfTrue="1" operator="containsText" text="Functioning At Risk">
      <formula>NOT(ISERROR(SEARCH("Functioning At Risk",I130)))</formula>
    </cfRule>
    <cfRule type="containsText" dxfId="87" priority="84" stopIfTrue="1" operator="containsText" text="Not Functioning">
      <formula>NOT(ISERROR(SEARCH("Not Functioning",I130)))</formula>
    </cfRule>
    <cfRule type="containsText" dxfId="86" priority="85" operator="containsText" text="Functioning">
      <formula>NOT(ISERROR(SEARCH("Functioning",I130)))</formula>
    </cfRule>
  </conditionalFormatting>
  <conditionalFormatting sqref="I151">
    <cfRule type="containsText" dxfId="85" priority="90" stopIfTrue="1" operator="containsText" text="Functioning At Risk">
      <formula>NOT(ISERROR(SEARCH("Functioning At Risk",#REF!)))</formula>
    </cfRule>
  </conditionalFormatting>
  <conditionalFormatting sqref="I152:I153">
    <cfRule type="containsText" dxfId="84" priority="91" stopIfTrue="1" operator="containsText" text="Functioning At Risk">
      <formula>NOT(ISERROR(SEARCH("Functioning At Risk",#REF!)))</formula>
    </cfRule>
  </conditionalFormatting>
  <conditionalFormatting sqref="I135">
    <cfRule type="containsText" dxfId="83" priority="79" stopIfTrue="1" operator="containsText" text="Functioning At Risk">
      <formula>NOT(ISERROR(SEARCH("Functioning At Risk",I135)))</formula>
    </cfRule>
    <cfRule type="containsText" dxfId="82" priority="80" stopIfTrue="1" operator="containsText" text="Not Functioning">
      <formula>NOT(ISERROR(SEARCH("Not Functioning",I135)))</formula>
    </cfRule>
    <cfRule type="containsText" dxfId="81" priority="81" operator="containsText" text="Functioning">
      <formula>NOT(ISERROR(SEARCH("Functioning",I135)))</formula>
    </cfRule>
  </conditionalFormatting>
  <conditionalFormatting sqref="I135">
    <cfRule type="containsText" dxfId="80" priority="82" stopIfTrue="1" operator="containsText" text="Functioning At Risk">
      <formula>NOT(ISERROR(SEARCH("Functioning At Risk",I130)))</formula>
    </cfRule>
  </conditionalFormatting>
  <conditionalFormatting sqref="I183:I189">
    <cfRule type="containsText" dxfId="79" priority="73" stopIfTrue="1" operator="containsText" text="Functioning At Risk">
      <formula>NOT(ISERROR(SEARCH("Functioning At Risk",I183)))</formula>
    </cfRule>
    <cfRule type="containsText" dxfId="78" priority="74" stopIfTrue="1" operator="containsText" text="Not Functioning">
      <formula>NOT(ISERROR(SEARCH("Not Functioning",I183)))</formula>
    </cfRule>
    <cfRule type="containsText" dxfId="77" priority="75" operator="containsText" text="Functioning">
      <formula>NOT(ISERROR(SEARCH("Functioning",I183)))</formula>
    </cfRule>
  </conditionalFormatting>
  <conditionalFormatting sqref="I186:I187">
    <cfRule type="containsText" dxfId="76" priority="76" stopIfTrue="1" operator="containsText" text="Functioning At Risk">
      <formula>NOT(ISERROR(SEARCH("Functioning At Risk",I190)))</formula>
    </cfRule>
  </conditionalFormatting>
  <conditionalFormatting sqref="I162">
    <cfRule type="containsText" dxfId="75" priority="70" stopIfTrue="1" operator="containsText" text="Functioning At Risk">
      <formula>NOT(ISERROR(SEARCH("Functioning At Risk",I162)))</formula>
    </cfRule>
    <cfRule type="containsText" dxfId="74" priority="71" stopIfTrue="1" operator="containsText" text="Not Functioning">
      <formula>NOT(ISERROR(SEARCH("Not Functioning",I162)))</formula>
    </cfRule>
    <cfRule type="containsText" dxfId="73" priority="72" operator="containsText" text="Functioning">
      <formula>NOT(ISERROR(SEARCH("Functioning",I162)))</formula>
    </cfRule>
  </conditionalFormatting>
  <conditionalFormatting sqref="I183">
    <cfRule type="containsText" dxfId="72" priority="77" stopIfTrue="1" operator="containsText" text="Functioning At Risk">
      <formula>NOT(ISERROR(SEARCH("Functioning At Risk",#REF!)))</formula>
    </cfRule>
  </conditionalFormatting>
  <conditionalFormatting sqref="I184:I185">
    <cfRule type="containsText" dxfId="71" priority="78" stopIfTrue="1" operator="containsText" text="Functioning At Risk">
      <formula>NOT(ISERROR(SEARCH("Functioning At Risk",#REF!)))</formula>
    </cfRule>
  </conditionalFormatting>
  <conditionalFormatting sqref="I167">
    <cfRule type="containsText" dxfId="70" priority="66" stopIfTrue="1" operator="containsText" text="Functioning At Risk">
      <formula>NOT(ISERROR(SEARCH("Functioning At Risk",I167)))</formula>
    </cfRule>
    <cfRule type="containsText" dxfId="69" priority="67" stopIfTrue="1" operator="containsText" text="Not Functioning">
      <formula>NOT(ISERROR(SEARCH("Not Functioning",I167)))</formula>
    </cfRule>
    <cfRule type="containsText" dxfId="68" priority="68" operator="containsText" text="Functioning">
      <formula>NOT(ISERROR(SEARCH("Functioning",I167)))</formula>
    </cfRule>
  </conditionalFormatting>
  <conditionalFormatting sqref="I167">
    <cfRule type="containsText" dxfId="67" priority="69" stopIfTrue="1" operator="containsText" text="Functioning At Risk">
      <formula>NOT(ISERROR(SEARCH("Functioning At Risk",I162)))</formula>
    </cfRule>
  </conditionalFormatting>
  <conditionalFormatting sqref="I215:I221">
    <cfRule type="containsText" dxfId="66" priority="60" stopIfTrue="1" operator="containsText" text="Functioning At Risk">
      <formula>NOT(ISERROR(SEARCH("Functioning At Risk",I215)))</formula>
    </cfRule>
    <cfRule type="containsText" dxfId="65" priority="61" stopIfTrue="1" operator="containsText" text="Not Functioning">
      <formula>NOT(ISERROR(SEARCH("Not Functioning",I215)))</formula>
    </cfRule>
    <cfRule type="containsText" dxfId="64" priority="62" operator="containsText" text="Functioning">
      <formula>NOT(ISERROR(SEARCH("Functioning",I215)))</formula>
    </cfRule>
  </conditionalFormatting>
  <conditionalFormatting sqref="I218:I219">
    <cfRule type="containsText" dxfId="63" priority="63" stopIfTrue="1" operator="containsText" text="Functioning At Risk">
      <formula>NOT(ISERROR(SEARCH("Functioning At Risk",I222)))</formula>
    </cfRule>
  </conditionalFormatting>
  <conditionalFormatting sqref="I194">
    <cfRule type="containsText" dxfId="62" priority="57" stopIfTrue="1" operator="containsText" text="Functioning At Risk">
      <formula>NOT(ISERROR(SEARCH("Functioning At Risk",I194)))</formula>
    </cfRule>
    <cfRule type="containsText" dxfId="61" priority="58" stopIfTrue="1" operator="containsText" text="Not Functioning">
      <formula>NOT(ISERROR(SEARCH("Not Functioning",I194)))</formula>
    </cfRule>
    <cfRule type="containsText" dxfId="60" priority="59" operator="containsText" text="Functioning">
      <formula>NOT(ISERROR(SEARCH("Functioning",I194)))</formula>
    </cfRule>
  </conditionalFormatting>
  <conditionalFormatting sqref="I215">
    <cfRule type="containsText" dxfId="59" priority="64" stopIfTrue="1" operator="containsText" text="Functioning At Risk">
      <formula>NOT(ISERROR(SEARCH("Functioning At Risk",#REF!)))</formula>
    </cfRule>
  </conditionalFormatting>
  <conditionalFormatting sqref="I216:I217">
    <cfRule type="containsText" dxfId="58" priority="65" stopIfTrue="1" operator="containsText" text="Functioning At Risk">
      <formula>NOT(ISERROR(SEARCH("Functioning At Risk",#REF!)))</formula>
    </cfRule>
  </conditionalFormatting>
  <conditionalFormatting sqref="I199">
    <cfRule type="containsText" dxfId="57" priority="53" stopIfTrue="1" operator="containsText" text="Functioning At Risk">
      <formula>NOT(ISERROR(SEARCH("Functioning At Risk",I199)))</formula>
    </cfRule>
    <cfRule type="containsText" dxfId="56" priority="54" stopIfTrue="1" operator="containsText" text="Not Functioning">
      <formula>NOT(ISERROR(SEARCH("Not Functioning",I199)))</formula>
    </cfRule>
    <cfRule type="containsText" dxfId="55" priority="55" operator="containsText" text="Functioning">
      <formula>NOT(ISERROR(SEARCH("Functioning",I199)))</formula>
    </cfRule>
  </conditionalFormatting>
  <conditionalFormatting sqref="I199">
    <cfRule type="containsText" dxfId="54" priority="56" stopIfTrue="1" operator="containsText" text="Functioning At Risk">
      <formula>NOT(ISERROR(SEARCH("Functioning At Risk",I194)))</formula>
    </cfRule>
  </conditionalFormatting>
  <conditionalFormatting sqref="I247:I253">
    <cfRule type="containsText" dxfId="53" priority="47" stopIfTrue="1" operator="containsText" text="Functioning At Risk">
      <formula>NOT(ISERROR(SEARCH("Functioning At Risk",I247)))</formula>
    </cfRule>
    <cfRule type="containsText" dxfId="52" priority="48" stopIfTrue="1" operator="containsText" text="Not Functioning">
      <formula>NOT(ISERROR(SEARCH("Not Functioning",I247)))</formula>
    </cfRule>
    <cfRule type="containsText" dxfId="51" priority="49" operator="containsText" text="Functioning">
      <formula>NOT(ISERROR(SEARCH("Functioning",I247)))</formula>
    </cfRule>
  </conditionalFormatting>
  <conditionalFormatting sqref="I250:I251">
    <cfRule type="containsText" dxfId="50" priority="50" stopIfTrue="1" operator="containsText" text="Functioning At Risk">
      <formula>NOT(ISERROR(SEARCH("Functioning At Risk",I254)))</formula>
    </cfRule>
  </conditionalFormatting>
  <conditionalFormatting sqref="I226">
    <cfRule type="containsText" dxfId="49" priority="44" stopIfTrue="1" operator="containsText" text="Functioning At Risk">
      <formula>NOT(ISERROR(SEARCH("Functioning At Risk",I226)))</formula>
    </cfRule>
    <cfRule type="containsText" dxfId="48" priority="45" stopIfTrue="1" operator="containsText" text="Not Functioning">
      <formula>NOT(ISERROR(SEARCH("Not Functioning",I226)))</formula>
    </cfRule>
    <cfRule type="containsText" dxfId="47" priority="46" operator="containsText" text="Functioning">
      <formula>NOT(ISERROR(SEARCH("Functioning",I226)))</formula>
    </cfRule>
  </conditionalFormatting>
  <conditionalFormatting sqref="I247">
    <cfRule type="containsText" dxfId="46" priority="51" stopIfTrue="1" operator="containsText" text="Functioning At Risk">
      <formula>NOT(ISERROR(SEARCH("Functioning At Risk",#REF!)))</formula>
    </cfRule>
  </conditionalFormatting>
  <conditionalFormatting sqref="I248:I249">
    <cfRule type="containsText" dxfId="45" priority="52" stopIfTrue="1" operator="containsText" text="Functioning At Risk">
      <formula>NOT(ISERROR(SEARCH("Functioning At Risk",#REF!)))</formula>
    </cfRule>
  </conditionalFormatting>
  <conditionalFormatting sqref="I231">
    <cfRule type="containsText" dxfId="44" priority="40" stopIfTrue="1" operator="containsText" text="Functioning At Risk">
      <formula>NOT(ISERROR(SEARCH("Functioning At Risk",I231)))</formula>
    </cfRule>
    <cfRule type="containsText" dxfId="43" priority="41" stopIfTrue="1" operator="containsText" text="Not Functioning">
      <formula>NOT(ISERROR(SEARCH("Not Functioning",I231)))</formula>
    </cfRule>
    <cfRule type="containsText" dxfId="42" priority="42" operator="containsText" text="Functioning">
      <formula>NOT(ISERROR(SEARCH("Functioning",I231)))</formula>
    </cfRule>
  </conditionalFormatting>
  <conditionalFormatting sqref="I231">
    <cfRule type="containsText" dxfId="41" priority="43" stopIfTrue="1" operator="containsText" text="Functioning At Risk">
      <formula>NOT(ISERROR(SEARCH("Functioning At Risk",I226)))</formula>
    </cfRule>
  </conditionalFormatting>
  <conditionalFormatting sqref="I279:I285">
    <cfRule type="containsText" dxfId="40" priority="34" stopIfTrue="1" operator="containsText" text="Functioning At Risk">
      <formula>NOT(ISERROR(SEARCH("Functioning At Risk",I279)))</formula>
    </cfRule>
    <cfRule type="containsText" dxfId="39" priority="35" stopIfTrue="1" operator="containsText" text="Not Functioning">
      <formula>NOT(ISERROR(SEARCH("Not Functioning",I279)))</formula>
    </cfRule>
    <cfRule type="containsText" dxfId="38" priority="36" operator="containsText" text="Functioning">
      <formula>NOT(ISERROR(SEARCH("Functioning",I279)))</formula>
    </cfRule>
  </conditionalFormatting>
  <conditionalFormatting sqref="I282:I283">
    <cfRule type="containsText" dxfId="37" priority="37" stopIfTrue="1" operator="containsText" text="Functioning At Risk">
      <formula>NOT(ISERROR(SEARCH("Functioning At Risk",I286)))</formula>
    </cfRule>
  </conditionalFormatting>
  <conditionalFormatting sqref="I258">
    <cfRule type="containsText" dxfId="36" priority="31" stopIfTrue="1" operator="containsText" text="Functioning At Risk">
      <formula>NOT(ISERROR(SEARCH("Functioning At Risk",I258)))</formula>
    </cfRule>
    <cfRule type="containsText" dxfId="35" priority="32" stopIfTrue="1" operator="containsText" text="Not Functioning">
      <formula>NOT(ISERROR(SEARCH("Not Functioning",I258)))</formula>
    </cfRule>
    <cfRule type="containsText" dxfId="34" priority="33" operator="containsText" text="Functioning">
      <formula>NOT(ISERROR(SEARCH("Functioning",I258)))</formula>
    </cfRule>
  </conditionalFormatting>
  <conditionalFormatting sqref="I279">
    <cfRule type="containsText" dxfId="33" priority="38" stopIfTrue="1" operator="containsText" text="Functioning At Risk">
      <formula>NOT(ISERROR(SEARCH("Functioning At Risk",#REF!)))</formula>
    </cfRule>
  </conditionalFormatting>
  <conditionalFormatting sqref="I280:I281">
    <cfRule type="containsText" dxfId="32" priority="39" stopIfTrue="1" operator="containsText" text="Functioning At Risk">
      <formula>NOT(ISERROR(SEARCH("Functioning At Risk",#REF!)))</formula>
    </cfRule>
  </conditionalFormatting>
  <conditionalFormatting sqref="I263">
    <cfRule type="containsText" dxfId="31" priority="27" stopIfTrue="1" operator="containsText" text="Functioning At Risk">
      <formula>NOT(ISERROR(SEARCH("Functioning At Risk",I263)))</formula>
    </cfRule>
    <cfRule type="containsText" dxfId="30" priority="28" stopIfTrue="1" operator="containsText" text="Not Functioning">
      <formula>NOT(ISERROR(SEARCH("Not Functioning",I263)))</formula>
    </cfRule>
    <cfRule type="containsText" dxfId="29" priority="29" operator="containsText" text="Functioning">
      <formula>NOT(ISERROR(SEARCH("Functioning",I263)))</formula>
    </cfRule>
  </conditionalFormatting>
  <conditionalFormatting sqref="I263">
    <cfRule type="containsText" dxfId="28" priority="30" stopIfTrue="1" operator="containsText" text="Functioning At Risk">
      <formula>NOT(ISERROR(SEARCH("Functioning At Risk",I258)))</formula>
    </cfRule>
  </conditionalFormatting>
  <conditionalFormatting sqref="I311:I317">
    <cfRule type="containsText" dxfId="27" priority="21" stopIfTrue="1" operator="containsText" text="Functioning At Risk">
      <formula>NOT(ISERROR(SEARCH("Functioning At Risk",I311)))</formula>
    </cfRule>
    <cfRule type="containsText" dxfId="26" priority="22" stopIfTrue="1" operator="containsText" text="Not Functioning">
      <formula>NOT(ISERROR(SEARCH("Not Functioning",I311)))</formula>
    </cfRule>
    <cfRule type="containsText" dxfId="25" priority="23" operator="containsText" text="Functioning">
      <formula>NOT(ISERROR(SEARCH("Functioning",I311)))</formula>
    </cfRule>
  </conditionalFormatting>
  <conditionalFormatting sqref="I314:I315">
    <cfRule type="containsText" dxfId="24" priority="24" stopIfTrue="1" operator="containsText" text="Functioning At Risk">
      <formula>NOT(ISERROR(SEARCH("Functioning At Risk",I318)))</formula>
    </cfRule>
  </conditionalFormatting>
  <conditionalFormatting sqref="I290">
    <cfRule type="containsText" dxfId="23" priority="18" stopIfTrue="1" operator="containsText" text="Functioning At Risk">
      <formula>NOT(ISERROR(SEARCH("Functioning At Risk",I290)))</formula>
    </cfRule>
    <cfRule type="containsText" dxfId="22" priority="19" stopIfTrue="1" operator="containsText" text="Not Functioning">
      <formula>NOT(ISERROR(SEARCH("Not Functioning",I290)))</formula>
    </cfRule>
    <cfRule type="containsText" dxfId="21" priority="20" operator="containsText" text="Functioning">
      <formula>NOT(ISERROR(SEARCH("Functioning",I290)))</formula>
    </cfRule>
  </conditionalFormatting>
  <conditionalFormatting sqref="I311">
    <cfRule type="containsText" dxfId="20" priority="25" stopIfTrue="1" operator="containsText" text="Functioning At Risk">
      <formula>NOT(ISERROR(SEARCH("Functioning At Risk",#REF!)))</formula>
    </cfRule>
  </conditionalFormatting>
  <conditionalFormatting sqref="I312:I313">
    <cfRule type="containsText" dxfId="19" priority="26" stopIfTrue="1" operator="containsText" text="Functioning At Risk">
      <formula>NOT(ISERROR(SEARCH("Functioning At Risk",#REF!)))</formula>
    </cfRule>
  </conditionalFormatting>
  <conditionalFormatting sqref="I295">
    <cfRule type="containsText" dxfId="18" priority="14" stopIfTrue="1" operator="containsText" text="Functioning At Risk">
      <formula>NOT(ISERROR(SEARCH("Functioning At Risk",I295)))</formula>
    </cfRule>
    <cfRule type="containsText" dxfId="17" priority="15" stopIfTrue="1" operator="containsText" text="Not Functioning">
      <formula>NOT(ISERROR(SEARCH("Not Functioning",I295)))</formula>
    </cfRule>
    <cfRule type="containsText" dxfId="16" priority="16" operator="containsText" text="Functioning">
      <formula>NOT(ISERROR(SEARCH("Functioning",I295)))</formula>
    </cfRule>
  </conditionalFormatting>
  <conditionalFormatting sqref="I295">
    <cfRule type="containsText" dxfId="15" priority="17" stopIfTrue="1" operator="containsText" text="Functioning At Risk">
      <formula>NOT(ISERROR(SEARCH("Functioning At Risk",I290)))</formula>
    </cfRule>
  </conditionalFormatting>
  <conditionalFormatting sqref="I343:I349">
    <cfRule type="containsText" dxfId="14" priority="8" stopIfTrue="1" operator="containsText" text="Functioning At Risk">
      <formula>NOT(ISERROR(SEARCH("Functioning At Risk",I343)))</formula>
    </cfRule>
    <cfRule type="containsText" dxfId="13" priority="9" stopIfTrue="1" operator="containsText" text="Not Functioning">
      <formula>NOT(ISERROR(SEARCH("Not Functioning",I343)))</formula>
    </cfRule>
    <cfRule type="containsText" dxfId="12" priority="10" operator="containsText" text="Functioning">
      <formula>NOT(ISERROR(SEARCH("Functioning",I343)))</formula>
    </cfRule>
  </conditionalFormatting>
  <conditionalFormatting sqref="I346:I347">
    <cfRule type="containsText" dxfId="11" priority="11" stopIfTrue="1" operator="containsText" text="Functioning At Risk">
      <formula>NOT(ISERROR(SEARCH("Functioning At Risk",I350)))</formula>
    </cfRule>
  </conditionalFormatting>
  <conditionalFormatting sqref="I322">
    <cfRule type="containsText" dxfId="10" priority="5" stopIfTrue="1" operator="containsText" text="Functioning At Risk">
      <formula>NOT(ISERROR(SEARCH("Functioning At Risk",I322)))</formula>
    </cfRule>
    <cfRule type="containsText" dxfId="9" priority="6" stopIfTrue="1" operator="containsText" text="Not Functioning">
      <formula>NOT(ISERROR(SEARCH("Not Functioning",I322)))</formula>
    </cfRule>
    <cfRule type="containsText" dxfId="8" priority="7" operator="containsText" text="Functioning">
      <formula>NOT(ISERROR(SEARCH("Functioning",I322)))</formula>
    </cfRule>
  </conditionalFormatting>
  <conditionalFormatting sqref="I343">
    <cfRule type="containsText" dxfId="7" priority="12" stopIfTrue="1" operator="containsText" text="Functioning At Risk">
      <formula>NOT(ISERROR(SEARCH("Functioning At Risk",#REF!)))</formula>
    </cfRule>
  </conditionalFormatting>
  <conditionalFormatting sqref="I344:I345">
    <cfRule type="containsText" dxfId="6" priority="13" stopIfTrue="1" operator="containsText" text="Functioning At Risk">
      <formula>NOT(ISERROR(SEARCH("Functioning At Risk",#REF!)))</formula>
    </cfRule>
  </conditionalFormatting>
  <conditionalFormatting sqref="I327">
    <cfRule type="containsText" dxfId="5" priority="1" stopIfTrue="1" operator="containsText" text="Functioning At Risk">
      <formula>NOT(ISERROR(SEARCH("Functioning At Risk",I327)))</formula>
    </cfRule>
    <cfRule type="containsText" dxfId="4" priority="2" stopIfTrue="1" operator="containsText" text="Not Functioning">
      <formula>NOT(ISERROR(SEARCH("Not Functioning",I327)))</formula>
    </cfRule>
    <cfRule type="containsText" dxfId="3" priority="3" operator="containsText" text="Functioning">
      <formula>NOT(ISERROR(SEARCH("Functioning",I327)))</formula>
    </cfRule>
  </conditionalFormatting>
  <conditionalFormatting sqref="I327">
    <cfRule type="containsText" dxfId="2" priority="4" stopIfTrue="1" operator="containsText" text="Functioning At Risk">
      <formula>NOT(ISERROR(SEARCH("Functioning At Risk",I322)))</formula>
    </cfRule>
  </conditionalFormatting>
  <dataValidations count="8">
    <dataValidation allowBlank="1" showErrorMessage="1" prompt="Select catchment conditon level from the completed catchment assessment form. " sqref="E226:E227 E258:E259 E3:E4 E290:E291 E35:E36 E66:E67 E98:E99 E130:E131 E162:E163 E194:E195 E322:E323"/>
    <dataValidation type="decimal" allowBlank="1" showInputMessage="1" showErrorMessage="1" sqref="E243:E244 E275:E276 E20:E21 E307:E308 E52:E53 E83:E84 E115:E116 E147:E148 E179:E180 E211:E212 E339:E340">
      <formula1>0</formula1>
      <formula2>5280</formula2>
    </dataValidation>
    <dataValidation allowBlank="1" showInputMessage="1" showErrorMessage="1" prompt="This measurement method should be used in combination with either Erosion Rate or Dominant BEHI/NBS." sqref="E235:E236 E267:E268 E12:E13 E299:E300 E44:E45 E75:E76 E107:E108 E139:E140 E171:E172 E203:E204 E331:E332"/>
    <dataValidation type="list" allowBlank="1" showInputMessage="1" showErrorMessage="1" prompt="Select the dominant BEHI/NBS.  _x000a_If erosion rate was measured select blank. The user should only input a value for either BEHI/NBS or Erosion Rate, not both. " sqref="E202 E234 E11 E266 E298 E43 E74 E106 E138 E170 E330">
      <formula1>BEHI.NBS</formula1>
    </dataValidation>
    <dataValidation allowBlank="1" showErrorMessage="1" sqref="E260 E228 E5 E269 E292 E14 E37 E301 E68 E46 E100 E77 E132 E109 E164 E141 E196 E173 E237 E205 E324 E333"/>
    <dataValidation allowBlank="1" showErrorMessage="1" prompt="Leave field value blank if not a coldwater stream." sqref="F30 F317 F311 F24 F62 F56 F93 F87 F125 F119 F157 F151 F189 F183 F221 F215 F253 F247 F285 F279 F349 F343"/>
    <dataValidation allowBlank="1" showInputMessage="1" showErrorMessage="1" prompt="If values for both RIVPACS and WSII are provided, cell does not necessarily average scores to determine parameter score." sqref="G26:G27 G313:G314 G58:G59 G89:G90 G121:G122 G153:G154 G185:G186 G217:G218 G249:G250 G281:G282 G345:G346"/>
    <dataValidation type="decimal" allowBlank="1" showErrorMessage="1" prompt="The user should input a value for either basal area or density, not both. " sqref="E277:E278 E22:E23 E309:E310 E54:E55 E85:E86 E117:E118 E149:E150 E181:E182 E213:E214 E245:E246 E341:E342">
      <formula1>0</formula1>
      <formula2>5280</formula2>
    </dataValidation>
  </dataValidations>
  <pageMargins left="0.25" right="0.25" top="0.75" bottom="0.75" header="0.3" footer="0.3"/>
  <pageSetup paperSize="3" scale="92" fitToHeight="0" orientation="landscape" r:id="rId1"/>
  <rowBreaks count="10" manualBreakCount="10">
    <brk id="31" max="16383" man="1"/>
    <brk id="62" max="16383" man="1"/>
    <brk id="93" max="16383" man="1"/>
    <brk id="126" max="16383" man="1"/>
    <brk id="158" max="16383" man="1"/>
    <brk id="190" max="16383" man="1"/>
    <brk id="222" max="16383" man="1"/>
    <brk id="254" max="16383" man="1"/>
    <brk id="286" max="16383" man="1"/>
    <brk id="3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2"/>
  <sheetViews>
    <sheetView topLeftCell="A40" zoomScale="70" zoomScaleNormal="70" workbookViewId="0">
      <selection activeCell="B12" sqref="B12"/>
    </sheetView>
  </sheetViews>
  <sheetFormatPr defaultRowHeight="15" x14ac:dyDescent="0.25"/>
  <cols>
    <col min="1" max="1" width="19.7109375" bestFit="1" customWidth="1"/>
    <col min="2" max="2" width="31.28515625" bestFit="1" customWidth="1"/>
    <col min="3" max="3" width="14.7109375" customWidth="1"/>
    <col min="4" max="4" width="14.28515625" customWidth="1"/>
    <col min="5" max="5" width="10.28515625" style="2" customWidth="1"/>
    <col min="6" max="15" width="10.7109375" style="2" customWidth="1"/>
  </cols>
  <sheetData>
    <row r="2" spans="1:15" ht="28.9" customHeight="1" x14ac:dyDescent="0.25">
      <c r="A2" s="569" t="s">
        <v>115</v>
      </c>
      <c r="B2" s="570"/>
      <c r="C2" s="570"/>
      <c r="D2" s="570"/>
      <c r="E2" s="570"/>
      <c r="F2" s="570"/>
      <c r="G2" s="570"/>
      <c r="H2" s="570"/>
      <c r="I2" s="570"/>
      <c r="J2" s="570"/>
      <c r="K2" s="570"/>
      <c r="L2" s="570"/>
      <c r="M2" s="570"/>
      <c r="N2" s="570"/>
      <c r="O2" s="571"/>
    </row>
    <row r="3" spans="1:15" ht="18.75" x14ac:dyDescent="0.25">
      <c r="A3" s="564" t="s">
        <v>1</v>
      </c>
      <c r="B3" s="564" t="s">
        <v>2</v>
      </c>
      <c r="C3" s="572" t="s">
        <v>62</v>
      </c>
      <c r="D3" s="572" t="s">
        <v>63</v>
      </c>
      <c r="E3" s="564" t="s">
        <v>132</v>
      </c>
      <c r="F3" s="566" t="s">
        <v>135</v>
      </c>
      <c r="G3" s="567"/>
      <c r="H3" s="567"/>
      <c r="I3" s="567"/>
      <c r="J3" s="567"/>
      <c r="K3" s="567"/>
      <c r="L3" s="567"/>
      <c r="M3" s="567"/>
      <c r="N3" s="567"/>
      <c r="O3" s="568"/>
    </row>
    <row r="4" spans="1:15" s="2" customFormat="1" ht="18.75" x14ac:dyDescent="0.25">
      <c r="A4" s="565"/>
      <c r="B4" s="565"/>
      <c r="C4" s="573"/>
      <c r="D4" s="573"/>
      <c r="E4" s="565"/>
      <c r="F4" s="52" t="str">
        <f>IF('Monitoring Data'!B33="","#N/A",'Monitoring Data'!B33)</f>
        <v>#N/A</v>
      </c>
      <c r="G4" s="52" t="str">
        <f>IF('Monitoring Data'!B64="","#N/A",'Monitoring Data'!B64)</f>
        <v>#N/A</v>
      </c>
      <c r="H4" s="52" t="str">
        <f>IF('Monitoring Data'!B96="","#N/A",'Monitoring Data'!B96)</f>
        <v>#N/A</v>
      </c>
      <c r="I4" s="52" t="str">
        <f>IF('Monitoring Data'!B128="","#N/A",'Monitoring Data'!B128)</f>
        <v>#N/A</v>
      </c>
      <c r="J4" s="52" t="str">
        <f>IF('Monitoring Data'!B160="","#N/A",'Monitoring Data'!B160)</f>
        <v>#N/A</v>
      </c>
      <c r="K4" s="52" t="str">
        <f>IF('Monitoring Data'!B192="","#N/A",'Monitoring Data'!B192)</f>
        <v>#N/A</v>
      </c>
      <c r="L4" s="52" t="str">
        <f>IF('Monitoring Data'!B224="","#N/A",'Monitoring Data'!B224)</f>
        <v>#N/A</v>
      </c>
      <c r="M4" s="52" t="str">
        <f>IF('Monitoring Data'!B256="","#N/A",'Monitoring Data'!B256)</f>
        <v>#N/A</v>
      </c>
      <c r="N4" s="52" t="str">
        <f>IF('Monitoring Data'!B288="","#N/A",'Monitoring Data'!B288)</f>
        <v>#N/A</v>
      </c>
      <c r="O4" s="52" t="str">
        <f>IF('Monitoring Data'!B320="","#N/A",'Monitoring Data'!B320)</f>
        <v>#N/A</v>
      </c>
    </row>
    <row r="5" spans="1:15" ht="15.75" x14ac:dyDescent="0.25">
      <c r="A5" s="498" t="s">
        <v>345</v>
      </c>
      <c r="B5" s="130" t="s">
        <v>128</v>
      </c>
      <c r="C5" s="48" t="str">
        <f>'Quantification Tool'!G44</f>
        <v/>
      </c>
      <c r="D5" s="48" t="str">
        <f>'Quantification Tool'!G76</f>
        <v/>
      </c>
      <c r="E5" s="30" t="str">
        <f>'Monitoring Data'!G3</f>
        <v/>
      </c>
      <c r="F5" s="30" t="str">
        <f>'Monitoring Data'!G35</f>
        <v/>
      </c>
      <c r="G5" s="30" t="str">
        <f>'Monitoring Data'!G66</f>
        <v/>
      </c>
      <c r="H5" s="30" t="str">
        <f>'Monitoring Data'!G98</f>
        <v/>
      </c>
      <c r="I5" s="30" t="str">
        <f>'Monitoring Data'!G130</f>
        <v/>
      </c>
      <c r="J5" s="30" t="str">
        <f>'Monitoring Data'!G162</f>
        <v/>
      </c>
      <c r="K5" s="30" t="str">
        <f>'Monitoring Data'!G194</f>
        <v/>
      </c>
      <c r="L5" s="30" t="str">
        <f>'Monitoring Data'!G226</f>
        <v/>
      </c>
      <c r="M5" s="30" t="str">
        <f>'Monitoring Data'!G258</f>
        <v/>
      </c>
      <c r="N5" s="30" t="str">
        <f>'Monitoring Data'!G290</f>
        <v/>
      </c>
      <c r="O5" s="30" t="str">
        <f>'Monitoring Data'!G322</f>
        <v/>
      </c>
    </row>
    <row r="6" spans="1:15" s="2" customFormat="1" ht="15.75" x14ac:dyDescent="0.25">
      <c r="A6" s="499"/>
      <c r="B6" s="290" t="s">
        <v>140</v>
      </c>
      <c r="C6" s="48" t="str">
        <f>'Quantification Tool'!G46</f>
        <v/>
      </c>
      <c r="D6" s="48" t="str">
        <f>'Quantification Tool'!F78</f>
        <v/>
      </c>
      <c r="E6" s="30" t="str">
        <f>'Monitoring Data'!F5</f>
        <v/>
      </c>
      <c r="F6" s="30" t="str">
        <f>'Monitoring Data'!G37</f>
        <v/>
      </c>
      <c r="G6" s="30" t="str">
        <f>'Monitoring Data'!G68</f>
        <v/>
      </c>
      <c r="H6" s="30" t="str">
        <f>'Monitoring Data'!G100</f>
        <v/>
      </c>
      <c r="I6" s="30" t="str">
        <f>'Monitoring Data'!G132</f>
        <v/>
      </c>
      <c r="J6" s="30" t="str">
        <f>'Monitoring Data'!G164</f>
        <v/>
      </c>
      <c r="K6" s="30" t="str">
        <f>'Monitoring Data'!G196</f>
        <v/>
      </c>
      <c r="L6" s="30" t="str">
        <f>'Monitoring Data'!G228</f>
        <v/>
      </c>
      <c r="M6" s="30" t="str">
        <f>'Monitoring Data'!G260</f>
        <v/>
      </c>
      <c r="N6" s="30" t="str">
        <f>'Monitoring Data'!G292</f>
        <v/>
      </c>
      <c r="O6" s="30" t="str">
        <f>'Monitoring Data'!G324</f>
        <v/>
      </c>
    </row>
    <row r="7" spans="1:15" ht="15.75" x14ac:dyDescent="0.25">
      <c r="A7" s="500"/>
      <c r="B7" s="130" t="s">
        <v>5</v>
      </c>
      <c r="C7" s="48" t="str">
        <f>'Quantification Tool'!G47</f>
        <v/>
      </c>
      <c r="D7" s="48" t="str">
        <f>'Quantification Tool'!G79</f>
        <v/>
      </c>
      <c r="E7" s="30" t="str">
        <f>'Monitoring Data'!G6</f>
        <v/>
      </c>
      <c r="F7" s="30" t="str">
        <f>'Monitoring Data'!G38</f>
        <v/>
      </c>
      <c r="G7" s="30" t="str">
        <f>'Monitoring Data'!G69</f>
        <v/>
      </c>
      <c r="H7" s="30" t="str">
        <f>'Monitoring Data'!G101</f>
        <v/>
      </c>
      <c r="I7" s="30" t="str">
        <f>'Monitoring Data'!G133</f>
        <v/>
      </c>
      <c r="J7" s="30" t="str">
        <f>'Monitoring Data'!G165</f>
        <v/>
      </c>
      <c r="K7" s="30" t="str">
        <f>'Monitoring Data'!G197</f>
        <v/>
      </c>
      <c r="L7" s="30" t="str">
        <f>'Monitoring Data'!G229</f>
        <v/>
      </c>
      <c r="M7" s="30" t="str">
        <f>'Monitoring Data'!G261</f>
        <v/>
      </c>
      <c r="N7" s="30" t="str">
        <f>'Monitoring Data'!G293</f>
        <v/>
      </c>
      <c r="O7" s="30" t="str">
        <f>'Monitoring Data'!G325</f>
        <v/>
      </c>
    </row>
    <row r="8" spans="1:15" ht="15.75" x14ac:dyDescent="0.25">
      <c r="A8" s="461" t="s">
        <v>20</v>
      </c>
      <c r="B8" s="131" t="s">
        <v>21</v>
      </c>
      <c r="C8" s="48" t="str">
        <f>'Quantification Tool'!G49</f>
        <v/>
      </c>
      <c r="D8" s="48" t="str">
        <f>'Quantification Tool'!G81</f>
        <v/>
      </c>
      <c r="E8" s="30" t="str">
        <f>'Monitoring Data'!G8</f>
        <v/>
      </c>
      <c r="F8" s="30" t="str">
        <f>'Monitoring Data'!G40</f>
        <v/>
      </c>
      <c r="G8" s="30" t="str">
        <f>'Monitoring Data'!G71</f>
        <v/>
      </c>
      <c r="H8" s="30" t="str">
        <f>'Monitoring Data'!G103</f>
        <v/>
      </c>
      <c r="I8" s="30" t="str">
        <f>'Monitoring Data'!G135</f>
        <v/>
      </c>
      <c r="J8" s="30" t="str">
        <f>'Monitoring Data'!G167</f>
        <v/>
      </c>
      <c r="K8" s="30" t="str">
        <f>'Monitoring Data'!G199</f>
        <v/>
      </c>
      <c r="L8" s="30" t="str">
        <f>'Monitoring Data'!G231</f>
        <v/>
      </c>
      <c r="M8" s="30" t="str">
        <f>'Monitoring Data'!G263</f>
        <v/>
      </c>
      <c r="N8" s="30" t="str">
        <f>'Monitoring Data'!G295</f>
        <v/>
      </c>
      <c r="O8" s="30" t="str">
        <f>'Monitoring Data'!G327</f>
        <v/>
      </c>
    </row>
    <row r="9" spans="1:15" ht="15.75" x14ac:dyDescent="0.25">
      <c r="A9" s="578"/>
      <c r="B9" s="36" t="s">
        <v>402</v>
      </c>
      <c r="C9" s="48" t="str">
        <f>'Quantification Tool'!G51</f>
        <v/>
      </c>
      <c r="D9" s="48" t="str">
        <f>'Quantification Tool'!G83</f>
        <v/>
      </c>
      <c r="E9" s="30" t="str">
        <f>'Monitoring Data'!G10</f>
        <v/>
      </c>
      <c r="F9" s="30" t="str">
        <f>'Monitoring Data'!G42</f>
        <v/>
      </c>
      <c r="G9" s="30" t="str">
        <f>'Monitoring Data'!G73</f>
        <v/>
      </c>
      <c r="H9" s="30" t="str">
        <f>'Monitoring Data'!G105</f>
        <v/>
      </c>
      <c r="I9" s="30" t="str">
        <f>'Monitoring Data'!G137</f>
        <v/>
      </c>
      <c r="J9" s="30" t="str">
        <f>'Monitoring Data'!G169</f>
        <v/>
      </c>
      <c r="K9" s="30" t="str">
        <f>'Monitoring Data'!G201</f>
        <v/>
      </c>
      <c r="L9" s="30" t="str">
        <f>'Monitoring Data'!G233</f>
        <v/>
      </c>
      <c r="M9" s="30" t="str">
        <f>'Monitoring Data'!G265</f>
        <v/>
      </c>
      <c r="N9" s="30" t="str">
        <f>'Monitoring Data'!G297</f>
        <v/>
      </c>
      <c r="O9" s="30" t="str">
        <f>'Monitoring Data'!G329</f>
        <v/>
      </c>
    </row>
    <row r="10" spans="1:15" ht="15.75" x14ac:dyDescent="0.25">
      <c r="A10" s="578"/>
      <c r="B10" s="36" t="s">
        <v>105</v>
      </c>
      <c r="C10" s="48" t="str">
        <f>'Quantification Tool'!G55</f>
        <v/>
      </c>
      <c r="D10" s="48" t="str">
        <f>'Quantification Tool'!G87</f>
        <v/>
      </c>
      <c r="E10" s="30" t="str">
        <f>'Monitoring Data'!G14</f>
        <v/>
      </c>
      <c r="F10" s="30" t="str">
        <f>'Monitoring Data'!G46</f>
        <v/>
      </c>
      <c r="G10" s="30" t="str">
        <f>'Monitoring Data'!G77</f>
        <v/>
      </c>
      <c r="H10" s="30" t="str">
        <f>'Monitoring Data'!G109</f>
        <v/>
      </c>
      <c r="I10" s="30" t="str">
        <f>'Monitoring Data'!G141</f>
        <v/>
      </c>
      <c r="J10" s="30" t="str">
        <f>'Monitoring Data'!G173</f>
        <v/>
      </c>
      <c r="K10" s="30" t="str">
        <f>'Monitoring Data'!G205</f>
        <v/>
      </c>
      <c r="L10" s="30" t="str">
        <f>'Monitoring Data'!G237</f>
        <v/>
      </c>
      <c r="M10" s="30" t="str">
        <f>'Monitoring Data'!G269</f>
        <v/>
      </c>
      <c r="N10" s="30" t="str">
        <f>'Monitoring Data'!G301</f>
        <v/>
      </c>
      <c r="O10" s="30" t="str">
        <f>'Monitoring Data'!G333</f>
        <v/>
      </c>
    </row>
    <row r="11" spans="1:15" ht="15.75" x14ac:dyDescent="0.25">
      <c r="A11" s="578"/>
      <c r="B11" s="131" t="s">
        <v>45</v>
      </c>
      <c r="C11" s="48" t="str">
        <f>'Quantification Tool'!G56</f>
        <v/>
      </c>
      <c r="D11" s="48" t="str">
        <f>'Quantification Tool'!G88</f>
        <v/>
      </c>
      <c r="E11" s="30" t="str">
        <f>'Monitoring Data'!G15</f>
        <v/>
      </c>
      <c r="F11" s="30" t="str">
        <f>'Monitoring Data'!G47</f>
        <v/>
      </c>
      <c r="G11" s="30" t="str">
        <f>'Monitoring Data'!G78</f>
        <v/>
      </c>
      <c r="H11" s="30" t="str">
        <f>'Monitoring Data'!G110</f>
        <v/>
      </c>
      <c r="I11" s="30" t="str">
        <f>'Monitoring Data'!G142</f>
        <v/>
      </c>
      <c r="J11" s="30" t="str">
        <f>'Monitoring Data'!G174</f>
        <v/>
      </c>
      <c r="K11" s="30" t="str">
        <f>'Monitoring Data'!G206</f>
        <v/>
      </c>
      <c r="L11" s="30" t="str">
        <f>'Monitoring Data'!G238</f>
        <v/>
      </c>
      <c r="M11" s="30" t="str">
        <f>'Monitoring Data'!G270</f>
        <v/>
      </c>
      <c r="N11" s="30" t="str">
        <f>'Monitoring Data'!G302</f>
        <v/>
      </c>
      <c r="O11" s="30" t="str">
        <f>'Monitoring Data'!G334</f>
        <v/>
      </c>
    </row>
    <row r="12" spans="1:15" ht="15.75" x14ac:dyDescent="0.25">
      <c r="A12" s="578"/>
      <c r="B12" s="131" t="s">
        <v>49</v>
      </c>
      <c r="C12" s="48" t="str">
        <f>'Quantification Tool'!G60</f>
        <v/>
      </c>
      <c r="D12" s="48" t="str">
        <f>'Quantification Tool'!G92</f>
        <v/>
      </c>
      <c r="E12" s="30" t="str">
        <f>'Monitoring Data'!G19</f>
        <v/>
      </c>
      <c r="F12" s="30" t="str">
        <f>'Monitoring Data'!G51</f>
        <v/>
      </c>
      <c r="G12" s="30" t="str">
        <f>'Monitoring Data'!G82</f>
        <v/>
      </c>
      <c r="H12" s="30" t="str">
        <f>'Monitoring Data'!G114</f>
        <v/>
      </c>
      <c r="I12" s="30" t="str">
        <f>'Monitoring Data'!G146</f>
        <v/>
      </c>
      <c r="J12" s="30" t="str">
        <f>'Monitoring Data'!G178</f>
        <v/>
      </c>
      <c r="K12" s="30" t="str">
        <f>'Monitoring Data'!G210</f>
        <v/>
      </c>
      <c r="L12" s="30" t="str">
        <f>'Monitoring Data'!G242</f>
        <v/>
      </c>
      <c r="M12" s="30" t="str">
        <f>'Monitoring Data'!G274</f>
        <v/>
      </c>
      <c r="N12" s="30" t="str">
        <f>'Monitoring Data'!G306</f>
        <v/>
      </c>
      <c r="O12" s="30" t="str">
        <f>'Monitoring Data'!G338</f>
        <v/>
      </c>
    </row>
    <row r="13" spans="1:15" ht="15.75" x14ac:dyDescent="0.25">
      <c r="A13" s="579"/>
      <c r="B13" s="131" t="s">
        <v>44</v>
      </c>
      <c r="C13" s="48" t="str">
        <f>'Quantification Tool'!G61</f>
        <v/>
      </c>
      <c r="D13" s="48" t="str">
        <f>'Quantification Tool'!G93</f>
        <v/>
      </c>
      <c r="E13" s="30" t="str">
        <f>'Monitoring Data'!G20</f>
        <v/>
      </c>
      <c r="F13" s="30" t="str">
        <f>'Monitoring Data'!G52</f>
        <v/>
      </c>
      <c r="G13" s="30" t="str">
        <f>'Monitoring Data'!G83</f>
        <v/>
      </c>
      <c r="H13" s="30" t="str">
        <f>'Monitoring Data'!G115</f>
        <v/>
      </c>
      <c r="I13" s="30" t="str">
        <f>'Monitoring Data'!G147</f>
        <v/>
      </c>
      <c r="J13" s="30" t="str">
        <f>'Monitoring Data'!G179</f>
        <v/>
      </c>
      <c r="K13" s="30" t="str">
        <f>'Monitoring Data'!G211</f>
        <v/>
      </c>
      <c r="L13" s="30" t="str">
        <f>'Monitoring Data'!G243</f>
        <v/>
      </c>
      <c r="M13" s="30" t="str">
        <f>'Monitoring Data'!G275</f>
        <v/>
      </c>
      <c r="N13" s="30" t="str">
        <f>'Monitoring Data'!G307</f>
        <v/>
      </c>
      <c r="O13" s="30" t="str">
        <f>'Monitoring Data'!G339</f>
        <v/>
      </c>
    </row>
    <row r="14" spans="1:15" ht="15.75" x14ac:dyDescent="0.25">
      <c r="A14" s="580" t="s">
        <v>53</v>
      </c>
      <c r="B14" s="132" t="s">
        <v>80</v>
      </c>
      <c r="C14" s="48" t="str">
        <f>'Quantification Tool'!G65</f>
        <v/>
      </c>
      <c r="D14" s="48" t="str">
        <f>'Quantification Tool'!G97</f>
        <v/>
      </c>
      <c r="E14" s="30" t="str">
        <f>'Monitoring Data'!G24</f>
        <v/>
      </c>
      <c r="F14" s="30" t="str">
        <f>'Monitoring Data'!G56</f>
        <v/>
      </c>
      <c r="G14" s="30" t="str">
        <f>'Monitoring Data'!G87</f>
        <v/>
      </c>
      <c r="H14" s="30" t="str">
        <f>'Monitoring Data'!G119</f>
        <v/>
      </c>
      <c r="I14" s="30" t="str">
        <f>'Monitoring Data'!G151</f>
        <v/>
      </c>
      <c r="J14" s="30" t="str">
        <f>'Monitoring Data'!G183</f>
        <v/>
      </c>
      <c r="K14" s="30" t="str">
        <f>'Monitoring Data'!G215</f>
        <v/>
      </c>
      <c r="L14" s="30" t="str">
        <f>'Monitoring Data'!G247</f>
        <v/>
      </c>
      <c r="M14" s="30" t="str">
        <f>'Monitoring Data'!G279</f>
        <v/>
      </c>
      <c r="N14" s="30" t="str">
        <f>'Monitoring Data'!G311</f>
        <v/>
      </c>
      <c r="O14" s="30" t="str">
        <f>'Monitoring Data'!G343</f>
        <v/>
      </c>
    </row>
    <row r="15" spans="1:15" ht="15.75" x14ac:dyDescent="0.25">
      <c r="A15" s="581"/>
      <c r="B15" s="132" t="s">
        <v>249</v>
      </c>
      <c r="C15" s="48" t="str">
        <f>'Quantification Tool'!G66</f>
        <v/>
      </c>
      <c r="D15" s="48" t="str">
        <f>'Quantification Tool'!G98</f>
        <v/>
      </c>
      <c r="E15" s="30" t="str">
        <f>'Monitoring Data'!G25</f>
        <v/>
      </c>
      <c r="F15" s="30" t="str">
        <f>'Monitoring Data'!G57</f>
        <v/>
      </c>
      <c r="G15" s="30" t="str">
        <f>'Monitoring Data'!G88</f>
        <v/>
      </c>
      <c r="H15" s="30" t="str">
        <f>'Monitoring Data'!G120</f>
        <v/>
      </c>
      <c r="I15" s="30" t="str">
        <f>'Monitoring Data'!G152</f>
        <v/>
      </c>
      <c r="J15" s="30" t="str">
        <f>'Monitoring Data'!G184</f>
        <v/>
      </c>
      <c r="K15" s="30" t="str">
        <f>'Monitoring Data'!G216</f>
        <v/>
      </c>
      <c r="L15" s="30" t="str">
        <f>'Monitoring Data'!G248</f>
        <v/>
      </c>
      <c r="M15" s="30" t="str">
        <f>'Monitoring Data'!G280</f>
        <v/>
      </c>
      <c r="N15" s="30" t="str">
        <f>'Monitoring Data'!G312</f>
        <v/>
      </c>
      <c r="O15" s="30" t="str">
        <f>'Monitoring Data'!G344</f>
        <v/>
      </c>
    </row>
    <row r="16" spans="1:15" ht="15.75" x14ac:dyDescent="0.25">
      <c r="A16" s="582" t="s">
        <v>54</v>
      </c>
      <c r="B16" s="37" t="s">
        <v>189</v>
      </c>
      <c r="C16" s="48" t="str">
        <f>'Quantification Tool'!G67</f>
        <v/>
      </c>
      <c r="D16" s="48" t="str">
        <f>'Quantification Tool'!G99</f>
        <v/>
      </c>
      <c r="E16" s="30" t="str">
        <f>'Monitoring Data'!G26</f>
        <v/>
      </c>
      <c r="F16" s="30" t="str">
        <f>'Monitoring Data'!G58</f>
        <v/>
      </c>
      <c r="G16" s="30" t="str">
        <f>'Monitoring Data'!G89</f>
        <v/>
      </c>
      <c r="H16" s="30" t="str">
        <f>'Monitoring Data'!G121</f>
        <v/>
      </c>
      <c r="I16" s="30" t="str">
        <f>'Monitoring Data'!G153</f>
        <v/>
      </c>
      <c r="J16" s="30" t="str">
        <f>'Monitoring Data'!G185</f>
        <v/>
      </c>
      <c r="K16" s="30" t="str">
        <f>'Monitoring Data'!G217</f>
        <v/>
      </c>
      <c r="L16" s="30" t="str">
        <f>'Monitoring Data'!G249</f>
        <v/>
      </c>
      <c r="M16" s="30" t="str">
        <f>'Monitoring Data'!G281</f>
        <v/>
      </c>
      <c r="N16" s="30" t="str">
        <f>'Monitoring Data'!G313</f>
        <v/>
      </c>
      <c r="O16" s="30" t="str">
        <f>'Monitoring Data'!G345</f>
        <v/>
      </c>
    </row>
    <row r="17" spans="1:21" ht="15.75" x14ac:dyDescent="0.25">
      <c r="A17" s="583"/>
      <c r="B17" s="134" t="s">
        <v>75</v>
      </c>
      <c r="C17" s="48" t="str">
        <f>'Quantification Tool'!G69</f>
        <v/>
      </c>
      <c r="D17" s="48" t="str">
        <f>'Quantification Tool'!G101</f>
        <v/>
      </c>
      <c r="E17" s="30" t="str">
        <f>'Monitoring Data'!G28</f>
        <v/>
      </c>
      <c r="F17" s="30" t="str">
        <f>'Monitoring Data'!G60</f>
        <v/>
      </c>
      <c r="G17" s="30" t="str">
        <f>'Monitoring Data'!G91</f>
        <v/>
      </c>
      <c r="H17" s="30" t="str">
        <f>'Monitoring Data'!G123</f>
        <v/>
      </c>
      <c r="I17" s="30" t="str">
        <f>'Monitoring Data'!G155</f>
        <v/>
      </c>
      <c r="J17" s="30" t="str">
        <f>'Monitoring Data'!G187</f>
        <v/>
      </c>
      <c r="K17" s="30" t="str">
        <f>'Monitoring Data'!G219</f>
        <v/>
      </c>
      <c r="L17" s="30" t="str">
        <f>'Monitoring Data'!G251</f>
        <v/>
      </c>
      <c r="M17" s="30" t="str">
        <f>'Monitoring Data'!G283</f>
        <v/>
      </c>
      <c r="N17" s="30" t="str">
        <f>'Monitoring Data'!G315</f>
        <v/>
      </c>
      <c r="O17" s="30" t="str">
        <f>'Monitoring Data'!G347</f>
        <v/>
      </c>
    </row>
    <row r="20" spans="1:21" ht="32.450000000000003" customHeight="1" x14ac:dyDescent="0.25">
      <c r="A20" s="569" t="s">
        <v>101</v>
      </c>
      <c r="B20" s="570"/>
      <c r="C20" s="570"/>
      <c r="D20" s="570"/>
      <c r="E20" s="570"/>
      <c r="F20" s="570"/>
      <c r="G20" s="570"/>
      <c r="H20" s="570"/>
      <c r="I20" s="570"/>
      <c r="J20" s="570"/>
      <c r="K20" s="570"/>
      <c r="L20" s="570"/>
      <c r="M20" s="570"/>
      <c r="N20" s="570"/>
      <c r="O20" s="571"/>
    </row>
    <row r="21" spans="1:21" ht="14.45" customHeight="1" x14ac:dyDescent="0.25">
      <c r="A21" s="574" t="s">
        <v>102</v>
      </c>
      <c r="B21" s="575"/>
      <c r="C21" s="562" t="s">
        <v>103</v>
      </c>
      <c r="D21" s="562" t="s">
        <v>104</v>
      </c>
      <c r="E21" s="564" t="s">
        <v>132</v>
      </c>
      <c r="F21" s="566" t="s">
        <v>135</v>
      </c>
      <c r="G21" s="567"/>
      <c r="H21" s="567"/>
      <c r="I21" s="567"/>
      <c r="J21" s="567"/>
      <c r="K21" s="567"/>
      <c r="L21" s="567"/>
      <c r="M21" s="567"/>
      <c r="N21" s="567"/>
      <c r="O21" s="568"/>
      <c r="P21" s="44"/>
      <c r="Q21" s="44"/>
      <c r="R21" s="2"/>
      <c r="S21" s="2"/>
      <c r="T21" s="2"/>
      <c r="U21" s="2"/>
    </row>
    <row r="22" spans="1:21" s="2" customFormat="1" ht="14.45" customHeight="1" x14ac:dyDescent="0.25">
      <c r="A22" s="576"/>
      <c r="B22" s="577"/>
      <c r="C22" s="563"/>
      <c r="D22" s="563"/>
      <c r="E22" s="565"/>
      <c r="F22" s="51" t="str">
        <f t="shared" ref="F22:O22" si="0">F4</f>
        <v>#N/A</v>
      </c>
      <c r="G22" s="51" t="str">
        <f t="shared" si="0"/>
        <v>#N/A</v>
      </c>
      <c r="H22" s="51" t="str">
        <f t="shared" si="0"/>
        <v>#N/A</v>
      </c>
      <c r="I22" s="51" t="str">
        <f t="shared" si="0"/>
        <v>#N/A</v>
      </c>
      <c r="J22" s="51" t="str">
        <f t="shared" si="0"/>
        <v>#N/A</v>
      </c>
      <c r="K22" s="51" t="str">
        <f t="shared" si="0"/>
        <v>#N/A</v>
      </c>
      <c r="L22" s="51" t="str">
        <f t="shared" si="0"/>
        <v>#N/A</v>
      </c>
      <c r="M22" s="51" t="str">
        <f t="shared" si="0"/>
        <v>#N/A</v>
      </c>
      <c r="N22" s="51" t="str">
        <f t="shared" si="0"/>
        <v>#N/A</v>
      </c>
      <c r="O22" s="51" t="str">
        <f t="shared" si="0"/>
        <v>#N/A</v>
      </c>
      <c r="P22" s="44"/>
      <c r="Q22" s="44"/>
    </row>
    <row r="23" spans="1:21" ht="14.45" customHeight="1" x14ac:dyDescent="0.25">
      <c r="A23" s="586" t="s">
        <v>345</v>
      </c>
      <c r="B23" s="586"/>
      <c r="C23" s="49" t="str">
        <f>'Quantification Tool'!H27</f>
        <v/>
      </c>
      <c r="D23" s="49" t="str">
        <f>'Quantification Tool'!I27</f>
        <v/>
      </c>
      <c r="E23" s="46" t="str">
        <f>'Monitoring Data'!H3</f>
        <v/>
      </c>
      <c r="F23" s="46" t="str">
        <f>'Monitoring Data'!H35</f>
        <v/>
      </c>
      <c r="G23" s="46" t="str">
        <f>'Monitoring Data'!H66</f>
        <v/>
      </c>
      <c r="H23" s="46" t="str">
        <f>'Monitoring Data'!H98</f>
        <v/>
      </c>
      <c r="I23" s="46" t="str">
        <f>'Monitoring Data'!H130</f>
        <v/>
      </c>
      <c r="J23" s="46" t="str">
        <f>'Monitoring Data'!H162</f>
        <v/>
      </c>
      <c r="K23" s="46" t="str">
        <f>'Monitoring Data'!H194</f>
        <v/>
      </c>
      <c r="L23" s="46" t="str">
        <f>'Monitoring Data'!H226</f>
        <v/>
      </c>
      <c r="M23" s="46" t="str">
        <f>'Monitoring Data'!H258</f>
        <v/>
      </c>
      <c r="N23" s="46" t="str">
        <f>'Monitoring Data'!H290</f>
        <v/>
      </c>
      <c r="O23" s="46" t="str">
        <f>'Monitoring Data'!H322</f>
        <v/>
      </c>
      <c r="P23" s="42"/>
      <c r="Q23" s="43"/>
      <c r="R23" s="41"/>
      <c r="S23" s="41"/>
      <c r="T23" s="2"/>
      <c r="U23" s="2"/>
    </row>
    <row r="24" spans="1:21" ht="14.45" customHeight="1" x14ac:dyDescent="0.25">
      <c r="A24" s="587" t="s">
        <v>20</v>
      </c>
      <c r="B24" s="587"/>
      <c r="C24" s="49" t="str">
        <f>'Quantification Tool'!H29</f>
        <v/>
      </c>
      <c r="D24" s="49" t="str">
        <f>'Quantification Tool'!I29</f>
        <v/>
      </c>
      <c r="E24" s="46" t="str">
        <f>'Monitoring Data'!H8</f>
        <v/>
      </c>
      <c r="F24" s="46" t="str">
        <f>'Monitoring Data'!H40</f>
        <v/>
      </c>
      <c r="G24" s="46" t="str">
        <f>'Monitoring Data'!H71</f>
        <v/>
      </c>
      <c r="H24" s="46" t="str">
        <f>'Monitoring Data'!H103</f>
        <v/>
      </c>
      <c r="I24" s="46" t="str">
        <f>'Monitoring Data'!H135</f>
        <v/>
      </c>
      <c r="J24" s="46" t="str">
        <f>'Monitoring Data'!H167</f>
        <v/>
      </c>
      <c r="K24" s="46" t="str">
        <f>'Monitoring Data'!H199</f>
        <v/>
      </c>
      <c r="L24" s="46" t="str">
        <f>'Monitoring Data'!H231</f>
        <v/>
      </c>
      <c r="M24" s="46" t="str">
        <f>'Monitoring Data'!H263</f>
        <v/>
      </c>
      <c r="N24" s="46" t="str">
        <f>'Monitoring Data'!H295</f>
        <v/>
      </c>
      <c r="O24" s="46" t="str">
        <f>'Monitoring Data'!H327</f>
        <v/>
      </c>
      <c r="P24" s="42"/>
      <c r="Q24" s="43"/>
      <c r="R24" s="41"/>
      <c r="S24" s="41"/>
      <c r="T24" s="2"/>
      <c r="U24" s="2"/>
    </row>
    <row r="25" spans="1:21" ht="18.75" x14ac:dyDescent="0.25">
      <c r="A25" s="588" t="s">
        <v>53</v>
      </c>
      <c r="B25" s="588"/>
      <c r="C25" s="49" t="str">
        <f>'Quantification Tool'!H31</f>
        <v/>
      </c>
      <c r="D25" s="49" t="str">
        <f>'Quantification Tool'!I31</f>
        <v/>
      </c>
      <c r="E25" s="46" t="str">
        <f>'Monitoring Data'!H24</f>
        <v/>
      </c>
      <c r="F25" s="46" t="str">
        <f>'Monitoring Data'!H56</f>
        <v/>
      </c>
      <c r="G25" s="46" t="str">
        <f>'Monitoring Data'!H87</f>
        <v/>
      </c>
      <c r="H25" s="46" t="str">
        <f>'Monitoring Data'!H119</f>
        <v/>
      </c>
      <c r="I25" s="46" t="str">
        <f>'Monitoring Data'!H151</f>
        <v/>
      </c>
      <c r="J25" s="46" t="str">
        <f>'Monitoring Data'!H183</f>
        <v/>
      </c>
      <c r="K25" s="46" t="str">
        <f>'Monitoring Data'!H215</f>
        <v/>
      </c>
      <c r="L25" s="46" t="str">
        <f>'Monitoring Data'!H247</f>
        <v/>
      </c>
      <c r="M25" s="46" t="str">
        <f>'Monitoring Data'!H279</f>
        <v/>
      </c>
      <c r="N25" s="46" t="str">
        <f>'Monitoring Data'!H311</f>
        <v/>
      </c>
      <c r="O25" s="46" t="str">
        <f>'Monitoring Data'!H343</f>
        <v/>
      </c>
      <c r="P25" s="42"/>
      <c r="Q25" s="43"/>
      <c r="R25" s="41"/>
      <c r="S25" s="41"/>
      <c r="T25" s="2"/>
      <c r="U25" s="2"/>
    </row>
    <row r="26" spans="1:21" ht="18.75" x14ac:dyDescent="0.25">
      <c r="A26" s="585" t="s">
        <v>54</v>
      </c>
      <c r="B26" s="585"/>
      <c r="C26" s="49" t="str">
        <f>'Quantification Tool'!H33</f>
        <v/>
      </c>
      <c r="D26" s="49" t="str">
        <f>'Quantification Tool'!I33</f>
        <v/>
      </c>
      <c r="E26" s="46" t="str">
        <f>'Monitoring Data'!H26</f>
        <v/>
      </c>
      <c r="F26" s="46" t="str">
        <f>'Monitoring Data'!H58</f>
        <v/>
      </c>
      <c r="G26" s="46" t="str">
        <f>'Monitoring Data'!H89</f>
        <v/>
      </c>
      <c r="H26" s="46" t="str">
        <f>'Monitoring Data'!H121</f>
        <v/>
      </c>
      <c r="I26" s="46" t="str">
        <f>'Monitoring Data'!H153</f>
        <v/>
      </c>
      <c r="J26" s="46" t="str">
        <f>'Monitoring Data'!H185</f>
        <v/>
      </c>
      <c r="K26" s="46" t="str">
        <f>'Monitoring Data'!H217</f>
        <v/>
      </c>
      <c r="L26" s="46" t="str">
        <f>'Monitoring Data'!H249</f>
        <v/>
      </c>
      <c r="M26" s="46" t="str">
        <f>'Monitoring Data'!H281</f>
        <v/>
      </c>
      <c r="N26" s="46" t="str">
        <f>'Monitoring Data'!H313</f>
        <v/>
      </c>
      <c r="O26" s="46" t="str">
        <f>'Monitoring Data'!H345</f>
        <v/>
      </c>
      <c r="P26" s="42"/>
      <c r="Q26" s="42"/>
      <c r="R26" s="41"/>
      <c r="S26" s="41"/>
      <c r="T26" s="2"/>
      <c r="U26" s="2"/>
    </row>
    <row r="27" spans="1:21" ht="18.75" x14ac:dyDescent="0.3">
      <c r="A27" s="584" t="s">
        <v>133</v>
      </c>
      <c r="B27" s="584"/>
      <c r="C27" s="347">
        <f>ROUND(SUM(IF(C23="",0,C23*0.3),IF(C24="",0,C24*0.3),IF(C25="",0,C25*0.2),IF(C26="",0,C26*0.2)),2)</f>
        <v>0</v>
      </c>
      <c r="D27" s="347">
        <f>ROUND(SUM(IF(D23="",0,D23*0.3),IF(D24="",0,D24*0.3),IF(D25="",0,D25*0.2),IF(D26="",0,D26*0.2)),2)</f>
        <v>0</v>
      </c>
      <c r="E27" s="348">
        <f t="shared" ref="E27:O27" si="1">ROUND(SUM(IF(E23="",0,E23*0.3),IF(E24="",0,E24*0.3),IF(E25="",0,E25*0.2),IF(E26="",0,E26*0.2)),2)</f>
        <v>0</v>
      </c>
      <c r="F27" s="348">
        <f t="shared" si="1"/>
        <v>0</v>
      </c>
      <c r="G27" s="348">
        <f t="shared" si="1"/>
        <v>0</v>
      </c>
      <c r="H27" s="348">
        <f t="shared" si="1"/>
        <v>0</v>
      </c>
      <c r="I27" s="348">
        <f t="shared" si="1"/>
        <v>0</v>
      </c>
      <c r="J27" s="348">
        <f t="shared" si="1"/>
        <v>0</v>
      </c>
      <c r="K27" s="348">
        <f t="shared" si="1"/>
        <v>0</v>
      </c>
      <c r="L27" s="348">
        <f t="shared" si="1"/>
        <v>0</v>
      </c>
      <c r="M27" s="348">
        <f t="shared" si="1"/>
        <v>0</v>
      </c>
      <c r="N27" s="348">
        <f t="shared" si="1"/>
        <v>0</v>
      </c>
      <c r="O27" s="348">
        <f t="shared" si="1"/>
        <v>0</v>
      </c>
    </row>
    <row r="28" spans="1:21" ht="18.75" x14ac:dyDescent="0.3">
      <c r="A28" s="584" t="s">
        <v>134</v>
      </c>
      <c r="B28" s="584"/>
      <c r="C28" s="349">
        <f>ROUND(C27*'Quantification Tool'!B14,0)</f>
        <v>0</v>
      </c>
      <c r="D28" s="350">
        <f>ROUND(D27*'Quantification Tool'!$B$15,0)</f>
        <v>0</v>
      </c>
      <c r="E28" s="351">
        <f>ROUND(E27*'Quantification Tool'!$B$15,0)</f>
        <v>0</v>
      </c>
      <c r="F28" s="351">
        <f>IFERROR(ROUND(F27*'Quantification Tool'!$B$15,0),"")</f>
        <v>0</v>
      </c>
      <c r="G28" s="351">
        <f>IFERROR(ROUND(G27*'Quantification Tool'!$B$15,0),"")</f>
        <v>0</v>
      </c>
      <c r="H28" s="351">
        <f>IFERROR(ROUND(H27*'Quantification Tool'!$B$15,0),"")</f>
        <v>0</v>
      </c>
      <c r="I28" s="351">
        <f>IFERROR(ROUND(I27*'Quantification Tool'!$B$15,0),"")</f>
        <v>0</v>
      </c>
      <c r="J28" s="351">
        <f>IFERROR(ROUND(J27*'Quantification Tool'!$B$15,0),"")</f>
        <v>0</v>
      </c>
      <c r="K28" s="351">
        <f>IFERROR(ROUND(K27*'Quantification Tool'!$B$15,0),"")</f>
        <v>0</v>
      </c>
      <c r="L28" s="351">
        <f>IFERROR(ROUND(L27*'Quantification Tool'!$B$15,0),"")</f>
        <v>0</v>
      </c>
      <c r="M28" s="351">
        <f>IFERROR(ROUND(M27*'Quantification Tool'!$B$15,0),"")</f>
        <v>0</v>
      </c>
      <c r="N28" s="351">
        <f>IFERROR(ROUND(N27*'Quantification Tool'!$B$15,0),"")</f>
        <v>0</v>
      </c>
      <c r="O28" s="351">
        <f>IFERROR(ROUND(O27*'Quantification Tool'!$B$15,0),"")</f>
        <v>0</v>
      </c>
    </row>
    <row r="29" spans="1:21" ht="18.75" x14ac:dyDescent="0.3">
      <c r="C29" s="45"/>
    </row>
    <row r="31" spans="1:21" x14ac:dyDescent="0.25">
      <c r="A31" s="50" t="s">
        <v>136</v>
      </c>
    </row>
    <row r="32" spans="1:21" x14ac:dyDescent="0.25">
      <c r="A32" s="50" t="str">
        <f>IFERROR(O22,IFERROR(N22,IFERROR(M22,IFERROR(L22,IFERROR(K22,IFERROR(J22,IFERROR(I22,IFERROR(H22,IFERROR(G22,F22)))))))))</f>
        <v>#N/A</v>
      </c>
    </row>
  </sheetData>
  <sheetProtection algorithmName="SHA-512" hashValue="LHSfR1+D92fu77HJm1hS0u5Jx81f9KEm/okrB8zbtsERHkPa6lzN7ovgNChz0ZfKijpQteMSTt4aIPIqwUfYXw==" saltValue="KZeb95i6GWAlCdg44Ihy/w==" spinCount="100000" sheet="1" objects="1" scenarios="1" formatRows="0" insertColumns="0"/>
  <mergeCells count="23">
    <mergeCell ref="A16:A17"/>
    <mergeCell ref="A28:B28"/>
    <mergeCell ref="A26:B26"/>
    <mergeCell ref="A27:B27"/>
    <mergeCell ref="A23:B23"/>
    <mergeCell ref="A24:B24"/>
    <mergeCell ref="A25:B25"/>
    <mergeCell ref="C21:C22"/>
    <mergeCell ref="D21:D22"/>
    <mergeCell ref="E21:E22"/>
    <mergeCell ref="F21:O21"/>
    <mergeCell ref="A2:O2"/>
    <mergeCell ref="A20:O20"/>
    <mergeCell ref="A3:A4"/>
    <mergeCell ref="B3:B4"/>
    <mergeCell ref="C3:C4"/>
    <mergeCell ref="D3:D4"/>
    <mergeCell ref="E3:E4"/>
    <mergeCell ref="F3:O3"/>
    <mergeCell ref="A21:B22"/>
    <mergeCell ref="A8:A13"/>
    <mergeCell ref="A14:A15"/>
    <mergeCell ref="A5:A7"/>
  </mergeCells>
  <conditionalFormatting sqref="F4:O4">
    <cfRule type="containsErrors" dxfId="1" priority="3">
      <formula>ISERROR(F4)</formula>
    </cfRule>
  </conditionalFormatting>
  <conditionalFormatting sqref="F22:O22">
    <cfRule type="containsErrors" dxfId="0" priority="2">
      <formula>ISERROR(F22)</formula>
    </cfRule>
  </conditionalFormatting>
  <pageMargins left="0.7" right="0.7" top="0.75" bottom="0.75" header="0.3" footer="0.3"/>
  <pageSetup paperSize="3" orientation="landscape" r:id="rId1"/>
  <rowBreaks count="1" manualBreakCount="1">
    <brk id="2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70" zoomScaleNormal="70" workbookViewId="0">
      <selection activeCell="E11" sqref="E11"/>
    </sheetView>
  </sheetViews>
  <sheetFormatPr defaultColWidth="8.85546875" defaultRowHeight="15" x14ac:dyDescent="0.25"/>
  <cols>
    <col min="1" max="1" width="32.42578125" style="2" customWidth="1"/>
    <col min="2" max="2" width="22.42578125" style="2" customWidth="1"/>
    <col min="3" max="3" width="6.7109375" style="2" customWidth="1"/>
    <col min="4" max="4" width="44.7109375" style="2" customWidth="1"/>
    <col min="5" max="5" width="15.7109375" style="2" customWidth="1"/>
    <col min="6" max="6" width="11.85546875" style="2" customWidth="1"/>
    <col min="7" max="7" width="60.28515625" style="2" customWidth="1"/>
    <col min="8" max="8" width="13.140625" style="2" customWidth="1"/>
    <col min="9" max="9" width="60.42578125" style="2" bestFit="1" customWidth="1"/>
    <col min="10" max="16384" width="8.85546875" style="2"/>
  </cols>
  <sheetData>
    <row r="1" spans="1:9" x14ac:dyDescent="0.25">
      <c r="A1" s="77" t="s">
        <v>291</v>
      </c>
      <c r="B1" s="55"/>
      <c r="C1" s="55"/>
      <c r="D1" s="55"/>
      <c r="E1" s="1"/>
      <c r="F1" s="1"/>
      <c r="G1" s="1"/>
    </row>
    <row r="2" spans="1:9" s="1" customFormat="1" x14ac:dyDescent="0.25">
      <c r="A2" s="78"/>
    </row>
    <row r="3" spans="1:9" ht="18.75" x14ac:dyDescent="0.3">
      <c r="A3" s="600" t="s">
        <v>252</v>
      </c>
      <c r="B3" s="601"/>
      <c r="C3" s="27"/>
      <c r="D3" s="589" t="s">
        <v>59</v>
      </c>
      <c r="E3" s="589"/>
      <c r="G3" s="589" t="s">
        <v>292</v>
      </c>
      <c r="H3" s="589"/>
      <c r="I3" s="27"/>
    </row>
    <row r="4" spans="1:9" ht="21.6" customHeight="1" x14ac:dyDescent="0.25">
      <c r="A4" s="28" t="s">
        <v>106</v>
      </c>
      <c r="B4" s="29"/>
      <c r="C4" s="27"/>
      <c r="D4" s="592" t="s">
        <v>270</v>
      </c>
      <c r="E4" s="592"/>
      <c r="G4" s="590" t="s">
        <v>361</v>
      </c>
      <c r="H4" s="591"/>
      <c r="I4" s="27"/>
    </row>
    <row r="5" spans="1:9" ht="15.75" x14ac:dyDescent="0.25">
      <c r="A5" s="28" t="s">
        <v>99</v>
      </c>
      <c r="B5" s="29"/>
      <c r="C5" s="27"/>
      <c r="D5" s="593" t="s">
        <v>139</v>
      </c>
      <c r="E5" s="593"/>
      <c r="G5" s="86" t="str">
        <f>'Quantification Tool'!F27</f>
        <v>Reach Hydrology &amp; Hydraulics</v>
      </c>
      <c r="H5" s="97">
        <f>IF('Quantification Tool'!H27="",1,'Quantification Tool'!H27)</f>
        <v>1</v>
      </c>
      <c r="I5" s="27"/>
    </row>
    <row r="6" spans="1:9" ht="15.75" x14ac:dyDescent="0.25">
      <c r="A6" s="62" t="s">
        <v>58</v>
      </c>
      <c r="B6" s="29"/>
      <c r="C6" s="63"/>
      <c r="D6" s="594" t="s">
        <v>269</v>
      </c>
      <c r="E6" s="594"/>
      <c r="G6" s="87" t="str">
        <f>'Quantification Tool'!F29</f>
        <v>Geomorphology</v>
      </c>
      <c r="H6" s="97">
        <f>IF('Quantification Tool'!H29="",1,'Quantification Tool'!H29)</f>
        <v>1</v>
      </c>
      <c r="I6" s="27"/>
    </row>
    <row r="7" spans="1:9" ht="15.75" x14ac:dyDescent="0.25">
      <c r="A7" s="62" t="s">
        <v>57</v>
      </c>
      <c r="B7" s="29"/>
      <c r="C7" s="63"/>
      <c r="G7" s="88" t="str">
        <f>'Quantification Tool'!F31</f>
        <v>Physicochemical</v>
      </c>
      <c r="H7" s="97">
        <f>IF('Quantification Tool'!H31="",1,'Quantification Tool'!H31)</f>
        <v>1</v>
      </c>
      <c r="I7" s="27"/>
    </row>
    <row r="8" spans="1:9" s="1" customFormat="1" ht="15.75" x14ac:dyDescent="0.25">
      <c r="C8" s="63"/>
      <c r="D8" s="26"/>
      <c r="G8" s="89" t="str">
        <f>'Quantification Tool'!F33</f>
        <v>Biology</v>
      </c>
      <c r="H8" s="97">
        <f>IF('Quantification Tool'!H33="",1,'Quantification Tool'!H33)</f>
        <v>1</v>
      </c>
      <c r="I8" s="27"/>
    </row>
    <row r="9" spans="1:9" s="1" customFormat="1" ht="15.6" customHeight="1" x14ac:dyDescent="0.25">
      <c r="A9" s="597" t="s">
        <v>253</v>
      </c>
      <c r="B9" s="598"/>
      <c r="C9" s="599"/>
      <c r="D9" s="599"/>
      <c r="E9" s="2"/>
      <c r="G9" s="590" t="s">
        <v>313</v>
      </c>
      <c r="H9" s="591"/>
      <c r="I9" s="26"/>
    </row>
    <row r="10" spans="1:9" s="1" customFormat="1" ht="27" customHeight="1" x14ac:dyDescent="0.25">
      <c r="A10" s="597"/>
      <c r="B10" s="598"/>
      <c r="C10" s="599"/>
      <c r="D10" s="599"/>
      <c r="E10" s="2"/>
      <c r="F10" s="2"/>
      <c r="G10" s="98" t="s">
        <v>312</v>
      </c>
      <c r="H10" s="96">
        <f>ROUND(0.3*H5+0.3*H6,2)</f>
        <v>0.6</v>
      </c>
      <c r="I10" s="27"/>
    </row>
    <row r="11" spans="1:9" ht="27" customHeight="1" x14ac:dyDescent="0.25">
      <c r="A11" s="597"/>
      <c r="B11" s="598"/>
      <c r="C11" s="599"/>
      <c r="D11" s="599"/>
      <c r="G11" s="98" t="s">
        <v>380</v>
      </c>
      <c r="H11" s="343">
        <f>ROUND(0.3*H5+0.3*H6+0.2*H7+0.2*H8,2)</f>
        <v>1</v>
      </c>
      <c r="I11" s="27"/>
    </row>
    <row r="12" spans="1:9" ht="21" customHeight="1" x14ac:dyDescent="0.25">
      <c r="A12" s="597"/>
      <c r="B12" s="598"/>
      <c r="C12" s="599"/>
      <c r="D12" s="599"/>
      <c r="G12" s="315"/>
      <c r="H12" s="316"/>
      <c r="I12" s="27"/>
    </row>
    <row r="13" spans="1:9" ht="21" x14ac:dyDescent="0.25">
      <c r="A13" s="65"/>
      <c r="B13" s="66"/>
      <c r="C13" s="67"/>
      <c r="D13" s="67"/>
      <c r="G13" s="27"/>
      <c r="H13" s="27"/>
      <c r="I13" s="27"/>
    </row>
    <row r="14" spans="1:9" ht="47.25" x14ac:dyDescent="0.25">
      <c r="A14" s="602" t="s">
        <v>255</v>
      </c>
      <c r="B14" s="602"/>
      <c r="C14" s="68"/>
      <c r="D14" s="603" t="s">
        <v>256</v>
      </c>
      <c r="E14" s="603"/>
      <c r="G14" s="90" t="s">
        <v>271</v>
      </c>
      <c r="H14" s="91" t="s">
        <v>258</v>
      </c>
      <c r="I14" s="27"/>
    </row>
    <row r="15" spans="1:9" ht="16.5" thickBot="1" x14ac:dyDescent="0.3">
      <c r="A15" s="69" t="s">
        <v>107</v>
      </c>
      <c r="B15" s="70" t="s">
        <v>104</v>
      </c>
      <c r="C15" s="27"/>
      <c r="D15" s="99" t="s">
        <v>379</v>
      </c>
      <c r="E15" s="82">
        <f>IF(H10="","",IF(OR(B9="Tier 1",B9="Tier 2",B9="Tier 3"),H10,H11))</f>
        <v>1</v>
      </c>
      <c r="G15" s="93" t="s">
        <v>272</v>
      </c>
      <c r="H15" s="92">
        <v>0</v>
      </c>
      <c r="I15" s="27"/>
    </row>
    <row r="16" spans="1:9" ht="16.5" thickTop="1" x14ac:dyDescent="0.25">
      <c r="A16" s="71">
        <f>IF(B9="",0,IF(B9="Tier 5",B19,IF(B9="Tier 4",B20,IF(B9="Tier 3",B21,IF(B9="Tier 2",B22,IF(B9="Tier 1",B23,IF(B9="Tier 0",B24,0)))))))</f>
        <v>0</v>
      </c>
      <c r="B16" s="346">
        <f>IFERROR(ROUND(E15*A16,2),2)</f>
        <v>0</v>
      </c>
      <c r="C16" s="27"/>
      <c r="D16" s="99" t="s">
        <v>114</v>
      </c>
      <c r="E16" s="82">
        <f>IF(B16="","",ROUND(B16,2))</f>
        <v>0</v>
      </c>
      <c r="G16" s="95" t="s">
        <v>273</v>
      </c>
      <c r="H16" s="94">
        <v>1</v>
      </c>
    </row>
    <row r="17" spans="1:9" ht="15.75" x14ac:dyDescent="0.25">
      <c r="A17" s="595"/>
      <c r="B17" s="596"/>
      <c r="C17" s="63"/>
      <c r="D17" s="99" t="s">
        <v>257</v>
      </c>
      <c r="E17" s="82">
        <f>IFERROR(E16-E15,"")</f>
        <v>-1</v>
      </c>
      <c r="G17" s="95" t="s">
        <v>274</v>
      </c>
      <c r="H17" s="94">
        <v>2</v>
      </c>
    </row>
    <row r="18" spans="1:9" ht="26.25" thickBot="1" x14ac:dyDescent="0.3">
      <c r="A18" s="73" t="s">
        <v>258</v>
      </c>
      <c r="B18" s="73" t="s">
        <v>288</v>
      </c>
      <c r="C18" s="26"/>
      <c r="D18" s="99" t="s">
        <v>61</v>
      </c>
      <c r="E18" s="83" t="str">
        <f>IF(B6="","",B6)</f>
        <v/>
      </c>
      <c r="G18" s="95" t="s">
        <v>275</v>
      </c>
      <c r="H18" s="94">
        <v>3</v>
      </c>
    </row>
    <row r="19" spans="1:9" ht="39" thickTop="1" x14ac:dyDescent="0.25">
      <c r="A19" s="96">
        <v>5</v>
      </c>
      <c r="B19" s="344">
        <v>0</v>
      </c>
      <c r="C19" s="26"/>
      <c r="D19" s="99" t="s">
        <v>81</v>
      </c>
      <c r="E19" s="83" t="str">
        <f>IF(B7="","",B7)</f>
        <v/>
      </c>
      <c r="G19" s="95" t="s">
        <v>276</v>
      </c>
      <c r="H19" s="94">
        <v>4</v>
      </c>
    </row>
    <row r="20" spans="1:9" s="1" customFormat="1" ht="25.5" x14ac:dyDescent="0.25">
      <c r="A20" s="74">
        <v>4</v>
      </c>
      <c r="B20" s="75">
        <v>0.27</v>
      </c>
      <c r="C20" s="26"/>
      <c r="D20" s="99" t="s">
        <v>260</v>
      </c>
      <c r="E20" s="83" t="str">
        <f>IFERROR(E19-E18,"")</f>
        <v/>
      </c>
      <c r="G20" s="93" t="s">
        <v>314</v>
      </c>
      <c r="H20" s="94">
        <v>5</v>
      </c>
    </row>
    <row r="21" spans="1:9" s="1" customFormat="1" ht="15.75" x14ac:dyDescent="0.25">
      <c r="A21" s="74">
        <v>3</v>
      </c>
      <c r="B21" s="75">
        <v>0.37</v>
      </c>
      <c r="C21" s="26"/>
      <c r="D21" s="99" t="s">
        <v>310</v>
      </c>
      <c r="E21" s="83" t="str">
        <f>IFERROR(E18*E15,"")</f>
        <v/>
      </c>
    </row>
    <row r="22" spans="1:9" s="1" customFormat="1" ht="15.75" x14ac:dyDescent="0.25">
      <c r="A22" s="74">
        <v>2</v>
      </c>
      <c r="B22" s="75">
        <v>0.65</v>
      </c>
      <c r="C22" s="26"/>
      <c r="D22" s="99" t="s">
        <v>311</v>
      </c>
      <c r="E22" s="83" t="str">
        <f>IFERROR(E19*E16,"")</f>
        <v/>
      </c>
    </row>
    <row r="23" spans="1:9" s="1" customFormat="1" ht="15.75" x14ac:dyDescent="0.25">
      <c r="A23" s="74">
        <v>1</v>
      </c>
      <c r="B23" s="75">
        <v>0.83</v>
      </c>
      <c r="C23" s="26"/>
      <c r="D23" s="99" t="s">
        <v>309</v>
      </c>
      <c r="E23" s="84" t="str">
        <f>IFERROR(E22-E21,"")</f>
        <v/>
      </c>
    </row>
    <row r="24" spans="1:9" s="1" customFormat="1" ht="15.75" x14ac:dyDescent="0.25">
      <c r="A24" s="74">
        <v>0</v>
      </c>
      <c r="B24" s="345">
        <v>1</v>
      </c>
      <c r="C24" s="26"/>
      <c r="D24" s="100" t="s">
        <v>261</v>
      </c>
      <c r="E24" s="85" t="str">
        <f>IFERROR(E23/E21,"")</f>
        <v/>
      </c>
    </row>
    <row r="25" spans="1:9" s="1" customFormat="1" x14ac:dyDescent="0.25">
      <c r="A25" s="26"/>
      <c r="B25" s="26"/>
      <c r="C25" s="26"/>
    </row>
    <row r="26" spans="1:9" s="1" customFormat="1" x14ac:dyDescent="0.25">
      <c r="C26" s="26"/>
      <c r="D26" s="26"/>
      <c r="E26" s="26"/>
    </row>
    <row r="27" spans="1:9" s="1" customFormat="1" x14ac:dyDescent="0.25">
      <c r="D27" s="26"/>
    </row>
    <row r="28" spans="1:9" s="1" customFormat="1" x14ac:dyDescent="0.25">
      <c r="D28" s="26"/>
    </row>
    <row r="29" spans="1:9" s="1" customFormat="1" ht="15.75" x14ac:dyDescent="0.25">
      <c r="A29" s="64"/>
      <c r="B29" s="72"/>
      <c r="D29" s="26"/>
      <c r="G29" s="2"/>
    </row>
    <row r="30" spans="1:9" s="1" customFormat="1" x14ac:dyDescent="0.25">
      <c r="A30" s="76"/>
      <c r="B30" s="76"/>
      <c r="C30" s="63"/>
      <c r="D30" s="26"/>
      <c r="G30" s="2"/>
      <c r="H30" s="2"/>
    </row>
    <row r="31" spans="1:9" s="1" customFormat="1" x14ac:dyDescent="0.25">
      <c r="A31" s="2"/>
      <c r="B31" s="2"/>
      <c r="C31" s="76"/>
      <c r="D31" s="76"/>
      <c r="E31" s="2"/>
      <c r="G31" s="2"/>
      <c r="H31" s="2"/>
    </row>
    <row r="32" spans="1:9" s="1" customFormat="1" x14ac:dyDescent="0.25">
      <c r="A32" s="2"/>
      <c r="B32" s="2"/>
      <c r="C32" s="27"/>
      <c r="D32" s="27"/>
      <c r="E32" s="2"/>
      <c r="G32" s="2"/>
      <c r="H32" s="2"/>
      <c r="I32" s="2"/>
    </row>
    <row r="33" spans="1:9" s="1" customFormat="1" ht="41.45" customHeight="1" x14ac:dyDescent="0.25">
      <c r="A33" s="2"/>
      <c r="B33" s="2"/>
      <c r="C33" s="27"/>
      <c r="D33" s="27"/>
      <c r="E33" s="2"/>
      <c r="G33" s="2"/>
      <c r="H33" s="2"/>
      <c r="I33" s="2"/>
    </row>
    <row r="34" spans="1:9" x14ac:dyDescent="0.25">
      <c r="C34" s="27"/>
      <c r="D34" s="27"/>
    </row>
    <row r="35" spans="1:9" x14ac:dyDescent="0.25">
      <c r="C35" s="27"/>
      <c r="D35" s="27"/>
    </row>
    <row r="36" spans="1:9" x14ac:dyDescent="0.25">
      <c r="C36" s="27"/>
      <c r="D36" s="27"/>
    </row>
    <row r="37" spans="1:9" x14ac:dyDescent="0.25">
      <c r="C37" s="27"/>
      <c r="D37" s="27"/>
    </row>
    <row r="38" spans="1:9" x14ac:dyDescent="0.25">
      <c r="C38" s="27"/>
      <c r="D38" s="27"/>
    </row>
    <row r="39" spans="1:9" x14ac:dyDescent="0.25">
      <c r="C39" s="27"/>
      <c r="D39" s="27"/>
    </row>
    <row r="40" spans="1:9" x14ac:dyDescent="0.25">
      <c r="A40" s="27"/>
      <c r="B40" s="27"/>
      <c r="C40" s="27"/>
      <c r="D40" s="27"/>
    </row>
    <row r="41" spans="1:9" x14ac:dyDescent="0.25">
      <c r="A41" s="27"/>
      <c r="B41" s="27"/>
      <c r="C41" s="27"/>
      <c r="D41" s="27"/>
    </row>
    <row r="42" spans="1:9" x14ac:dyDescent="0.25">
      <c r="A42" s="27"/>
      <c r="B42" s="27"/>
      <c r="C42" s="27"/>
      <c r="D42" s="27"/>
    </row>
    <row r="43" spans="1:9" x14ac:dyDescent="0.25">
      <c r="A43" s="27"/>
      <c r="B43" s="27"/>
      <c r="C43" s="27"/>
      <c r="D43" s="27"/>
    </row>
    <row r="44" spans="1:9" x14ac:dyDescent="0.25">
      <c r="A44" s="27"/>
      <c r="B44" s="27"/>
      <c r="C44" s="27"/>
      <c r="D44" s="27"/>
    </row>
    <row r="45" spans="1:9" x14ac:dyDescent="0.25">
      <c r="A45" s="27"/>
      <c r="B45" s="27"/>
      <c r="C45" s="27"/>
      <c r="D45" s="27"/>
    </row>
    <row r="46" spans="1:9" x14ac:dyDescent="0.25">
      <c r="A46" s="27"/>
      <c r="B46" s="27"/>
      <c r="C46" s="27"/>
      <c r="D46" s="27"/>
    </row>
    <row r="47" spans="1:9" x14ac:dyDescent="0.25">
      <c r="A47" s="27"/>
      <c r="B47" s="27"/>
      <c r="C47" s="27"/>
      <c r="D47" s="27"/>
    </row>
    <row r="48" spans="1:9" x14ac:dyDescent="0.25">
      <c r="A48" s="27"/>
      <c r="B48" s="27"/>
      <c r="C48" s="27"/>
      <c r="D48" s="27"/>
    </row>
    <row r="49" spans="1:4" x14ac:dyDescent="0.25">
      <c r="A49" s="27"/>
      <c r="B49" s="27"/>
      <c r="C49" s="27"/>
      <c r="D49" s="27"/>
    </row>
    <row r="50" spans="1:4" x14ac:dyDescent="0.25">
      <c r="A50" s="27"/>
      <c r="B50" s="27"/>
      <c r="C50" s="27"/>
      <c r="D50" s="27"/>
    </row>
    <row r="51" spans="1:4" x14ac:dyDescent="0.25">
      <c r="A51" s="27"/>
      <c r="B51" s="27"/>
      <c r="C51" s="27"/>
      <c r="D51" s="27"/>
    </row>
    <row r="52" spans="1:4" ht="14.45" customHeight="1" x14ac:dyDescent="0.25">
      <c r="A52" s="27"/>
      <c r="B52" s="27"/>
      <c r="C52" s="27"/>
      <c r="D52" s="27"/>
    </row>
    <row r="53" spans="1:4" x14ac:dyDescent="0.25">
      <c r="A53" s="27"/>
      <c r="B53" s="27"/>
      <c r="C53" s="27"/>
      <c r="D53" s="27"/>
    </row>
    <row r="54" spans="1:4" x14ac:dyDescent="0.25">
      <c r="C54" s="27"/>
      <c r="D54" s="27"/>
    </row>
  </sheetData>
  <sheetProtection algorithmName="SHA-512" hashValue="dv8XfCMmHUalJjBj9ptCIbhNhnA73rl7mtkCXAxp9s1xdzZxaO+4aj2PkKJZBmW1pe+K8iKIedkT93NlEpLnNg==" saltValue="0vnW+crCupdlZK3wMM6GzA==" spinCount="100000" sheet="1" objects="1" scenarios="1"/>
  <mergeCells count="14">
    <mergeCell ref="A17:B17"/>
    <mergeCell ref="A9:A12"/>
    <mergeCell ref="B9:B12"/>
    <mergeCell ref="C9:D12"/>
    <mergeCell ref="A3:B3"/>
    <mergeCell ref="A14:B14"/>
    <mergeCell ref="D14:E14"/>
    <mergeCell ref="G3:H3"/>
    <mergeCell ref="G4:H4"/>
    <mergeCell ref="G9:H9"/>
    <mergeCell ref="D3:E3"/>
    <mergeCell ref="D4:E4"/>
    <mergeCell ref="D5:E5"/>
    <mergeCell ref="D6:E6"/>
  </mergeCells>
  <dataValidations count="1">
    <dataValidation type="decimal" allowBlank="1" showInputMessage="1" showErrorMessage="1" sqref="B29">
      <formula1>0</formula1>
      <formula2>1</formula2>
    </dataValidation>
  </dataValidations>
  <pageMargins left="0.7" right="0.7" top="0.75" bottom="0.75" header="0.3" footer="0.3"/>
  <pageSetup scale="51" orientation="portrait" r:id="rId1"/>
  <colBreaks count="1" manualBreakCount="1">
    <brk id="5" min="2" max="24"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'Pull Down Notes'!$B$139:$B$145</xm:f>
          </x14:formula1>
          <xm:sqref>B9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73"/>
  <sheetViews>
    <sheetView topLeftCell="A73" zoomScale="85" zoomScaleNormal="85" workbookViewId="0">
      <selection activeCell="I89" sqref="I89"/>
    </sheetView>
  </sheetViews>
  <sheetFormatPr defaultColWidth="9.140625" defaultRowHeight="15" x14ac:dyDescent="0.25"/>
  <cols>
    <col min="1" max="10" width="11.7109375" style="174" customWidth="1"/>
    <col min="11" max="11" width="16.42578125" style="174" customWidth="1"/>
    <col min="12" max="25" width="11.7109375" style="174" customWidth="1"/>
    <col min="26" max="26" width="7" style="174" customWidth="1"/>
    <col min="27" max="41" width="11.7109375" style="174" customWidth="1"/>
    <col min="42" max="16384" width="9.140625" style="174"/>
  </cols>
  <sheetData>
    <row r="1" spans="1:38" x14ac:dyDescent="0.25">
      <c r="A1" s="174" t="s">
        <v>126</v>
      </c>
    </row>
    <row r="2" spans="1:38" x14ac:dyDescent="0.25">
      <c r="A2" s="174" t="s">
        <v>300</v>
      </c>
    </row>
    <row r="3" spans="1:38" x14ac:dyDescent="0.25">
      <c r="A3" s="174" t="s">
        <v>127</v>
      </c>
    </row>
    <row r="5" spans="1:38" ht="15" customHeight="1" x14ac:dyDescent="0.25">
      <c r="B5" s="610" t="s">
        <v>404</v>
      </c>
      <c r="C5" s="610"/>
      <c r="D5" s="610"/>
      <c r="E5" s="610"/>
      <c r="F5" s="610"/>
      <c r="G5" s="610"/>
      <c r="H5" s="610"/>
      <c r="I5" s="175"/>
      <c r="J5" s="610" t="s">
        <v>76</v>
      </c>
      <c r="K5" s="610"/>
      <c r="L5" s="610"/>
      <c r="M5" s="610"/>
      <c r="N5" s="610"/>
      <c r="O5" s="610"/>
      <c r="P5" s="610"/>
      <c r="R5" s="610" t="s">
        <v>77</v>
      </c>
      <c r="S5" s="610"/>
      <c r="T5" s="610"/>
      <c r="U5" s="610"/>
      <c r="V5" s="610"/>
      <c r="W5" s="610"/>
      <c r="X5" s="610"/>
      <c r="Y5" s="610"/>
      <c r="Z5" s="176"/>
      <c r="AA5" s="610" t="s">
        <v>78</v>
      </c>
      <c r="AB5" s="610"/>
      <c r="AC5" s="610"/>
      <c r="AD5" s="610"/>
      <c r="AE5" s="610"/>
      <c r="AF5" s="610"/>
      <c r="AG5" s="610"/>
    </row>
    <row r="6" spans="1:38" ht="15" customHeight="1" x14ac:dyDescent="0.25">
      <c r="A6" s="177"/>
      <c r="B6" s="610"/>
      <c r="C6" s="610"/>
      <c r="D6" s="610"/>
      <c r="E6" s="610"/>
      <c r="F6" s="610"/>
      <c r="G6" s="610"/>
      <c r="H6" s="610"/>
      <c r="I6" s="175"/>
      <c r="J6" s="610"/>
      <c r="K6" s="610"/>
      <c r="L6" s="610"/>
      <c r="M6" s="610"/>
      <c r="N6" s="610"/>
      <c r="O6" s="610"/>
      <c r="P6" s="610"/>
      <c r="R6" s="610"/>
      <c r="S6" s="610"/>
      <c r="T6" s="610"/>
      <c r="U6" s="610"/>
      <c r="V6" s="610"/>
      <c r="W6" s="610"/>
      <c r="X6" s="610"/>
      <c r="Y6" s="610"/>
      <c r="Z6" s="176"/>
      <c r="AA6" s="610"/>
      <c r="AB6" s="610"/>
      <c r="AC6" s="610"/>
      <c r="AD6" s="610"/>
      <c r="AE6" s="610"/>
      <c r="AF6" s="610"/>
      <c r="AG6" s="610"/>
    </row>
    <row r="7" spans="1:38" x14ac:dyDescent="0.25">
      <c r="B7" s="177"/>
      <c r="C7" s="177"/>
      <c r="D7" s="177"/>
      <c r="E7" s="177"/>
      <c r="F7" s="177"/>
      <c r="G7" s="177"/>
      <c r="H7" s="177"/>
      <c r="I7" s="176"/>
      <c r="J7" s="176"/>
      <c r="K7" s="176"/>
      <c r="L7" s="176"/>
    </row>
    <row r="8" spans="1:38" ht="15.75" thickBot="1" x14ac:dyDescent="0.3">
      <c r="B8" s="257" t="s">
        <v>341</v>
      </c>
      <c r="J8" s="174" t="s">
        <v>19</v>
      </c>
      <c r="R8" s="259" t="s">
        <v>411</v>
      </c>
      <c r="S8" s="182"/>
      <c r="T8" s="182"/>
      <c r="U8" s="182"/>
      <c r="V8" s="182"/>
      <c r="W8" s="182"/>
      <c r="X8" s="182"/>
      <c r="AA8" s="257" t="s">
        <v>403</v>
      </c>
    </row>
    <row r="9" spans="1:38" x14ac:dyDescent="0.25">
      <c r="B9" s="255" t="s">
        <v>12</v>
      </c>
      <c r="C9" s="180">
        <v>80</v>
      </c>
      <c r="D9" s="180"/>
      <c r="E9" s="180"/>
      <c r="F9" s="180"/>
      <c r="G9" s="180">
        <v>68</v>
      </c>
      <c r="H9" s="181">
        <v>40</v>
      </c>
      <c r="J9" s="179" t="s">
        <v>12</v>
      </c>
      <c r="K9" s="185">
        <v>0</v>
      </c>
      <c r="L9" s="185"/>
      <c r="M9" s="185"/>
      <c r="N9" s="185"/>
      <c r="O9" s="185">
        <v>430</v>
      </c>
      <c r="P9" s="186">
        <v>660</v>
      </c>
      <c r="R9" s="179" t="s">
        <v>225</v>
      </c>
      <c r="S9" s="187">
        <v>20.100000000000001</v>
      </c>
      <c r="T9" s="261"/>
      <c r="U9" s="180">
        <v>18.100000000000001</v>
      </c>
      <c r="V9" s="180"/>
      <c r="W9" s="180">
        <v>15.4</v>
      </c>
      <c r="X9" s="188">
        <v>13.5</v>
      </c>
      <c r="AA9" s="189" t="s">
        <v>179</v>
      </c>
      <c r="AB9" s="265">
        <v>5.3</v>
      </c>
      <c r="AC9" s="266"/>
      <c r="AD9" s="266">
        <v>26.2</v>
      </c>
      <c r="AE9" s="265"/>
      <c r="AF9" s="265">
        <v>39.9</v>
      </c>
      <c r="AG9" s="191">
        <v>64.5</v>
      </c>
    </row>
    <row r="10" spans="1:38" ht="15.75" thickBot="1" x14ac:dyDescent="0.3">
      <c r="B10" s="192" t="s">
        <v>13</v>
      </c>
      <c r="C10" s="193">
        <v>0</v>
      </c>
      <c r="D10" s="193">
        <v>0.28999999999999998</v>
      </c>
      <c r="E10" s="194">
        <v>0.3</v>
      </c>
      <c r="F10" s="194">
        <v>0.69</v>
      </c>
      <c r="G10" s="196">
        <v>0.7</v>
      </c>
      <c r="H10" s="197">
        <v>1</v>
      </c>
      <c r="J10" s="192" t="s">
        <v>13</v>
      </c>
      <c r="K10" s="193">
        <v>0</v>
      </c>
      <c r="L10" s="193">
        <v>0.28999999999999998</v>
      </c>
      <c r="M10" s="194">
        <v>0.3</v>
      </c>
      <c r="N10" s="194">
        <v>0.69</v>
      </c>
      <c r="O10" s="196">
        <v>0.7</v>
      </c>
      <c r="P10" s="197">
        <v>1</v>
      </c>
      <c r="R10" s="183" t="s">
        <v>215</v>
      </c>
      <c r="S10" s="182">
        <v>20.5</v>
      </c>
      <c r="U10" s="174">
        <v>19.3</v>
      </c>
      <c r="W10" s="174">
        <v>17.7</v>
      </c>
      <c r="X10" s="198">
        <v>16.5</v>
      </c>
      <c r="AA10" s="199" t="s">
        <v>174</v>
      </c>
      <c r="AB10" s="263">
        <v>12.8</v>
      </c>
      <c r="AC10" s="200"/>
      <c r="AD10" s="264">
        <v>30.7</v>
      </c>
      <c r="AE10" s="263"/>
      <c r="AF10" s="263">
        <v>46.1</v>
      </c>
      <c r="AG10" s="201">
        <v>65.7</v>
      </c>
    </row>
    <row r="11" spans="1:38" ht="15" customHeight="1" x14ac:dyDescent="0.25">
      <c r="C11" s="380"/>
      <c r="D11" s="182"/>
      <c r="F11" s="175"/>
      <c r="G11" s="206"/>
      <c r="H11" s="206"/>
      <c r="J11" s="202"/>
      <c r="K11" s="176"/>
      <c r="L11" s="176"/>
      <c r="M11" s="176"/>
      <c r="N11" s="176"/>
      <c r="O11" s="176"/>
      <c r="P11" s="176"/>
      <c r="R11" s="183" t="s">
        <v>226</v>
      </c>
      <c r="S11" s="182">
        <v>23.6</v>
      </c>
      <c r="U11" s="174">
        <v>22</v>
      </c>
      <c r="W11" s="174">
        <v>19.899999999999999</v>
      </c>
      <c r="X11" s="198">
        <v>18.3</v>
      </c>
      <c r="AA11" s="199" t="s">
        <v>175</v>
      </c>
      <c r="AB11" s="263">
        <v>17.100000000000001</v>
      </c>
      <c r="AC11" s="200"/>
      <c r="AD11" s="264">
        <v>32.5</v>
      </c>
      <c r="AE11" s="263"/>
      <c r="AF11" s="263">
        <v>48.8</v>
      </c>
      <c r="AG11" s="201">
        <v>78.2</v>
      </c>
    </row>
    <row r="12" spans="1:38" ht="15" customHeight="1" thickBot="1" x14ac:dyDescent="0.3">
      <c r="C12" s="382" t="s">
        <v>393</v>
      </c>
      <c r="D12" s="379" t="s">
        <v>82</v>
      </c>
      <c r="F12" s="175"/>
      <c r="G12" s="206"/>
      <c r="H12" s="206"/>
      <c r="J12" s="184"/>
      <c r="K12" s="382" t="s">
        <v>393</v>
      </c>
      <c r="L12" s="208" t="s">
        <v>82</v>
      </c>
      <c r="R12" s="183" t="s">
        <v>217</v>
      </c>
      <c r="S12" s="182">
        <v>27.2</v>
      </c>
      <c r="U12" s="174">
        <v>26</v>
      </c>
      <c r="W12" s="174">
        <v>24.4</v>
      </c>
      <c r="X12" s="198">
        <v>23.2</v>
      </c>
      <c r="AA12" s="192" t="s">
        <v>4</v>
      </c>
      <c r="AB12" s="193">
        <v>0</v>
      </c>
      <c r="AC12" s="193">
        <v>0.28999999999999998</v>
      </c>
      <c r="AD12" s="194">
        <v>0.3</v>
      </c>
      <c r="AE12" s="194">
        <v>0.69</v>
      </c>
      <c r="AF12" s="196">
        <v>0.7</v>
      </c>
      <c r="AG12" s="197">
        <v>1</v>
      </c>
    </row>
    <row r="13" spans="1:38" x14ac:dyDescent="0.25">
      <c r="B13" s="380" t="s">
        <v>392</v>
      </c>
      <c r="C13" s="212"/>
      <c r="E13" s="212"/>
      <c r="F13" s="175"/>
      <c r="G13" s="175"/>
      <c r="H13" s="175"/>
      <c r="J13" s="380" t="s">
        <v>392</v>
      </c>
      <c r="K13" s="184"/>
      <c r="L13" s="184"/>
      <c r="R13" s="183" t="s">
        <v>218</v>
      </c>
      <c r="S13" s="182">
        <v>30.3</v>
      </c>
      <c r="U13" s="174">
        <v>29</v>
      </c>
      <c r="W13" s="174">
        <v>27.3</v>
      </c>
      <c r="X13" s="209">
        <v>26</v>
      </c>
      <c r="Y13" s="206"/>
    </row>
    <row r="14" spans="1:38" ht="15.75" thickBot="1" x14ac:dyDescent="0.3">
      <c r="B14" s="305" t="s">
        <v>107</v>
      </c>
      <c r="C14" s="214">
        <v>-5.8333000000000003E-2</v>
      </c>
      <c r="D14" s="174">
        <v>-1.0699999999999999E-2</v>
      </c>
      <c r="E14" s="212"/>
      <c r="F14" s="175"/>
      <c r="G14" s="175"/>
      <c r="H14" s="175"/>
      <c r="J14" s="382" t="s">
        <v>107</v>
      </c>
      <c r="K14" s="184">
        <f>1.6*10^-3</f>
        <v>1.6000000000000001E-3</v>
      </c>
      <c r="L14" s="184">
        <v>1.2999999999999999E-3</v>
      </c>
      <c r="R14" s="192" t="s">
        <v>4</v>
      </c>
      <c r="S14" s="193">
        <v>0</v>
      </c>
      <c r="T14" s="193">
        <v>0.28999999999999998</v>
      </c>
      <c r="U14" s="194">
        <v>0.3</v>
      </c>
      <c r="V14" s="194">
        <v>0.69</v>
      </c>
      <c r="W14" s="196">
        <v>0.7</v>
      </c>
      <c r="X14" s="197">
        <v>1</v>
      </c>
      <c r="Y14" s="175"/>
      <c r="AB14" s="604" t="s">
        <v>179</v>
      </c>
      <c r="AC14" s="604"/>
      <c r="AD14" s="604"/>
      <c r="AE14" s="614" t="s">
        <v>174</v>
      </c>
      <c r="AF14" s="614"/>
      <c r="AG14" s="614"/>
      <c r="AH14" s="614" t="s">
        <v>175</v>
      </c>
      <c r="AI14" s="614"/>
    </row>
    <row r="15" spans="1:38" x14ac:dyDescent="0.25">
      <c r="B15" s="305" t="s">
        <v>108</v>
      </c>
      <c r="C15" s="212">
        <v>4.6666999999999996</v>
      </c>
      <c r="D15" s="257">
        <v>1.4286000000000001</v>
      </c>
      <c r="J15" s="382" t="s">
        <v>108</v>
      </c>
      <c r="K15" s="184">
        <v>0</v>
      </c>
      <c r="L15" s="304">
        <v>0.1391</v>
      </c>
      <c r="Y15" s="175"/>
      <c r="AA15" s="206"/>
      <c r="AB15" s="267" t="s">
        <v>109</v>
      </c>
      <c r="AC15" s="267" t="s">
        <v>248</v>
      </c>
      <c r="AD15" s="267" t="s">
        <v>82</v>
      </c>
      <c r="AE15" s="267" t="s">
        <v>109</v>
      </c>
      <c r="AF15" s="267" t="s">
        <v>248</v>
      </c>
      <c r="AG15" s="267" t="s">
        <v>82</v>
      </c>
      <c r="AH15" s="270" t="s">
        <v>112</v>
      </c>
      <c r="AI15" s="270" t="s">
        <v>82</v>
      </c>
      <c r="AK15" s="216"/>
      <c r="AL15" s="269"/>
    </row>
    <row r="16" spans="1:38" x14ac:dyDescent="0.25">
      <c r="B16" s="218"/>
      <c r="J16" s="184"/>
      <c r="K16" s="175"/>
      <c r="L16" s="184"/>
      <c r="R16" s="260"/>
      <c r="S16" s="184" t="str">
        <f>R9</f>
        <v>Tier I (Cold)</v>
      </c>
      <c r="T16" s="175" t="str">
        <f>R10</f>
        <v>Tier II (Cold-Cool)</v>
      </c>
      <c r="U16" s="175" t="str">
        <f>R11</f>
        <v>Tier III (Cool)</v>
      </c>
      <c r="V16" s="175" t="str">
        <f>R12</f>
        <v>Tier IV (Cool-Warm)</v>
      </c>
      <c r="W16" s="184" t="str">
        <f>R13</f>
        <v>Tier V (Warm)</v>
      </c>
      <c r="Y16" s="175"/>
      <c r="AA16" s="203" t="s">
        <v>297</v>
      </c>
      <c r="AJ16" s="216"/>
      <c r="AK16" s="184"/>
      <c r="AL16" s="184"/>
    </row>
    <row r="17" spans="17:38" x14ac:dyDescent="0.25">
      <c r="R17" s="203" t="s">
        <v>297</v>
      </c>
      <c r="S17" s="184"/>
      <c r="T17" s="175"/>
      <c r="U17" s="175"/>
      <c r="V17" s="175"/>
      <c r="W17" s="184"/>
      <c r="X17" s="175"/>
      <c r="AA17" s="218" t="s">
        <v>107</v>
      </c>
      <c r="AB17" s="175">
        <v>1.44E-2</v>
      </c>
      <c r="AC17" s="175">
        <v>2.92E-2</v>
      </c>
      <c r="AD17" s="175">
        <v>1.2200000000000001E-2</v>
      </c>
      <c r="AE17" s="260">
        <v>1.6799999999999999E-2</v>
      </c>
      <c r="AF17" s="260">
        <v>2.5999999999999999E-2</v>
      </c>
      <c r="AG17" s="260">
        <v>1.5299999999999999E-2</v>
      </c>
      <c r="AH17" s="260">
        <v>2.2100000000000002E-2</v>
      </c>
      <c r="AI17" s="260">
        <v>1.0200000000000001E-2</v>
      </c>
      <c r="AJ17" s="175"/>
      <c r="AK17" s="184"/>
      <c r="AL17" s="184"/>
    </row>
    <row r="18" spans="17:38" x14ac:dyDescent="0.25">
      <c r="R18" s="218" t="s">
        <v>107</v>
      </c>
      <c r="S18" s="387">
        <v>-0.151</v>
      </c>
      <c r="T18" s="387">
        <v>-0.25</v>
      </c>
      <c r="U18" s="387">
        <v>-0.18890000000000001</v>
      </c>
      <c r="V18" s="387">
        <v>-0.25</v>
      </c>
      <c r="W18" s="387">
        <v>-0.2329</v>
      </c>
      <c r="AA18" s="218" t="s">
        <v>108</v>
      </c>
      <c r="AB18" s="175">
        <v>-7.6100000000000001E-2</v>
      </c>
      <c r="AC18" s="175">
        <v>-0.46500000000000002</v>
      </c>
      <c r="AD18" s="175">
        <v>0.21340000000000001</v>
      </c>
      <c r="AE18" s="260">
        <v>-0.2145</v>
      </c>
      <c r="AF18" s="260">
        <v>-0.49740000000000001</v>
      </c>
      <c r="AG18" s="260">
        <v>-5.5999999999999999E-3</v>
      </c>
      <c r="AH18" s="260">
        <v>-0.39169999999999999</v>
      </c>
      <c r="AI18" s="260">
        <v>0.20200000000000001</v>
      </c>
      <c r="AJ18" s="175"/>
    </row>
    <row r="19" spans="17:38" x14ac:dyDescent="0.25">
      <c r="R19" s="218" t="s">
        <v>108</v>
      </c>
      <c r="S19" s="387">
        <v>3.0333000000000001</v>
      </c>
      <c r="T19" s="387">
        <v>5.125</v>
      </c>
      <c r="U19" s="387">
        <v>4.4579000000000004</v>
      </c>
      <c r="V19" s="387">
        <v>6.8</v>
      </c>
      <c r="W19" s="387">
        <v>7.0568999999999997</v>
      </c>
      <c r="AA19" s="218"/>
      <c r="AB19" s="175"/>
      <c r="AC19" s="175"/>
      <c r="AD19" s="216"/>
      <c r="AE19" s="175"/>
      <c r="AF19" s="175"/>
      <c r="AG19" s="184"/>
    </row>
    <row r="20" spans="17:38" x14ac:dyDescent="0.25">
      <c r="AA20" s="182"/>
      <c r="AB20" s="182"/>
      <c r="AC20" s="215"/>
    </row>
    <row r="21" spans="17:38" x14ac:dyDescent="0.25">
      <c r="Q21" s="219"/>
    </row>
    <row r="39" spans="2:33" ht="15.75" thickBot="1" x14ac:dyDescent="0.3">
      <c r="B39" s="257" t="s">
        <v>129</v>
      </c>
    </row>
    <row r="40" spans="2:33" x14ac:dyDescent="0.25">
      <c r="B40" s="255" t="s">
        <v>12</v>
      </c>
      <c r="C40" s="261"/>
      <c r="D40" s="180"/>
      <c r="E40" s="180"/>
      <c r="F40" s="180">
        <v>1</v>
      </c>
      <c r="G40" s="180"/>
      <c r="H40" s="181">
        <v>0</v>
      </c>
    </row>
    <row r="41" spans="2:33" ht="15.75" thickBot="1" x14ac:dyDescent="0.3">
      <c r="B41" s="192" t="s">
        <v>13</v>
      </c>
      <c r="C41" s="193">
        <v>0</v>
      </c>
      <c r="D41" s="193">
        <v>0.28999999999999998</v>
      </c>
      <c r="E41" s="194">
        <v>0.3</v>
      </c>
      <c r="F41" s="194">
        <v>0.69</v>
      </c>
      <c r="G41" s="196">
        <v>0.7</v>
      </c>
      <c r="H41" s="197">
        <v>1</v>
      </c>
      <c r="J41" s="257" t="s">
        <v>405</v>
      </c>
    </row>
    <row r="42" spans="2:33" x14ac:dyDescent="0.25">
      <c r="C42" s="203"/>
      <c r="D42" s="182"/>
      <c r="F42" s="175"/>
      <c r="G42" s="206"/>
      <c r="H42" s="206"/>
      <c r="J42" s="222" t="s">
        <v>12</v>
      </c>
      <c r="K42" s="185">
        <v>0</v>
      </c>
      <c r="L42" s="185"/>
      <c r="M42" s="185"/>
      <c r="N42" s="185"/>
      <c r="O42" s="185">
        <v>13</v>
      </c>
      <c r="P42" s="186">
        <v>28</v>
      </c>
    </row>
    <row r="43" spans="2:33" ht="15.75" thickBot="1" x14ac:dyDescent="0.3">
      <c r="B43" s="380" t="s">
        <v>392</v>
      </c>
      <c r="C43" s="212"/>
      <c r="E43" s="212"/>
      <c r="F43" s="175"/>
      <c r="G43" s="175"/>
      <c r="H43" s="175"/>
      <c r="J43" s="192" t="s">
        <v>13</v>
      </c>
      <c r="K43" s="193">
        <v>0</v>
      </c>
      <c r="L43" s="193">
        <v>0.28999999999999998</v>
      </c>
      <c r="M43" s="194">
        <v>0.3</v>
      </c>
      <c r="N43" s="194">
        <v>0.69</v>
      </c>
      <c r="O43" s="196">
        <v>0.7</v>
      </c>
      <c r="P43" s="197">
        <v>1</v>
      </c>
    </row>
    <row r="44" spans="2:33" x14ac:dyDescent="0.25">
      <c r="B44" s="305" t="s">
        <v>107</v>
      </c>
      <c r="C44" s="214">
        <v>-0.31</v>
      </c>
      <c r="E44" s="212"/>
      <c r="F44" s="175"/>
      <c r="G44" s="175"/>
      <c r="H44" s="175"/>
    </row>
    <row r="45" spans="2:33" ht="15.75" thickBot="1" x14ac:dyDescent="0.3">
      <c r="B45" s="305" t="s">
        <v>108</v>
      </c>
      <c r="C45" s="212">
        <v>1</v>
      </c>
      <c r="J45" s="182"/>
      <c r="K45" s="382" t="s">
        <v>393</v>
      </c>
      <c r="L45" s="223" t="s">
        <v>82</v>
      </c>
      <c r="AA45" s="174" t="s">
        <v>304</v>
      </c>
    </row>
    <row r="46" spans="2:33" ht="15.75" thickBot="1" x14ac:dyDescent="0.3">
      <c r="B46" s="218"/>
      <c r="J46" s="203" t="s">
        <v>297</v>
      </c>
      <c r="K46" s="224"/>
      <c r="L46" s="225"/>
      <c r="R46" s="257" t="s">
        <v>338</v>
      </c>
      <c r="AA46" s="189" t="s">
        <v>173</v>
      </c>
      <c r="AB46" s="265">
        <v>5.0999999999999996</v>
      </c>
      <c r="AC46" s="266"/>
      <c r="AD46" s="266">
        <v>32.6</v>
      </c>
      <c r="AE46" s="265"/>
      <c r="AF46" s="265">
        <v>48.8</v>
      </c>
      <c r="AG46" s="271">
        <v>82.2</v>
      </c>
    </row>
    <row r="47" spans="2:33" x14ac:dyDescent="0.25">
      <c r="J47" s="305" t="s">
        <v>107</v>
      </c>
      <c r="K47" s="226">
        <v>5.3800000000000001E-2</v>
      </c>
      <c r="L47" s="226">
        <v>0.02</v>
      </c>
      <c r="R47" s="403" t="s">
        <v>337</v>
      </c>
      <c r="S47" s="185">
        <v>150</v>
      </c>
      <c r="T47" s="185"/>
      <c r="U47" s="185">
        <v>117</v>
      </c>
      <c r="V47" s="185"/>
      <c r="W47" s="185">
        <v>29</v>
      </c>
      <c r="X47" s="186">
        <v>16</v>
      </c>
      <c r="AA47" s="205" t="s">
        <v>170</v>
      </c>
      <c r="AB47" s="263">
        <v>10.4</v>
      </c>
      <c r="AC47" s="264"/>
      <c r="AD47" s="264">
        <v>36.700000000000003</v>
      </c>
      <c r="AE47" s="263"/>
      <c r="AF47" s="263">
        <v>55.1</v>
      </c>
      <c r="AG47" s="273">
        <v>87</v>
      </c>
    </row>
    <row r="48" spans="2:33" ht="15" customHeight="1" x14ac:dyDescent="0.25">
      <c r="J48" s="305" t="s">
        <v>108</v>
      </c>
      <c r="K48" s="226">
        <v>0</v>
      </c>
      <c r="L48" s="226">
        <v>0.44</v>
      </c>
      <c r="R48" s="256" t="s">
        <v>220</v>
      </c>
      <c r="S48" s="252">
        <v>100.65608065422083</v>
      </c>
      <c r="T48" s="202"/>
      <c r="U48" s="252">
        <v>53</v>
      </c>
      <c r="V48" s="252"/>
      <c r="W48" s="252">
        <v>26.75</v>
      </c>
      <c r="X48" s="258">
        <v>12</v>
      </c>
      <c r="AA48" s="205" t="s">
        <v>171</v>
      </c>
      <c r="AB48" s="263">
        <v>1.6</v>
      </c>
      <c r="AC48" s="264"/>
      <c r="AD48" s="264">
        <v>38.9</v>
      </c>
      <c r="AE48" s="263"/>
      <c r="AF48" s="263">
        <v>58.4</v>
      </c>
      <c r="AG48" s="273">
        <v>95.8</v>
      </c>
    </row>
    <row r="49" spans="18:36" ht="15.75" thickBot="1" x14ac:dyDescent="0.3">
      <c r="R49" s="192" t="s">
        <v>4</v>
      </c>
      <c r="S49" s="193">
        <v>0</v>
      </c>
      <c r="T49" s="193">
        <v>0.2</v>
      </c>
      <c r="U49" s="194">
        <v>0.3</v>
      </c>
      <c r="V49" s="194">
        <v>0.6</v>
      </c>
      <c r="W49" s="196">
        <v>0.7</v>
      </c>
      <c r="X49" s="197">
        <v>1</v>
      </c>
      <c r="Y49" s="175"/>
      <c r="AA49" s="192" t="s">
        <v>4</v>
      </c>
      <c r="AB49" s="193">
        <v>0</v>
      </c>
      <c r="AC49" s="193">
        <v>0.28999999999999998</v>
      </c>
      <c r="AD49" s="194">
        <v>0.3</v>
      </c>
      <c r="AE49" s="194">
        <v>0.69</v>
      </c>
      <c r="AF49" s="196">
        <v>0.7</v>
      </c>
      <c r="AG49" s="197">
        <v>1</v>
      </c>
    </row>
    <row r="50" spans="18:36" x14ac:dyDescent="0.25">
      <c r="Y50" s="206"/>
    </row>
    <row r="51" spans="18:36" x14ac:dyDescent="0.25">
      <c r="R51" s="182"/>
      <c r="S51" s="257" t="s">
        <v>337</v>
      </c>
      <c r="T51" s="257" t="s">
        <v>220</v>
      </c>
      <c r="Y51" s="175"/>
      <c r="AA51" s="206"/>
      <c r="AB51" s="604" t="s">
        <v>173</v>
      </c>
      <c r="AC51" s="604"/>
      <c r="AD51" s="604"/>
      <c r="AE51" s="615" t="s">
        <v>170</v>
      </c>
      <c r="AF51" s="615"/>
      <c r="AG51" s="615"/>
      <c r="AH51" s="604" t="s">
        <v>171</v>
      </c>
      <c r="AI51" s="604"/>
      <c r="AJ51" s="604"/>
    </row>
    <row r="52" spans="18:36" x14ac:dyDescent="0.25">
      <c r="R52" s="182" t="s">
        <v>203</v>
      </c>
      <c r="Y52" s="175"/>
      <c r="AA52" s="206"/>
      <c r="AB52" s="267" t="s">
        <v>109</v>
      </c>
      <c r="AC52" s="267" t="s">
        <v>248</v>
      </c>
      <c r="AD52" s="267" t="s">
        <v>82</v>
      </c>
      <c r="AE52" s="267" t="s">
        <v>109</v>
      </c>
      <c r="AF52" s="267" t="s">
        <v>248</v>
      </c>
      <c r="AG52" s="267" t="s">
        <v>82</v>
      </c>
      <c r="AH52" s="267" t="s">
        <v>109</v>
      </c>
      <c r="AI52" s="267" t="s">
        <v>248</v>
      </c>
      <c r="AJ52" s="267" t="s">
        <v>82</v>
      </c>
    </row>
    <row r="53" spans="18:36" x14ac:dyDescent="0.25">
      <c r="R53" s="218" t="s">
        <v>107</v>
      </c>
      <c r="S53" s="182">
        <v>-0.39900000000000002</v>
      </c>
      <c r="T53" s="182">
        <v>-0.48</v>
      </c>
      <c r="V53" s="175"/>
      <c r="W53" s="206"/>
      <c r="X53" s="206"/>
      <c r="Y53" s="175"/>
      <c r="AA53" s="203" t="s">
        <v>297</v>
      </c>
    </row>
    <row r="54" spans="18:36" x14ac:dyDescent="0.25">
      <c r="R54" s="218" t="s">
        <v>108</v>
      </c>
      <c r="S54" s="182">
        <v>2.0857000000000001</v>
      </c>
      <c r="T54" s="182">
        <v>2.2214</v>
      </c>
      <c r="V54" s="175"/>
      <c r="W54" s="175"/>
      <c r="X54" s="175"/>
      <c r="AA54" s="218" t="s">
        <v>107</v>
      </c>
      <c r="AB54" s="175">
        <v>1.09E-2</v>
      </c>
      <c r="AC54" s="175">
        <v>2.47E-2</v>
      </c>
      <c r="AD54" s="175">
        <v>8.9999999999999993E-3</v>
      </c>
      <c r="AE54" s="175">
        <v>1.14E-2</v>
      </c>
      <c r="AF54" s="260">
        <v>2.1700000000000001E-2</v>
      </c>
      <c r="AG54" s="260">
        <v>9.4000000000000004E-3</v>
      </c>
      <c r="AH54" s="175">
        <v>8.0000000000000002E-3</v>
      </c>
      <c r="AI54" s="260">
        <v>2.0500000000000001E-2</v>
      </c>
      <c r="AJ54" s="260">
        <v>8.0000000000000002E-3</v>
      </c>
    </row>
    <row r="55" spans="18:36" x14ac:dyDescent="0.25">
      <c r="R55" s="182"/>
      <c r="S55" s="182"/>
      <c r="T55" s="182"/>
      <c r="U55" s="213"/>
      <c r="V55" s="175"/>
      <c r="W55" s="175"/>
      <c r="X55" s="175"/>
      <c r="AA55" s="218" t="s">
        <v>108</v>
      </c>
      <c r="AB55" s="175">
        <v>-5.5599999999999997E-2</v>
      </c>
      <c r="AC55" s="175">
        <v>-0.50490000000000002</v>
      </c>
      <c r="AD55" s="175">
        <v>0.26169999999999999</v>
      </c>
      <c r="AE55" s="175">
        <v>-0.1186</v>
      </c>
      <c r="AF55" s="260">
        <v>-0.49780000000000002</v>
      </c>
      <c r="AG55" s="260">
        <v>0.18179999999999999</v>
      </c>
      <c r="AH55" s="175">
        <v>-1.29E-2</v>
      </c>
      <c r="AI55" s="260">
        <v>-0.49790000000000001</v>
      </c>
      <c r="AJ55" s="260">
        <v>0.2316</v>
      </c>
    </row>
    <row r="56" spans="18:36" x14ac:dyDescent="0.25">
      <c r="R56" s="182"/>
      <c r="S56" s="182"/>
      <c r="T56" s="215"/>
      <c r="V56" s="175"/>
      <c r="W56" s="175"/>
      <c r="X56" s="175"/>
      <c r="AA56" s="218"/>
      <c r="AB56" s="175"/>
      <c r="AC56" s="175"/>
      <c r="AD56" s="184"/>
      <c r="AE56" s="184"/>
    </row>
    <row r="57" spans="18:36" x14ac:dyDescent="0.25">
      <c r="AA57" s="182"/>
      <c r="AB57" s="182"/>
      <c r="AC57" s="182"/>
      <c r="AD57" s="213"/>
    </row>
    <row r="58" spans="18:36" x14ac:dyDescent="0.25">
      <c r="AA58" s="182"/>
      <c r="AB58" s="182"/>
      <c r="AC58" s="215"/>
    </row>
    <row r="68" spans="2:24" ht="15.75" thickBot="1" x14ac:dyDescent="0.3">
      <c r="B68" s="257" t="s">
        <v>237</v>
      </c>
    </row>
    <row r="69" spans="2:24" x14ac:dyDescent="0.25">
      <c r="B69" s="605" t="s">
        <v>12</v>
      </c>
      <c r="C69" s="185">
        <v>0.26</v>
      </c>
      <c r="D69" s="185"/>
      <c r="E69" s="185"/>
      <c r="F69" s="185"/>
      <c r="G69" s="185"/>
      <c r="H69" s="186">
        <v>0.9</v>
      </c>
    </row>
    <row r="70" spans="2:24" x14ac:dyDescent="0.25">
      <c r="B70" s="606"/>
      <c r="C70" s="202">
        <v>2</v>
      </c>
      <c r="D70" s="202"/>
      <c r="E70" s="202"/>
      <c r="F70" s="202"/>
      <c r="G70" s="202"/>
      <c r="H70" s="229">
        <v>1.1000000000000001</v>
      </c>
    </row>
    <row r="71" spans="2:24" ht="15.75" thickBot="1" x14ac:dyDescent="0.3">
      <c r="B71" s="192" t="s">
        <v>13</v>
      </c>
      <c r="C71" s="193">
        <v>0</v>
      </c>
      <c r="D71" s="193">
        <v>0.28999999999999998</v>
      </c>
      <c r="E71" s="194">
        <v>0.3</v>
      </c>
      <c r="F71" s="194">
        <v>0.5</v>
      </c>
      <c r="G71" s="196">
        <v>0.7</v>
      </c>
      <c r="H71" s="197">
        <v>1</v>
      </c>
    </row>
    <row r="73" spans="2:24" x14ac:dyDescent="0.25">
      <c r="B73" s="182"/>
      <c r="C73" s="207" t="s">
        <v>195</v>
      </c>
      <c r="D73" s="207" t="s">
        <v>196</v>
      </c>
    </row>
    <row r="74" spans="2:24" x14ac:dyDescent="0.25">
      <c r="B74" s="380" t="s">
        <v>392</v>
      </c>
      <c r="C74" s="182"/>
      <c r="D74" s="182"/>
    </row>
    <row r="75" spans="2:24" x14ac:dyDescent="0.25">
      <c r="B75" s="305" t="s">
        <v>107</v>
      </c>
      <c r="C75" s="182">
        <v>1.5625</v>
      </c>
      <c r="D75" s="182">
        <v>-1.1111</v>
      </c>
    </row>
    <row r="76" spans="2:24" ht="15.75" thickBot="1" x14ac:dyDescent="0.3">
      <c r="B76" s="305" t="s">
        <v>108</v>
      </c>
      <c r="C76" s="182">
        <v>-0.40629999999999999</v>
      </c>
      <c r="D76" s="215">
        <v>2.2222</v>
      </c>
      <c r="J76" s="174" t="s">
        <v>250</v>
      </c>
    </row>
    <row r="77" spans="2:24" x14ac:dyDescent="0.25">
      <c r="J77" s="222" t="s">
        <v>12</v>
      </c>
      <c r="K77" s="185">
        <v>2</v>
      </c>
      <c r="L77" s="185"/>
      <c r="M77" s="185">
        <v>5</v>
      </c>
      <c r="N77" s="185"/>
      <c r="O77" s="185">
        <v>7</v>
      </c>
      <c r="P77" s="186">
        <v>9</v>
      </c>
    </row>
    <row r="78" spans="2:24" ht="15.75" thickBot="1" x14ac:dyDescent="0.3">
      <c r="J78" s="192" t="s">
        <v>13</v>
      </c>
      <c r="K78" s="193">
        <v>0</v>
      </c>
      <c r="L78" s="193">
        <v>0.28999999999999998</v>
      </c>
      <c r="M78" s="194">
        <v>0.3</v>
      </c>
      <c r="N78" s="194">
        <v>0.69</v>
      </c>
      <c r="O78" s="196">
        <v>0.7</v>
      </c>
      <c r="P78" s="197">
        <v>1</v>
      </c>
    </row>
    <row r="79" spans="2:24" x14ac:dyDescent="0.25">
      <c r="K79" s="175"/>
      <c r="L79" s="175"/>
      <c r="M79" s="175"/>
      <c r="N79" s="175"/>
      <c r="O79" s="175"/>
      <c r="P79" s="175"/>
    </row>
    <row r="80" spans="2:24" x14ac:dyDescent="0.25">
      <c r="J80" s="174" t="s">
        <v>222</v>
      </c>
      <c r="L80" s="231"/>
      <c r="M80" s="175"/>
      <c r="N80" s="175"/>
      <c r="O80" s="175"/>
      <c r="P80" s="175"/>
      <c r="R80" s="218"/>
      <c r="S80" s="182"/>
      <c r="T80" s="182"/>
      <c r="V80" s="175"/>
      <c r="W80" s="175"/>
      <c r="X80" s="175"/>
    </row>
    <row r="81" spans="10:37" x14ac:dyDescent="0.25">
      <c r="J81" s="207" t="s">
        <v>107</v>
      </c>
      <c r="K81" s="182">
        <v>-4.5999999999999999E-3</v>
      </c>
      <c r="L81" s="182"/>
      <c r="M81" s="175"/>
      <c r="N81" s="175"/>
      <c r="O81" s="175"/>
      <c r="P81" s="175"/>
      <c r="R81" s="182"/>
      <c r="S81" s="182"/>
      <c r="T81" s="182"/>
      <c r="U81" s="213"/>
      <c r="V81" s="175"/>
      <c r="W81" s="175"/>
      <c r="X81" s="175"/>
    </row>
    <row r="82" spans="10:37" x14ac:dyDescent="0.25">
      <c r="J82" s="207" t="s">
        <v>108</v>
      </c>
      <c r="K82" s="182">
        <v>8.5000000000000006E-2</v>
      </c>
      <c r="L82" s="182"/>
      <c r="M82" s="176"/>
      <c r="N82" s="176"/>
      <c r="O82" s="176"/>
      <c r="P82" s="176"/>
      <c r="R82" s="182"/>
      <c r="S82" s="182"/>
      <c r="T82" s="215"/>
      <c r="V82" s="175"/>
      <c r="W82" s="175"/>
      <c r="X82" s="175"/>
    </row>
    <row r="83" spans="10:37" ht="15.75" thickBot="1" x14ac:dyDescent="0.3">
      <c r="J83" s="207" t="s">
        <v>110</v>
      </c>
      <c r="K83" s="182">
        <v>-0.31390000000000001</v>
      </c>
      <c r="L83" s="182"/>
      <c r="Y83" s="206"/>
      <c r="AA83" s="257" t="s">
        <v>339</v>
      </c>
    </row>
    <row r="84" spans="10:37" x14ac:dyDescent="0.25">
      <c r="J84" s="207" t="s">
        <v>111</v>
      </c>
      <c r="K84" s="182">
        <v>0.32500000000000001</v>
      </c>
      <c r="L84" s="215"/>
      <c r="Y84" s="175"/>
      <c r="AA84" s="228" t="s">
        <v>177</v>
      </c>
      <c r="AB84" s="265">
        <v>32.6</v>
      </c>
      <c r="AC84" s="266"/>
      <c r="AD84" s="266">
        <v>40.200000000000003</v>
      </c>
      <c r="AE84" s="265"/>
      <c r="AF84" s="265">
        <v>60.3</v>
      </c>
      <c r="AG84" s="271">
        <v>74.900000000000006</v>
      </c>
    </row>
    <row r="85" spans="10:37" x14ac:dyDescent="0.25">
      <c r="J85" s="182"/>
      <c r="K85" s="182"/>
      <c r="L85" s="215"/>
      <c r="Y85" s="175"/>
      <c r="AA85" s="183" t="s">
        <v>172</v>
      </c>
      <c r="AB85" s="263">
        <v>30.7</v>
      </c>
      <c r="AC85" s="264"/>
      <c r="AD85" s="264">
        <v>44.5</v>
      </c>
      <c r="AE85" s="263"/>
      <c r="AF85" s="263">
        <v>66.7</v>
      </c>
      <c r="AG85" s="273">
        <v>85.3</v>
      </c>
    </row>
    <row r="86" spans="10:37" x14ac:dyDescent="0.25">
      <c r="Y86" s="175"/>
      <c r="AA86" s="183" t="s">
        <v>178</v>
      </c>
      <c r="AB86" s="263">
        <v>24.9</v>
      </c>
      <c r="AC86" s="264"/>
      <c r="AD86" s="264">
        <v>46.2</v>
      </c>
      <c r="AE86" s="263"/>
      <c r="AF86" s="263">
        <v>69.3</v>
      </c>
      <c r="AG86" s="273">
        <v>88.1</v>
      </c>
    </row>
    <row r="87" spans="10:37" ht="15.75" thickBot="1" x14ac:dyDescent="0.3">
      <c r="AA87" s="192" t="s">
        <v>4</v>
      </c>
      <c r="AB87" s="193">
        <v>0</v>
      </c>
      <c r="AC87" s="193">
        <v>0.28999999999999998</v>
      </c>
      <c r="AD87" s="194">
        <v>0.3</v>
      </c>
      <c r="AE87" s="194">
        <v>0.69</v>
      </c>
      <c r="AF87" s="196">
        <v>0.7</v>
      </c>
      <c r="AG87" s="197">
        <v>1</v>
      </c>
    </row>
    <row r="88" spans="10:37" x14ac:dyDescent="0.25">
      <c r="AA88" s="182"/>
      <c r="AC88" s="206"/>
      <c r="AD88" s="206"/>
      <c r="AE88" s="206"/>
      <c r="AF88" s="206"/>
      <c r="AK88" s="206"/>
    </row>
    <row r="89" spans="10:37" x14ac:dyDescent="0.25">
      <c r="AA89" s="206"/>
      <c r="AB89" s="613" t="s">
        <v>199</v>
      </c>
      <c r="AC89" s="613"/>
      <c r="AD89" s="613" t="s">
        <v>201</v>
      </c>
      <c r="AE89" s="613"/>
      <c r="AF89" s="616" t="s">
        <v>202</v>
      </c>
      <c r="AG89" s="184"/>
      <c r="AH89" s="206"/>
      <c r="AI89" s="206"/>
      <c r="AJ89" s="184"/>
    </row>
    <row r="90" spans="10:37" x14ac:dyDescent="0.25">
      <c r="AA90" s="208"/>
      <c r="AB90" s="268" t="s">
        <v>109</v>
      </c>
      <c r="AC90" s="268" t="s">
        <v>113</v>
      </c>
      <c r="AD90" s="267" t="s">
        <v>109</v>
      </c>
      <c r="AE90" s="267" t="s">
        <v>113</v>
      </c>
      <c r="AF90" s="616"/>
      <c r="AG90" s="184"/>
      <c r="AH90" s="184"/>
      <c r="AI90" s="184"/>
      <c r="AJ90" s="184"/>
    </row>
    <row r="91" spans="10:37" x14ac:dyDescent="0.25">
      <c r="AA91" s="204" t="s">
        <v>297</v>
      </c>
      <c r="AB91" s="268"/>
      <c r="AC91" s="268"/>
      <c r="AD91" s="267"/>
      <c r="AE91" s="267"/>
      <c r="AF91" s="400"/>
      <c r="AG91" s="184"/>
      <c r="AH91" s="184"/>
      <c r="AI91" s="184"/>
      <c r="AJ91" s="184"/>
    </row>
    <row r="92" spans="10:37" x14ac:dyDescent="0.25">
      <c r="AA92" s="208" t="s">
        <v>107</v>
      </c>
      <c r="AB92" s="184">
        <v>3.95E-2</v>
      </c>
      <c r="AC92" s="184">
        <v>2.0199999999999999E-2</v>
      </c>
      <c r="AD92" s="184">
        <v>2.1700000000000001E-2</v>
      </c>
      <c r="AE92" s="260">
        <v>1.72E-2</v>
      </c>
      <c r="AF92" s="184">
        <v>1.6E-2</v>
      </c>
      <c r="AG92" s="184"/>
      <c r="AH92" s="184"/>
      <c r="AI92" s="184"/>
      <c r="AJ92" s="184"/>
    </row>
    <row r="93" spans="10:37" x14ac:dyDescent="0.25">
      <c r="AA93" s="208" t="s">
        <v>108</v>
      </c>
      <c r="AB93" s="175">
        <v>-1.2867999999999999</v>
      </c>
      <c r="AC93" s="175">
        <v>-0.51180000000000003</v>
      </c>
      <c r="AD93" s="184">
        <v>-0.66739999999999999</v>
      </c>
      <c r="AE93" s="260">
        <v>-0.45889999999999997</v>
      </c>
      <c r="AF93" s="184">
        <v>-0.4133</v>
      </c>
      <c r="AG93" s="184"/>
      <c r="AH93" s="184"/>
      <c r="AI93" s="184"/>
    </row>
    <row r="94" spans="10:37" x14ac:dyDescent="0.25">
      <c r="AA94" s="210"/>
      <c r="AB94" s="182"/>
      <c r="AF94" s="184"/>
      <c r="AG94" s="184"/>
      <c r="AH94" s="184"/>
      <c r="AI94" s="184"/>
    </row>
    <row r="102" spans="2:22" ht="15.75" thickBot="1" x14ac:dyDescent="0.3">
      <c r="B102" s="174" t="s">
        <v>0</v>
      </c>
    </row>
    <row r="103" spans="2:22" x14ac:dyDescent="0.25">
      <c r="B103" s="179" t="s">
        <v>12</v>
      </c>
      <c r="C103" s="185"/>
      <c r="D103" s="185"/>
      <c r="E103" s="185">
        <v>1.5</v>
      </c>
      <c r="F103" s="180"/>
      <c r="G103" s="185">
        <v>1.2</v>
      </c>
      <c r="H103" s="186">
        <v>1</v>
      </c>
    </row>
    <row r="104" spans="2:22" ht="15.75" thickBot="1" x14ac:dyDescent="0.3">
      <c r="B104" s="192" t="s">
        <v>13</v>
      </c>
      <c r="C104" s="193">
        <v>0</v>
      </c>
      <c r="D104" s="193">
        <v>0.2</v>
      </c>
      <c r="E104" s="194">
        <v>0.3</v>
      </c>
      <c r="F104" s="195">
        <v>0.69</v>
      </c>
      <c r="G104" s="196">
        <v>0.7</v>
      </c>
      <c r="H104" s="197">
        <v>1</v>
      </c>
    </row>
    <row r="106" spans="2:22" x14ac:dyDescent="0.25">
      <c r="B106" s="380" t="s">
        <v>392</v>
      </c>
      <c r="D106" s="182"/>
    </row>
    <row r="107" spans="2:22" x14ac:dyDescent="0.25">
      <c r="B107" s="305" t="s">
        <v>107</v>
      </c>
      <c r="C107" s="174">
        <v>-1.3947000000000001</v>
      </c>
      <c r="D107" s="182"/>
      <c r="G107" s="211"/>
    </row>
    <row r="108" spans="2:22" x14ac:dyDescent="0.25">
      <c r="B108" s="305" t="s">
        <v>108</v>
      </c>
      <c r="C108" s="213">
        <v>2.3868</v>
      </c>
      <c r="D108" s="182"/>
      <c r="E108" s="213"/>
    </row>
    <row r="109" spans="2:22" ht="15.75" thickBot="1" x14ac:dyDescent="0.3">
      <c r="B109" s="182"/>
      <c r="C109" s="182"/>
      <c r="D109" s="215"/>
      <c r="J109" s="174" t="s">
        <v>87</v>
      </c>
    </row>
    <row r="110" spans="2:22" x14ac:dyDescent="0.25">
      <c r="B110" s="175"/>
      <c r="J110" s="179" t="s">
        <v>12</v>
      </c>
      <c r="K110" s="185">
        <v>75</v>
      </c>
      <c r="L110" s="185"/>
      <c r="M110" s="185"/>
      <c r="N110" s="185"/>
      <c r="O110" s="185">
        <v>10</v>
      </c>
      <c r="P110" s="186">
        <v>5</v>
      </c>
    </row>
    <row r="111" spans="2:22" ht="15.75" thickBot="1" x14ac:dyDescent="0.3">
      <c r="B111" s="175"/>
      <c r="J111" s="192" t="s">
        <v>13</v>
      </c>
      <c r="K111" s="193">
        <v>0</v>
      </c>
      <c r="L111" s="193">
        <v>0.28999999999999998</v>
      </c>
      <c r="M111" s="194">
        <v>0.3</v>
      </c>
      <c r="N111" s="194">
        <v>0.69</v>
      </c>
      <c r="O111" s="196">
        <v>0.7</v>
      </c>
      <c r="P111" s="197">
        <v>1</v>
      </c>
    </row>
    <row r="112" spans="2:22" x14ac:dyDescent="0.25">
      <c r="U112" s="184"/>
      <c r="V112" s="184"/>
    </row>
    <row r="113" spans="10:34" x14ac:dyDescent="0.25">
      <c r="J113" s="218"/>
      <c r="K113" s="382" t="s">
        <v>393</v>
      </c>
      <c r="L113" s="208" t="s">
        <v>82</v>
      </c>
      <c r="U113" s="202"/>
      <c r="V113" s="202"/>
    </row>
    <row r="114" spans="10:34" x14ac:dyDescent="0.25">
      <c r="J114" s="306" t="s">
        <v>355</v>
      </c>
      <c r="K114" s="182"/>
      <c r="L114" s="182"/>
      <c r="U114" s="184"/>
      <c r="V114" s="184"/>
    </row>
    <row r="115" spans="10:34" x14ac:dyDescent="0.25">
      <c r="J115" s="366" t="s">
        <v>107</v>
      </c>
      <c r="K115" s="182">
        <v>-1.0699999999999999E-2</v>
      </c>
      <c r="L115" s="182">
        <v>-0.06</v>
      </c>
      <c r="U115" s="184"/>
      <c r="V115" s="184"/>
    </row>
    <row r="116" spans="10:34" x14ac:dyDescent="0.25">
      <c r="J116" s="366" t="s">
        <v>108</v>
      </c>
      <c r="K116" s="182">
        <v>0.81240000000000001</v>
      </c>
      <c r="L116" s="215">
        <v>1.3</v>
      </c>
    </row>
    <row r="119" spans="10:34" ht="15.75" thickBot="1" x14ac:dyDescent="0.3">
      <c r="AA119" s="257" t="s">
        <v>340</v>
      </c>
    </row>
    <row r="120" spans="10:34" x14ac:dyDescent="0.25">
      <c r="AA120" s="189" t="s">
        <v>176</v>
      </c>
      <c r="AB120" s="265">
        <v>16.600000000000001</v>
      </c>
      <c r="AC120" s="266"/>
      <c r="AD120" s="266">
        <v>34.799999999999997</v>
      </c>
      <c r="AE120" s="265"/>
      <c r="AF120" s="265">
        <v>52.3</v>
      </c>
      <c r="AG120" s="191">
        <v>70.8</v>
      </c>
    </row>
    <row r="121" spans="10:34" x14ac:dyDescent="0.25">
      <c r="AA121" s="183" t="s">
        <v>188</v>
      </c>
      <c r="AB121" s="263">
        <v>3.9</v>
      </c>
      <c r="AC121" s="264"/>
      <c r="AD121" s="264">
        <v>40.6</v>
      </c>
      <c r="AE121" s="263"/>
      <c r="AF121" s="263">
        <v>60.9</v>
      </c>
      <c r="AG121" s="272">
        <v>80.8</v>
      </c>
    </row>
    <row r="122" spans="10:34" ht="15.75" thickBot="1" x14ac:dyDescent="0.3">
      <c r="AA122" s="192" t="s">
        <v>4</v>
      </c>
      <c r="AB122" s="193">
        <v>0</v>
      </c>
      <c r="AC122" s="193">
        <v>0.28999999999999998</v>
      </c>
      <c r="AD122" s="194">
        <v>0.3</v>
      </c>
      <c r="AE122" s="194">
        <v>0.69</v>
      </c>
      <c r="AF122" s="196">
        <v>0.7</v>
      </c>
      <c r="AG122" s="197">
        <v>1</v>
      </c>
    </row>
    <row r="123" spans="10:34" x14ac:dyDescent="0.25">
      <c r="AA123" s="182"/>
      <c r="AC123" s="206"/>
      <c r="AD123" s="206"/>
      <c r="AE123" s="206"/>
      <c r="AF123" s="206"/>
    </row>
    <row r="124" spans="10:34" x14ac:dyDescent="0.25">
      <c r="AA124" s="206"/>
      <c r="AB124" s="617" t="s">
        <v>176</v>
      </c>
      <c r="AC124" s="613" t="s">
        <v>200</v>
      </c>
      <c r="AD124" s="613"/>
      <c r="AE124" s="204"/>
      <c r="AF124" s="204"/>
      <c r="AG124" s="204"/>
      <c r="AH124" s="274"/>
    </row>
    <row r="125" spans="10:34" x14ac:dyDescent="0.25">
      <c r="AA125" s="208"/>
      <c r="AB125" s="617"/>
      <c r="AC125" s="268" t="s">
        <v>109</v>
      </c>
      <c r="AD125" s="268" t="s">
        <v>113</v>
      </c>
      <c r="AE125" s="267"/>
      <c r="AF125" s="267"/>
      <c r="AG125" s="267"/>
      <c r="AH125" s="274"/>
    </row>
    <row r="126" spans="10:34" x14ac:dyDescent="0.25">
      <c r="AA126" s="204" t="s">
        <v>297</v>
      </c>
      <c r="AB126" s="401"/>
      <c r="AC126" s="268"/>
      <c r="AD126" s="268"/>
      <c r="AE126" s="267"/>
      <c r="AF126" s="267"/>
      <c r="AG126" s="267"/>
      <c r="AH126" s="274"/>
    </row>
    <row r="127" spans="10:34" x14ac:dyDescent="0.25">
      <c r="AA127" s="208" t="s">
        <v>107</v>
      </c>
      <c r="AB127" s="184">
        <v>1.89E-2</v>
      </c>
      <c r="AC127" s="216">
        <v>8.2000000000000007E-3</v>
      </c>
      <c r="AD127" s="216">
        <v>1.7399999999999999E-2</v>
      </c>
      <c r="AE127" s="184"/>
      <c r="AF127" s="260"/>
      <c r="AG127" s="260"/>
      <c r="AH127" s="184"/>
    </row>
    <row r="128" spans="10:34" x14ac:dyDescent="0.25">
      <c r="AA128" s="208" t="s">
        <v>108</v>
      </c>
      <c r="AB128" s="175">
        <v>-0.32300000000000001</v>
      </c>
      <c r="AC128" s="184">
        <v>-3.1899999999999998E-2</v>
      </c>
      <c r="AD128" s="260">
        <v>-0.39190000000000003</v>
      </c>
      <c r="AE128" s="184"/>
      <c r="AF128" s="260"/>
      <c r="AG128" s="260"/>
      <c r="AH128" s="184"/>
    </row>
    <row r="135" spans="2:16" ht="15.75" thickBot="1" x14ac:dyDescent="0.3">
      <c r="B135" s="182" t="s">
        <v>298</v>
      </c>
      <c r="C135" s="182"/>
      <c r="D135" s="182"/>
      <c r="E135" s="182"/>
      <c r="F135" s="182"/>
      <c r="G135" s="182"/>
      <c r="H135" s="182"/>
    </row>
    <row r="136" spans="2:16" x14ac:dyDescent="0.25">
      <c r="B136" s="179" t="s">
        <v>12</v>
      </c>
      <c r="C136" s="220"/>
      <c r="D136" s="220"/>
      <c r="E136" s="220">
        <v>2</v>
      </c>
      <c r="F136" s="220"/>
      <c r="G136" s="220">
        <v>2.4</v>
      </c>
      <c r="H136" s="221">
        <v>5</v>
      </c>
    </row>
    <row r="137" spans="2:16" ht="15.75" thickBot="1" x14ac:dyDescent="0.3">
      <c r="B137" s="192" t="s">
        <v>13</v>
      </c>
      <c r="C137" s="193">
        <v>0</v>
      </c>
      <c r="D137" s="193">
        <v>0.28999999999999998</v>
      </c>
      <c r="E137" s="194">
        <v>0.3</v>
      </c>
      <c r="F137" s="194">
        <v>0.69</v>
      </c>
      <c r="G137" s="196">
        <v>0.7</v>
      </c>
      <c r="H137" s="197">
        <v>1</v>
      </c>
    </row>
    <row r="139" spans="2:16" x14ac:dyDescent="0.25">
      <c r="C139" s="210" t="s">
        <v>82</v>
      </c>
      <c r="D139" s="379" t="s">
        <v>248</v>
      </c>
    </row>
    <row r="140" spans="2:16" x14ac:dyDescent="0.25">
      <c r="B140" s="203" t="s">
        <v>297</v>
      </c>
    </row>
    <row r="141" spans="2:16" ht="15.75" thickBot="1" x14ac:dyDescent="0.3">
      <c r="B141" s="207" t="s">
        <v>107</v>
      </c>
      <c r="C141" s="182">
        <v>0.1154</v>
      </c>
      <c r="D141" s="182">
        <v>1</v>
      </c>
      <c r="J141" s="257" t="s">
        <v>396</v>
      </c>
    </row>
    <row r="142" spans="2:16" x14ac:dyDescent="0.25">
      <c r="B142" s="207" t="s">
        <v>108</v>
      </c>
      <c r="C142" s="182">
        <v>0.42309999999999998</v>
      </c>
      <c r="D142" s="182">
        <v>-1.7</v>
      </c>
      <c r="J142" s="179" t="s">
        <v>12</v>
      </c>
      <c r="K142" s="180">
        <v>30</v>
      </c>
      <c r="L142" s="180"/>
      <c r="M142" s="180"/>
      <c r="N142" s="180"/>
      <c r="O142" s="180"/>
      <c r="P142" s="181">
        <v>0</v>
      </c>
    </row>
    <row r="143" spans="2:16" ht="15.75" thickBot="1" x14ac:dyDescent="0.3">
      <c r="B143" s="207"/>
      <c r="C143" s="182"/>
      <c r="D143" s="215"/>
      <c r="J143" s="192" t="s">
        <v>13</v>
      </c>
      <c r="K143" s="193">
        <v>0</v>
      </c>
      <c r="L143" s="193">
        <v>0.28999999999999998</v>
      </c>
      <c r="M143" s="194">
        <v>0.3</v>
      </c>
      <c r="N143" s="194">
        <v>0.69</v>
      </c>
      <c r="O143" s="196">
        <v>0.7</v>
      </c>
      <c r="P143" s="197">
        <v>1</v>
      </c>
    </row>
    <row r="144" spans="2:16" x14ac:dyDescent="0.25">
      <c r="B144" s="182"/>
      <c r="C144" s="182"/>
      <c r="D144" s="182"/>
    </row>
    <row r="145" spans="1:33" x14ac:dyDescent="0.25">
      <c r="J145" s="306" t="s">
        <v>355</v>
      </c>
      <c r="K145" s="306"/>
      <c r="L145" s="257"/>
      <c r="M145" s="257"/>
    </row>
    <row r="146" spans="1:33" x14ac:dyDescent="0.25">
      <c r="A146" s="175"/>
      <c r="J146" s="305" t="s">
        <v>107</v>
      </c>
      <c r="K146" s="238">
        <v>-3.3300000000000003E-2</v>
      </c>
      <c r="L146" s="257"/>
    </row>
    <row r="147" spans="1:33" x14ac:dyDescent="0.25">
      <c r="A147" s="175"/>
      <c r="J147" s="305" t="s">
        <v>108</v>
      </c>
      <c r="K147" s="238">
        <v>1</v>
      </c>
    </row>
    <row r="148" spans="1:33" x14ac:dyDescent="0.25">
      <c r="A148" s="175"/>
      <c r="J148" s="207"/>
      <c r="K148" s="182"/>
      <c r="M148" s="257"/>
    </row>
    <row r="149" spans="1:33" x14ac:dyDescent="0.25">
      <c r="A149" s="175"/>
    </row>
    <row r="150" spans="1:33" x14ac:dyDescent="0.25">
      <c r="A150" s="175"/>
    </row>
    <row r="151" spans="1:33" x14ac:dyDescent="0.25">
      <c r="A151" s="175"/>
    </row>
    <row r="152" spans="1:33" x14ac:dyDescent="0.25">
      <c r="A152" s="175"/>
      <c r="T152" s="184"/>
      <c r="U152" s="184"/>
    </row>
    <row r="153" spans="1:33" x14ac:dyDescent="0.25">
      <c r="A153" s="175"/>
      <c r="T153" s="184"/>
      <c r="U153" s="184"/>
    </row>
    <row r="154" spans="1:33" ht="17.45" customHeight="1" x14ac:dyDescent="0.25">
      <c r="A154" s="175"/>
      <c r="T154" s="184"/>
      <c r="U154" s="184"/>
    </row>
    <row r="155" spans="1:33" x14ac:dyDescent="0.25">
      <c r="A155" s="175"/>
      <c r="T155" s="202"/>
      <c r="U155" s="184"/>
    </row>
    <row r="156" spans="1:33" ht="15.75" thickBot="1" x14ac:dyDescent="0.3">
      <c r="A156" s="175"/>
      <c r="T156" s="184"/>
      <c r="U156" s="184"/>
      <c r="AA156" s="174" t="s">
        <v>305</v>
      </c>
    </row>
    <row r="157" spans="1:33" x14ac:dyDescent="0.25">
      <c r="A157" s="175"/>
      <c r="T157" s="184"/>
      <c r="U157" s="184"/>
      <c r="AA157" s="189" t="s">
        <v>179</v>
      </c>
      <c r="AB157" s="265">
        <v>0.15</v>
      </c>
      <c r="AC157" s="266"/>
      <c r="AD157" s="266">
        <v>0.64</v>
      </c>
      <c r="AE157" s="266"/>
      <c r="AF157" s="265">
        <v>0.82</v>
      </c>
      <c r="AG157" s="271">
        <v>1.18</v>
      </c>
    </row>
    <row r="158" spans="1:33" x14ac:dyDescent="0.25">
      <c r="A158" s="175"/>
      <c r="B158" s="178"/>
      <c r="T158" s="184"/>
      <c r="U158" s="184"/>
      <c r="AA158" s="205" t="s">
        <v>174</v>
      </c>
      <c r="AB158" s="263">
        <v>0.37</v>
      </c>
      <c r="AC158" s="264"/>
      <c r="AD158" s="264">
        <v>0.59</v>
      </c>
      <c r="AE158" s="264"/>
      <c r="AF158" s="263">
        <v>0.88</v>
      </c>
      <c r="AG158" s="273">
        <v>1.08</v>
      </c>
    </row>
    <row r="159" spans="1:33" x14ac:dyDescent="0.25">
      <c r="A159" s="175"/>
      <c r="T159" s="184"/>
      <c r="U159" s="184"/>
      <c r="AA159" s="205" t="s">
        <v>175</v>
      </c>
      <c r="AB159" s="263">
        <v>0.42</v>
      </c>
      <c r="AC159" s="264"/>
      <c r="AD159" s="264">
        <v>0.68</v>
      </c>
      <c r="AE159" s="264"/>
      <c r="AF159" s="263">
        <v>0.86</v>
      </c>
      <c r="AG159" s="273">
        <v>1.1399999999999999</v>
      </c>
    </row>
    <row r="160" spans="1:33" x14ac:dyDescent="0.25">
      <c r="A160" s="175"/>
      <c r="AA160" s="205" t="s">
        <v>176</v>
      </c>
      <c r="AB160" s="263">
        <v>0.42</v>
      </c>
      <c r="AC160" s="264"/>
      <c r="AD160" s="264">
        <v>0.68</v>
      </c>
      <c r="AE160" s="264"/>
      <c r="AF160" s="263">
        <v>0.82</v>
      </c>
      <c r="AG160" s="273">
        <v>1.17</v>
      </c>
    </row>
    <row r="161" spans="1:37" ht="15.75" thickBot="1" x14ac:dyDescent="0.3">
      <c r="A161" s="175"/>
      <c r="AA161" s="192" t="s">
        <v>4</v>
      </c>
      <c r="AB161" s="193">
        <v>0</v>
      </c>
      <c r="AC161" s="193">
        <v>0.28999999999999998</v>
      </c>
      <c r="AD161" s="194">
        <v>0.3</v>
      </c>
      <c r="AE161" s="194">
        <v>0.69</v>
      </c>
      <c r="AF161" s="196">
        <v>0.7</v>
      </c>
      <c r="AG161" s="197">
        <v>1</v>
      </c>
    </row>
    <row r="162" spans="1:37" x14ac:dyDescent="0.25">
      <c r="AB162" s="204"/>
      <c r="AC162" s="206"/>
      <c r="AD162" s="206"/>
      <c r="AE162" s="206"/>
      <c r="AK162" s="206"/>
    </row>
    <row r="163" spans="1:37" x14ac:dyDescent="0.25">
      <c r="AA163" s="206"/>
      <c r="AB163" s="604" t="s">
        <v>179</v>
      </c>
      <c r="AC163" s="604"/>
      <c r="AD163" s="604"/>
      <c r="AE163" s="604" t="s">
        <v>174</v>
      </c>
      <c r="AF163" s="614" t="s">
        <v>175</v>
      </c>
      <c r="AG163" s="614"/>
      <c r="AH163" s="614"/>
      <c r="AI163" s="216" t="s">
        <v>176</v>
      </c>
      <c r="AJ163" s="206"/>
      <c r="AK163" s="206"/>
    </row>
    <row r="164" spans="1:37" x14ac:dyDescent="0.25">
      <c r="AA164" s="175"/>
      <c r="AB164" s="267" t="s">
        <v>109</v>
      </c>
      <c r="AC164" s="267" t="s">
        <v>248</v>
      </c>
      <c r="AD164" s="267" t="s">
        <v>82</v>
      </c>
      <c r="AE164" s="604"/>
      <c r="AF164" s="267" t="s">
        <v>109</v>
      </c>
      <c r="AG164" s="267" t="s">
        <v>248</v>
      </c>
      <c r="AH164" s="267" t="s">
        <v>82</v>
      </c>
      <c r="AI164" s="267" t="s">
        <v>109</v>
      </c>
      <c r="AJ164" s="267" t="s">
        <v>248</v>
      </c>
      <c r="AK164" s="267" t="s">
        <v>82</v>
      </c>
    </row>
    <row r="165" spans="1:37" x14ac:dyDescent="0.25">
      <c r="AA165" s="204" t="s">
        <v>297</v>
      </c>
      <c r="AB165" s="267"/>
      <c r="AC165" s="267"/>
      <c r="AD165" s="267"/>
      <c r="AE165" s="399"/>
      <c r="AF165" s="267"/>
      <c r="AG165" s="267"/>
      <c r="AH165" s="267"/>
      <c r="AI165" s="267"/>
      <c r="AJ165" s="267"/>
      <c r="AK165" s="267"/>
    </row>
    <row r="166" spans="1:37" x14ac:dyDescent="0.25">
      <c r="AA166" s="208" t="s">
        <v>107</v>
      </c>
      <c r="AB166" s="184">
        <v>0.61219999999999997</v>
      </c>
      <c r="AC166" s="184">
        <v>2.222</v>
      </c>
      <c r="AD166" s="184">
        <v>0.83330000000000004</v>
      </c>
      <c r="AE166" s="216">
        <v>1.4037999999999999</v>
      </c>
      <c r="AF166" s="260">
        <v>1.1537999999999999</v>
      </c>
      <c r="AG166" s="260">
        <v>2.2222</v>
      </c>
      <c r="AH166" s="260">
        <v>1.0713999999999999</v>
      </c>
      <c r="AI166" s="260">
        <f>AF166</f>
        <v>1.1537999999999999</v>
      </c>
      <c r="AJ166" s="260">
        <v>2.8571</v>
      </c>
      <c r="AK166" s="260">
        <v>0.85709999999999997</v>
      </c>
    </row>
    <row r="167" spans="1:37" x14ac:dyDescent="0.25">
      <c r="AA167" s="208" t="s">
        <v>108</v>
      </c>
      <c r="AB167" s="175">
        <v>-9.1800000000000007E-2</v>
      </c>
      <c r="AC167" s="175">
        <v>-1.1222000000000001</v>
      </c>
      <c r="AD167" s="175">
        <v>1.677E-2</v>
      </c>
      <c r="AE167" s="216">
        <v>-0.52480000000000004</v>
      </c>
      <c r="AF167" s="184">
        <v>-0.48459999999999998</v>
      </c>
      <c r="AG167" s="260">
        <v>-1.2111000000000001</v>
      </c>
      <c r="AH167" s="260">
        <v>-0.22140000000000001</v>
      </c>
      <c r="AI167" s="184">
        <f>AF167</f>
        <v>-0.48459999999999998</v>
      </c>
      <c r="AJ167" s="260">
        <v>-1.6429</v>
      </c>
      <c r="AK167" s="260">
        <v>-2.8999999999999998E-3</v>
      </c>
    </row>
    <row r="168" spans="1:37" x14ac:dyDescent="0.25">
      <c r="AA168" s="208"/>
      <c r="AB168" s="175"/>
      <c r="AC168" s="184"/>
      <c r="AD168" s="184"/>
      <c r="AE168" s="184"/>
    </row>
    <row r="170" spans="1:37" ht="15.75" thickBot="1" x14ac:dyDescent="0.3">
      <c r="B170" s="182" t="s">
        <v>299</v>
      </c>
      <c r="C170" s="182"/>
      <c r="D170" s="182"/>
      <c r="E170" s="182"/>
      <c r="F170" s="182"/>
      <c r="G170" s="182"/>
      <c r="H170" s="182"/>
    </row>
    <row r="171" spans="1:37" x14ac:dyDescent="0.25">
      <c r="B171" s="179" t="s">
        <v>12</v>
      </c>
      <c r="C171" s="185"/>
      <c r="D171" s="185"/>
      <c r="E171" s="185">
        <v>1.2</v>
      </c>
      <c r="F171" s="185"/>
      <c r="G171" s="185">
        <v>1.4</v>
      </c>
      <c r="H171" s="186">
        <v>2.2000000000000002</v>
      </c>
    </row>
    <row r="172" spans="1:37" ht="15.75" thickBot="1" x14ac:dyDescent="0.3">
      <c r="B172" s="192" t="s">
        <v>13</v>
      </c>
      <c r="C172" s="193">
        <v>0</v>
      </c>
      <c r="D172" s="193">
        <v>0.28999999999999998</v>
      </c>
      <c r="E172" s="194">
        <v>0.3</v>
      </c>
      <c r="F172" s="194">
        <v>0.69</v>
      </c>
      <c r="G172" s="196">
        <v>0.7</v>
      </c>
      <c r="H172" s="197">
        <v>1</v>
      </c>
      <c r="J172" s="182" t="s">
        <v>105</v>
      </c>
      <c r="K172" s="182"/>
      <c r="L172" s="182"/>
      <c r="M172" s="182"/>
      <c r="N172" s="182"/>
      <c r="O172" s="182"/>
      <c r="P172" s="182"/>
    </row>
    <row r="173" spans="1:37" x14ac:dyDescent="0.25">
      <c r="J173" s="286" t="s">
        <v>12</v>
      </c>
      <c r="K173" s="220">
        <v>0.01</v>
      </c>
      <c r="L173" s="220">
        <v>0.05</v>
      </c>
      <c r="M173" s="220"/>
      <c r="N173" s="220">
        <v>0.1</v>
      </c>
      <c r="O173" s="220"/>
      <c r="P173" s="221">
        <v>0.11</v>
      </c>
    </row>
    <row r="174" spans="1:37" ht="15.75" thickBot="1" x14ac:dyDescent="0.3">
      <c r="B174" s="182"/>
      <c r="C174" s="207" t="s">
        <v>112</v>
      </c>
      <c r="D174" s="207" t="s">
        <v>82</v>
      </c>
      <c r="J174" s="192" t="s">
        <v>13</v>
      </c>
      <c r="K174" s="193">
        <v>0</v>
      </c>
      <c r="L174" s="193">
        <v>0.28999999999999998</v>
      </c>
      <c r="M174" s="194">
        <v>0.3</v>
      </c>
      <c r="N174" s="240">
        <v>0.65200000000000002</v>
      </c>
      <c r="O174" s="196">
        <v>0.7</v>
      </c>
      <c r="P174" s="197">
        <v>1</v>
      </c>
    </row>
    <row r="175" spans="1:37" x14ac:dyDescent="0.25">
      <c r="B175" s="227" t="s">
        <v>297</v>
      </c>
      <c r="C175" s="207"/>
      <c r="D175" s="207"/>
    </row>
    <row r="176" spans="1:37" x14ac:dyDescent="0.25">
      <c r="B176" s="207" t="s">
        <v>107</v>
      </c>
      <c r="C176" s="182">
        <v>2</v>
      </c>
      <c r="D176" s="182">
        <v>0.375</v>
      </c>
      <c r="J176" s="174" t="s">
        <v>296</v>
      </c>
    </row>
    <row r="177" spans="2:16" x14ac:dyDescent="0.25">
      <c r="B177" s="207" t="s">
        <v>108</v>
      </c>
      <c r="C177" s="182">
        <v>-2.1</v>
      </c>
      <c r="D177" s="182">
        <v>0.17499999999999999</v>
      </c>
      <c r="J177" s="218" t="s">
        <v>107</v>
      </c>
      <c r="K177" s="182">
        <v>7.2439999999999998</v>
      </c>
      <c r="L177" s="182"/>
    </row>
    <row r="178" spans="2:16" x14ac:dyDescent="0.25">
      <c r="B178" s="207"/>
      <c r="C178" s="182"/>
      <c r="D178" s="215"/>
      <c r="J178" s="218" t="s">
        <v>108</v>
      </c>
      <c r="K178" s="182">
        <v>-7.1999999999999995E-2</v>
      </c>
      <c r="L178" s="182"/>
      <c r="M178" s="241"/>
    </row>
    <row r="179" spans="2:16" ht="21" x14ac:dyDescent="0.35">
      <c r="J179" s="207"/>
      <c r="K179" s="182"/>
      <c r="L179" s="182"/>
      <c r="N179" s="239"/>
      <c r="O179" s="182"/>
      <c r="P179" s="182"/>
    </row>
    <row r="180" spans="2:16" x14ac:dyDescent="0.25">
      <c r="J180" s="207"/>
      <c r="K180" s="182"/>
      <c r="L180" s="215"/>
      <c r="N180" s="182"/>
      <c r="O180" s="182"/>
      <c r="P180" s="215"/>
    </row>
    <row r="181" spans="2:16" x14ac:dyDescent="0.25">
      <c r="J181" s="182"/>
      <c r="K181" s="182"/>
      <c r="L181" s="215"/>
      <c r="N181" s="182"/>
      <c r="O181" s="182"/>
      <c r="P181" s="215"/>
    </row>
    <row r="183" spans="2:16" ht="14.45" customHeight="1" x14ac:dyDescent="0.25"/>
    <row r="184" spans="2:16" ht="13.9" customHeight="1" x14ac:dyDescent="0.25"/>
    <row r="185" spans="2:16" ht="12.6" customHeight="1" x14ac:dyDescent="0.25"/>
    <row r="189" spans="2:16" x14ac:dyDescent="0.25">
      <c r="E189" s="175"/>
      <c r="F189" s="176"/>
      <c r="G189" s="176"/>
      <c r="H189" s="176"/>
    </row>
    <row r="190" spans="2:16" x14ac:dyDescent="0.25">
      <c r="E190" s="175"/>
      <c r="F190" s="176"/>
      <c r="G190" s="176"/>
      <c r="H190" s="176"/>
    </row>
    <row r="191" spans="2:16" x14ac:dyDescent="0.25">
      <c r="F191" s="175"/>
      <c r="G191" s="175"/>
      <c r="H191" s="175"/>
    </row>
    <row r="192" spans="2:16" x14ac:dyDescent="0.25">
      <c r="F192" s="175"/>
      <c r="G192" s="175"/>
      <c r="H192" s="175"/>
    </row>
    <row r="193" spans="2:35" x14ac:dyDescent="0.25">
      <c r="F193" s="175"/>
      <c r="G193" s="175"/>
      <c r="H193" s="175"/>
    </row>
    <row r="194" spans="2:35" x14ac:dyDescent="0.25">
      <c r="F194" s="175"/>
      <c r="G194" s="175"/>
      <c r="H194" s="175"/>
    </row>
    <row r="195" spans="2:35" ht="15.75" thickBot="1" x14ac:dyDescent="0.3">
      <c r="F195" s="176"/>
      <c r="G195" s="176"/>
      <c r="H195" s="176"/>
      <c r="AA195" s="174" t="s">
        <v>306</v>
      </c>
    </row>
    <row r="196" spans="2:35" x14ac:dyDescent="0.25">
      <c r="F196" s="176"/>
      <c r="G196" s="176"/>
      <c r="H196" s="176"/>
      <c r="AA196" s="189" t="s">
        <v>173</v>
      </c>
      <c r="AB196" s="265">
        <v>0.27</v>
      </c>
      <c r="AC196" s="266"/>
      <c r="AD196" s="266">
        <v>0.62</v>
      </c>
      <c r="AE196" s="266"/>
      <c r="AF196" s="265">
        <v>0.89</v>
      </c>
      <c r="AG196" s="271">
        <v>1.18</v>
      </c>
    </row>
    <row r="197" spans="2:35" x14ac:dyDescent="0.25">
      <c r="F197" s="175"/>
      <c r="G197" s="175"/>
      <c r="H197" s="175"/>
      <c r="AA197" s="205" t="s">
        <v>170</v>
      </c>
      <c r="AB197" s="263">
        <v>0.34</v>
      </c>
      <c r="AC197" s="264"/>
      <c r="AD197" s="264">
        <v>0.51</v>
      </c>
      <c r="AE197" s="264"/>
      <c r="AF197" s="263">
        <v>0.78</v>
      </c>
      <c r="AG197" s="273">
        <v>1.1200000000000001</v>
      </c>
    </row>
    <row r="198" spans="2:35" x14ac:dyDescent="0.25">
      <c r="F198" s="175"/>
      <c r="G198" s="175"/>
      <c r="H198" s="175"/>
      <c r="AA198" s="205" t="s">
        <v>171</v>
      </c>
      <c r="AB198" s="263">
        <v>0.11</v>
      </c>
      <c r="AC198" s="264"/>
      <c r="AD198" s="264">
        <v>0.52</v>
      </c>
      <c r="AE198" s="264"/>
      <c r="AF198" s="263">
        <v>0.75</v>
      </c>
      <c r="AG198" s="273">
        <v>0.98</v>
      </c>
    </row>
    <row r="199" spans="2:35" ht="15.75" thickBot="1" x14ac:dyDescent="0.3">
      <c r="F199" s="175"/>
      <c r="G199" s="175"/>
      <c r="H199" s="175"/>
      <c r="AA199" s="192" t="s">
        <v>4</v>
      </c>
      <c r="AB199" s="193">
        <v>0</v>
      </c>
      <c r="AC199" s="193">
        <v>0.28999999999999998</v>
      </c>
      <c r="AD199" s="194">
        <v>0.3</v>
      </c>
      <c r="AE199" s="194">
        <v>0.69</v>
      </c>
      <c r="AF199" s="196">
        <v>0.7</v>
      </c>
      <c r="AG199" s="197">
        <v>1</v>
      </c>
    </row>
    <row r="200" spans="2:35" x14ac:dyDescent="0.25">
      <c r="F200" s="175"/>
      <c r="G200" s="175"/>
      <c r="H200" s="175"/>
      <c r="AC200" s="206"/>
      <c r="AD200" s="206"/>
    </row>
    <row r="201" spans="2:35" x14ac:dyDescent="0.25">
      <c r="F201" s="175"/>
      <c r="G201" s="175"/>
      <c r="H201" s="175"/>
      <c r="AA201" s="206"/>
      <c r="AB201" s="604" t="s">
        <v>173</v>
      </c>
      <c r="AC201" s="604"/>
      <c r="AD201" s="604"/>
      <c r="AE201" s="604" t="s">
        <v>170</v>
      </c>
      <c r="AF201" s="604"/>
      <c r="AG201" s="604" t="s">
        <v>171</v>
      </c>
      <c r="AH201" s="604"/>
      <c r="AI201" s="206"/>
    </row>
    <row r="202" spans="2:35" x14ac:dyDescent="0.25">
      <c r="F202" s="175"/>
      <c r="G202" s="175"/>
      <c r="H202" s="175"/>
      <c r="AA202" s="184"/>
      <c r="AB202" s="267" t="s">
        <v>109</v>
      </c>
      <c r="AC202" s="267" t="s">
        <v>248</v>
      </c>
      <c r="AD202" s="267" t="s">
        <v>82</v>
      </c>
      <c r="AE202" s="267" t="s">
        <v>112</v>
      </c>
      <c r="AF202" s="267" t="s">
        <v>82</v>
      </c>
      <c r="AG202" s="267" t="s">
        <v>109</v>
      </c>
      <c r="AH202" s="267" t="s">
        <v>113</v>
      </c>
      <c r="AI202" s="216"/>
    </row>
    <row r="203" spans="2:35" x14ac:dyDescent="0.25">
      <c r="E203" s="175"/>
      <c r="F203" s="175"/>
      <c r="G203" s="175"/>
      <c r="H203" s="175"/>
      <c r="AA203" s="204" t="s">
        <v>297</v>
      </c>
      <c r="AB203" s="267"/>
      <c r="AC203" s="267"/>
      <c r="AD203" s="267"/>
      <c r="AE203" s="267"/>
      <c r="AF203" s="267"/>
      <c r="AG203" s="267"/>
      <c r="AH203" s="267"/>
      <c r="AI203" s="216"/>
    </row>
    <row r="204" spans="2:35" x14ac:dyDescent="0.25">
      <c r="B204" s="207"/>
      <c r="C204" s="182"/>
      <c r="D204" s="182"/>
      <c r="AA204" s="208" t="s">
        <v>107</v>
      </c>
      <c r="AB204" s="184">
        <v>0.85709999999999997</v>
      </c>
      <c r="AC204" s="184">
        <v>1.4815</v>
      </c>
      <c r="AD204" s="184">
        <v>1.0345</v>
      </c>
      <c r="AE204" s="233">
        <v>1.5809</v>
      </c>
      <c r="AF204" s="233">
        <v>0.88239999999999996</v>
      </c>
      <c r="AG204" s="184">
        <v>0.73170000000000002</v>
      </c>
      <c r="AH204" s="260">
        <v>1.5217000000000001</v>
      </c>
      <c r="AI204" s="184"/>
    </row>
    <row r="205" spans="2:35" x14ac:dyDescent="0.25">
      <c r="B205" s="207"/>
      <c r="C205" s="182"/>
      <c r="D205" s="215"/>
      <c r="AA205" s="208" t="s">
        <v>108</v>
      </c>
      <c r="AB205" s="175">
        <v>-0.23139999999999999</v>
      </c>
      <c r="AC205" s="175">
        <v>-0.61850000000000005</v>
      </c>
      <c r="AD205" s="175">
        <v>-0.22070000000000001</v>
      </c>
      <c r="AE205" s="184">
        <v>-0.52559999999999996</v>
      </c>
      <c r="AF205" s="260">
        <v>1.18E-2</v>
      </c>
      <c r="AG205" s="184">
        <v>-8.0500000000000002E-2</v>
      </c>
      <c r="AH205" s="260">
        <v>-0.47460000000000002</v>
      </c>
    </row>
    <row r="206" spans="2:35" ht="15.75" thickBot="1" x14ac:dyDescent="0.3">
      <c r="C206" s="175"/>
      <c r="D206" s="175"/>
      <c r="E206" s="175"/>
      <c r="F206" s="175"/>
      <c r="G206" s="175"/>
      <c r="H206" s="175"/>
      <c r="I206" s="182"/>
      <c r="J206" s="174" t="s">
        <v>192</v>
      </c>
      <c r="AA206" s="208"/>
      <c r="AB206" s="184"/>
      <c r="AC206" s="184"/>
      <c r="AD206" s="184"/>
      <c r="AE206" s="184"/>
    </row>
    <row r="207" spans="2:35" x14ac:dyDescent="0.25">
      <c r="I207" s="182"/>
      <c r="J207" s="611" t="s">
        <v>12</v>
      </c>
      <c r="K207" s="242">
        <v>3</v>
      </c>
      <c r="L207" s="185"/>
      <c r="M207" s="220"/>
      <c r="N207" s="185"/>
      <c r="O207" s="185">
        <v>3.7</v>
      </c>
      <c r="P207" s="243">
        <v>4</v>
      </c>
    </row>
    <row r="208" spans="2:35" x14ac:dyDescent="0.25">
      <c r="J208" s="612"/>
      <c r="K208" s="244">
        <f>2.8/0.3</f>
        <v>9.3333333333333339</v>
      </c>
      <c r="L208" s="202"/>
      <c r="M208" s="176"/>
      <c r="N208" s="202"/>
      <c r="O208" s="202">
        <v>7</v>
      </c>
      <c r="P208" s="245">
        <v>6</v>
      </c>
    </row>
    <row r="209" spans="2:16" ht="15.75" thickBot="1" x14ac:dyDescent="0.3">
      <c r="J209" s="192" t="s">
        <v>13</v>
      </c>
      <c r="K209" s="193">
        <v>0</v>
      </c>
      <c r="L209" s="193">
        <v>0.28999999999999998</v>
      </c>
      <c r="M209" s="194">
        <v>0.3</v>
      </c>
      <c r="N209" s="194">
        <v>0.69</v>
      </c>
      <c r="O209" s="196">
        <v>0.7</v>
      </c>
      <c r="P209" s="197">
        <v>1</v>
      </c>
    </row>
    <row r="211" spans="2:16" x14ac:dyDescent="0.25">
      <c r="J211" s="182"/>
      <c r="K211" s="207" t="s">
        <v>195</v>
      </c>
      <c r="L211" s="207" t="s">
        <v>196</v>
      </c>
    </row>
    <row r="212" spans="2:16" x14ac:dyDescent="0.25">
      <c r="J212" s="380" t="s">
        <v>392</v>
      </c>
      <c r="K212" s="182"/>
      <c r="L212" s="182"/>
    </row>
    <row r="213" spans="2:16" x14ac:dyDescent="0.25">
      <c r="B213" s="207"/>
      <c r="C213" s="182"/>
      <c r="D213" s="182"/>
      <c r="J213" s="207" t="s">
        <v>107</v>
      </c>
      <c r="K213" s="246">
        <v>1</v>
      </c>
      <c r="L213" s="246">
        <v>-0.3</v>
      </c>
    </row>
    <row r="214" spans="2:16" x14ac:dyDescent="0.25">
      <c r="B214" s="207"/>
      <c r="C214" s="182"/>
      <c r="D214" s="215"/>
      <c r="J214" s="207" t="s">
        <v>108</v>
      </c>
      <c r="K214" s="246">
        <v>-3</v>
      </c>
      <c r="L214" s="246">
        <v>2.8</v>
      </c>
      <c r="M214" s="213"/>
    </row>
    <row r="215" spans="2:16" x14ac:dyDescent="0.25">
      <c r="C215" s="175"/>
      <c r="D215" s="175"/>
      <c r="E215" s="175"/>
      <c r="F215" s="175"/>
      <c r="G215" s="175"/>
      <c r="H215" s="175"/>
      <c r="J215" s="182"/>
      <c r="K215" s="182"/>
      <c r="L215" s="182"/>
    </row>
    <row r="232" spans="10:39" ht="15.75" thickBot="1" x14ac:dyDescent="0.3">
      <c r="AA232" s="174" t="s">
        <v>307</v>
      </c>
    </row>
    <row r="233" spans="10:39" x14ac:dyDescent="0.25">
      <c r="AA233" s="228" t="s">
        <v>177</v>
      </c>
      <c r="AB233" s="265">
        <v>0.59</v>
      </c>
      <c r="AC233" s="266"/>
      <c r="AD233" s="266">
        <v>0.65</v>
      </c>
      <c r="AE233" s="266"/>
      <c r="AF233" s="265">
        <v>0.88</v>
      </c>
      <c r="AG233" s="271">
        <v>1.0900000000000001</v>
      </c>
    </row>
    <row r="234" spans="10:39" x14ac:dyDescent="0.25">
      <c r="AA234" s="183" t="s">
        <v>188</v>
      </c>
      <c r="AB234" s="263">
        <v>0.41</v>
      </c>
      <c r="AC234" s="264"/>
      <c r="AD234" s="264">
        <v>0.63</v>
      </c>
      <c r="AE234" s="264"/>
      <c r="AF234" s="263">
        <v>0.84</v>
      </c>
      <c r="AG234" s="273">
        <v>0.92</v>
      </c>
    </row>
    <row r="235" spans="10:39" x14ac:dyDescent="0.25">
      <c r="AA235" s="183" t="s">
        <v>172</v>
      </c>
      <c r="AB235" s="263">
        <v>0.28999999999999998</v>
      </c>
      <c r="AC235" s="264"/>
      <c r="AD235" s="264">
        <v>0.68</v>
      </c>
      <c r="AE235" s="264"/>
      <c r="AF235" s="263">
        <v>0.88</v>
      </c>
      <c r="AG235" s="273">
        <v>1.2</v>
      </c>
      <c r="AM235" s="206"/>
    </row>
    <row r="236" spans="10:39" x14ac:dyDescent="0.25">
      <c r="AA236" s="275" t="s">
        <v>178</v>
      </c>
      <c r="AB236" s="263">
        <v>0.21</v>
      </c>
      <c r="AC236" s="264"/>
      <c r="AD236" s="264">
        <v>0.65</v>
      </c>
      <c r="AE236" s="264"/>
      <c r="AF236" s="263">
        <v>0.86</v>
      </c>
      <c r="AG236" s="273">
        <v>1.21</v>
      </c>
    </row>
    <row r="237" spans="10:39" ht="15.75" thickBot="1" x14ac:dyDescent="0.3">
      <c r="AA237" s="192" t="s">
        <v>4</v>
      </c>
      <c r="AB237" s="193">
        <v>0</v>
      </c>
      <c r="AC237" s="193">
        <v>0.28999999999999998</v>
      </c>
      <c r="AD237" s="194">
        <v>0.3</v>
      </c>
      <c r="AE237" s="194">
        <v>0.69</v>
      </c>
      <c r="AF237" s="196">
        <v>0.7</v>
      </c>
      <c r="AG237" s="197">
        <v>1</v>
      </c>
      <c r="AL237" s="206"/>
    </row>
    <row r="238" spans="10:39" x14ac:dyDescent="0.25">
      <c r="AB238" s="204"/>
      <c r="AC238" s="206"/>
      <c r="AD238" s="206"/>
      <c r="AE238" s="206"/>
    </row>
    <row r="239" spans="10:39" x14ac:dyDescent="0.25">
      <c r="AA239" s="206"/>
      <c r="AB239" s="613" t="s">
        <v>177</v>
      </c>
      <c r="AC239" s="613"/>
      <c r="AD239" s="613" t="s">
        <v>188</v>
      </c>
      <c r="AE239" s="613"/>
      <c r="AF239" s="613" t="s">
        <v>172</v>
      </c>
      <c r="AG239" s="613"/>
      <c r="AH239" s="613"/>
      <c r="AI239" s="398" t="s">
        <v>178</v>
      </c>
      <c r="AJ239" s="398"/>
      <c r="AK239" s="398"/>
    </row>
    <row r="240" spans="10:39" ht="15.75" thickBot="1" x14ac:dyDescent="0.3">
      <c r="J240" s="174" t="s">
        <v>302</v>
      </c>
      <c r="AA240" s="208"/>
      <c r="AB240" s="268" t="s">
        <v>109</v>
      </c>
      <c r="AC240" s="268" t="s">
        <v>113</v>
      </c>
      <c r="AD240" s="268" t="s">
        <v>112</v>
      </c>
      <c r="AE240" s="260" t="s">
        <v>82</v>
      </c>
      <c r="AF240" s="268" t="s">
        <v>109</v>
      </c>
      <c r="AG240" s="268" t="s">
        <v>248</v>
      </c>
      <c r="AH240" s="260" t="s">
        <v>82</v>
      </c>
      <c r="AI240" s="268" t="s">
        <v>109</v>
      </c>
      <c r="AJ240" s="268" t="s">
        <v>248</v>
      </c>
      <c r="AK240" s="260" t="s">
        <v>82</v>
      </c>
    </row>
    <row r="241" spans="10:37" x14ac:dyDescent="0.25">
      <c r="J241" s="611" t="s">
        <v>12</v>
      </c>
      <c r="K241" s="247"/>
      <c r="L241" s="220"/>
      <c r="M241" s="220"/>
      <c r="N241" s="220"/>
      <c r="O241" s="220">
        <v>3</v>
      </c>
      <c r="P241" s="221">
        <v>3.7</v>
      </c>
      <c r="AA241" s="204" t="s">
        <v>297</v>
      </c>
      <c r="AB241" s="268"/>
      <c r="AC241" s="268"/>
      <c r="AD241" s="268"/>
      <c r="AE241" s="260"/>
      <c r="AF241" s="268"/>
      <c r="AG241" s="268"/>
      <c r="AH241" s="260"/>
      <c r="AI241" s="268"/>
      <c r="AJ241" s="268"/>
      <c r="AK241" s="260"/>
    </row>
    <row r="242" spans="10:37" x14ac:dyDescent="0.25">
      <c r="J242" s="612"/>
      <c r="K242" s="248"/>
      <c r="L242" s="176"/>
      <c r="M242" s="176"/>
      <c r="N242" s="176"/>
      <c r="O242" s="176">
        <v>6</v>
      </c>
      <c r="P242" s="229">
        <v>5</v>
      </c>
      <c r="AA242" s="208" t="s">
        <v>107</v>
      </c>
      <c r="AB242" s="184">
        <v>5</v>
      </c>
      <c r="AC242" s="184">
        <v>1.5932999999999999</v>
      </c>
      <c r="AD242" s="216">
        <v>1.6257999999999999</v>
      </c>
      <c r="AE242" s="216">
        <v>3.75</v>
      </c>
      <c r="AF242" s="184">
        <v>0.76919999999999999</v>
      </c>
      <c r="AG242" s="260">
        <v>2</v>
      </c>
      <c r="AH242" s="260">
        <v>0.9375</v>
      </c>
      <c r="AI242" s="184">
        <v>0.68179999999999996</v>
      </c>
      <c r="AJ242" s="260">
        <v>1.9048</v>
      </c>
      <c r="AK242" s="260">
        <v>0.85709999999999997</v>
      </c>
    </row>
    <row r="243" spans="10:37" ht="15.75" thickBot="1" x14ac:dyDescent="0.3">
      <c r="J243" s="192" t="s">
        <v>13</v>
      </c>
      <c r="K243" s="193">
        <v>0</v>
      </c>
      <c r="L243" s="193">
        <v>0.28999999999999998</v>
      </c>
      <c r="M243" s="194">
        <v>0.3</v>
      </c>
      <c r="N243" s="194">
        <v>0.69</v>
      </c>
      <c r="O243" s="196">
        <v>0.7</v>
      </c>
      <c r="P243" s="197">
        <v>1</v>
      </c>
      <c r="AA243" s="208" t="s">
        <v>108</v>
      </c>
      <c r="AB243" s="216">
        <v>-2.95</v>
      </c>
      <c r="AC243" s="216">
        <v>-0.7248</v>
      </c>
      <c r="AD243" s="216">
        <v>-0.6855</v>
      </c>
      <c r="AE243" s="216">
        <v>-2.4500000000000002</v>
      </c>
      <c r="AF243" s="184">
        <v>-0.22309999999999999</v>
      </c>
      <c r="AG243" s="269">
        <v>-1.06</v>
      </c>
      <c r="AH243" s="269">
        <v>-0.125</v>
      </c>
      <c r="AI243" s="184">
        <v>-0.14319999999999999</v>
      </c>
      <c r="AJ243" s="269">
        <v>-0.93810000000000004</v>
      </c>
      <c r="AK243" s="269">
        <v>-3.7100000000000001E-2</v>
      </c>
    </row>
    <row r="244" spans="10:37" x14ac:dyDescent="0.25">
      <c r="AA244" s="208"/>
      <c r="AB244" s="184"/>
      <c r="AC244" s="184"/>
      <c r="AD244" s="184"/>
      <c r="AE244" s="184"/>
      <c r="AF244" s="184"/>
      <c r="AG244" s="184"/>
    </row>
    <row r="245" spans="10:37" x14ac:dyDescent="0.25">
      <c r="J245" s="182"/>
      <c r="K245" s="207" t="s">
        <v>195</v>
      </c>
      <c r="L245" s="207" t="s">
        <v>196</v>
      </c>
      <c r="AA245" s="208"/>
      <c r="AB245" s="184"/>
      <c r="AC245" s="233"/>
      <c r="AD245" s="216"/>
      <c r="AE245" s="184"/>
      <c r="AF245" s="184"/>
      <c r="AG245" s="184"/>
      <c r="AH245" s="184"/>
      <c r="AI245" s="184"/>
    </row>
    <row r="246" spans="10:37" x14ac:dyDescent="0.25">
      <c r="J246" s="380" t="s">
        <v>392</v>
      </c>
      <c r="K246" s="182"/>
      <c r="L246" s="182"/>
      <c r="AA246" s="184"/>
      <c r="AB246" s="175"/>
      <c r="AC246" s="233"/>
      <c r="AD246" s="184"/>
      <c r="AE246" s="184"/>
      <c r="AF246" s="184"/>
      <c r="AG246" s="184"/>
      <c r="AH246" s="184"/>
      <c r="AI246" s="184"/>
    </row>
    <row r="247" spans="10:37" x14ac:dyDescent="0.25">
      <c r="J247" s="305" t="s">
        <v>107</v>
      </c>
      <c r="K247" s="182">
        <v>0.42859999999999998</v>
      </c>
      <c r="L247" s="182">
        <v>-0.3</v>
      </c>
      <c r="AA247" s="182"/>
      <c r="AB247" s="182"/>
      <c r="AC247" s="215"/>
    </row>
    <row r="248" spans="10:37" x14ac:dyDescent="0.25">
      <c r="J248" s="379" t="s">
        <v>108</v>
      </c>
      <c r="K248" s="174">
        <v>-0.5857</v>
      </c>
      <c r="L248" s="174">
        <v>2.5</v>
      </c>
      <c r="AA248" s="182"/>
      <c r="AB248" s="182"/>
      <c r="AC248" s="182"/>
    </row>
    <row r="254" spans="10:37" x14ac:dyDescent="0.25">
      <c r="Z254" s="182"/>
    </row>
    <row r="273" spans="10:33" ht="15.75" thickBot="1" x14ac:dyDescent="0.3">
      <c r="J273" s="174" t="s">
        <v>194</v>
      </c>
    </row>
    <row r="274" spans="10:33" ht="15.75" thickBot="1" x14ac:dyDescent="0.3">
      <c r="J274" s="179" t="s">
        <v>12</v>
      </c>
      <c r="K274" s="242">
        <f>-K280/K279</f>
        <v>7.5</v>
      </c>
      <c r="L274" s="220"/>
      <c r="M274" s="220"/>
      <c r="N274" s="220"/>
      <c r="O274" s="220">
        <v>4</v>
      </c>
      <c r="P274" s="221">
        <v>3</v>
      </c>
      <c r="AA274" s="257" t="s">
        <v>353</v>
      </c>
    </row>
    <row r="275" spans="10:33" ht="15.75" thickBot="1" x14ac:dyDescent="0.3">
      <c r="J275" s="192" t="s">
        <v>13</v>
      </c>
      <c r="K275" s="193">
        <v>0</v>
      </c>
      <c r="L275" s="193">
        <v>0.28999999999999998</v>
      </c>
      <c r="M275" s="194">
        <v>0.3</v>
      </c>
      <c r="N275" s="194">
        <v>0.69</v>
      </c>
      <c r="O275" s="196">
        <v>0.7</v>
      </c>
      <c r="P275" s="249">
        <v>1</v>
      </c>
      <c r="AA275" s="255" t="s">
        <v>12</v>
      </c>
      <c r="AB275" s="230">
        <f>0.9887/0.017</f>
        <v>58.158823529411762</v>
      </c>
      <c r="AC275" s="185"/>
      <c r="AD275" s="185">
        <v>76</v>
      </c>
      <c r="AE275" s="185">
        <v>99</v>
      </c>
      <c r="AF275" s="185"/>
      <c r="AG275" s="186">
        <v>100</v>
      </c>
    </row>
    <row r="276" spans="10:33" ht="15.75" thickBot="1" x14ac:dyDescent="0.3">
      <c r="AA276" s="404" t="s">
        <v>13</v>
      </c>
      <c r="AB276" s="193">
        <v>0</v>
      </c>
      <c r="AC276" s="193">
        <v>0.28999999999999998</v>
      </c>
      <c r="AD276" s="194">
        <v>0.3</v>
      </c>
      <c r="AE276" s="194">
        <v>0.69</v>
      </c>
      <c r="AF276" s="196">
        <v>0.7</v>
      </c>
      <c r="AG276" s="197">
        <v>1</v>
      </c>
    </row>
    <row r="277" spans="10:33" x14ac:dyDescent="0.25">
      <c r="J277" s="218"/>
      <c r="K277" s="382" t="s">
        <v>393</v>
      </c>
      <c r="L277" s="367" t="s">
        <v>82</v>
      </c>
    </row>
    <row r="278" spans="10:33" x14ac:dyDescent="0.25">
      <c r="J278" s="306" t="s">
        <v>355</v>
      </c>
      <c r="K278" s="182"/>
      <c r="L278" s="182"/>
      <c r="AB278" s="207" t="s">
        <v>112</v>
      </c>
    </row>
    <row r="279" spans="10:33" x14ac:dyDescent="0.25">
      <c r="J279" s="207" t="s">
        <v>107</v>
      </c>
      <c r="K279" s="182">
        <v>-0.2</v>
      </c>
      <c r="L279" s="182">
        <v>-0.3</v>
      </c>
      <c r="M279" s="213"/>
      <c r="AA279" s="204" t="s">
        <v>297</v>
      </c>
    </row>
    <row r="280" spans="10:33" x14ac:dyDescent="0.25">
      <c r="J280" s="207" t="s">
        <v>108</v>
      </c>
      <c r="K280" s="182">
        <v>1.5</v>
      </c>
      <c r="L280" s="215">
        <v>1.9</v>
      </c>
      <c r="AA280" s="218" t="s">
        <v>107</v>
      </c>
      <c r="AB280" s="182">
        <v>1.6899999999999998E-2</v>
      </c>
    </row>
    <row r="281" spans="10:33" x14ac:dyDescent="0.25">
      <c r="AA281" s="218" t="s">
        <v>108</v>
      </c>
      <c r="AB281" s="176">
        <v>-0.98329999999999995</v>
      </c>
    </row>
    <row r="305" spans="10:33" ht="15.75" thickBot="1" x14ac:dyDescent="0.3">
      <c r="J305" s="174" t="s">
        <v>193</v>
      </c>
    </row>
    <row r="306" spans="10:33" x14ac:dyDescent="0.25">
      <c r="J306" s="179" t="s">
        <v>12</v>
      </c>
      <c r="K306" s="242"/>
      <c r="L306" s="185"/>
      <c r="M306" s="185"/>
      <c r="N306" s="185"/>
      <c r="O306" s="185">
        <v>6</v>
      </c>
      <c r="P306" s="186">
        <v>3.4</v>
      </c>
    </row>
    <row r="307" spans="10:33" ht="17.45" customHeight="1" thickBot="1" x14ac:dyDescent="0.3">
      <c r="J307" s="192" t="s">
        <v>13</v>
      </c>
      <c r="K307" s="193">
        <v>0</v>
      </c>
      <c r="L307" s="193">
        <v>0.28999999999999998</v>
      </c>
      <c r="M307" s="194">
        <v>0.3</v>
      </c>
      <c r="N307" s="194">
        <v>0.69</v>
      </c>
      <c r="O307" s="196">
        <v>0.7</v>
      </c>
      <c r="P307" s="197">
        <v>1</v>
      </c>
    </row>
    <row r="309" spans="10:33" x14ac:dyDescent="0.25">
      <c r="J309" s="306" t="s">
        <v>355</v>
      </c>
      <c r="K309" s="182"/>
      <c r="L309" s="182"/>
    </row>
    <row r="310" spans="10:33" x14ac:dyDescent="0.25">
      <c r="J310" s="207" t="s">
        <v>107</v>
      </c>
      <c r="K310" s="182">
        <v>-0.1154</v>
      </c>
      <c r="L310" s="182"/>
    </row>
    <row r="311" spans="10:33" ht="15.75" thickBot="1" x14ac:dyDescent="0.3">
      <c r="J311" s="207" t="s">
        <v>108</v>
      </c>
      <c r="K311" s="182">
        <v>1.3923000000000001</v>
      </c>
      <c r="L311" s="215"/>
      <c r="AA311" s="259" t="s">
        <v>351</v>
      </c>
      <c r="AB311" s="182"/>
      <c r="AC311" s="182"/>
      <c r="AD311" s="182"/>
      <c r="AE311" s="182"/>
      <c r="AF311" s="182"/>
      <c r="AG311" s="182"/>
    </row>
    <row r="312" spans="10:33" x14ac:dyDescent="0.25">
      <c r="J312" s="182"/>
      <c r="K312" s="182"/>
      <c r="L312" s="182"/>
      <c r="AA312" s="303" t="s">
        <v>227</v>
      </c>
      <c r="AB312" s="187"/>
      <c r="AC312" s="180"/>
      <c r="AD312" s="180">
        <v>5</v>
      </c>
      <c r="AE312" s="180"/>
      <c r="AF312" s="180">
        <v>25</v>
      </c>
      <c r="AG312" s="188">
        <v>40</v>
      </c>
    </row>
    <row r="313" spans="10:33" x14ac:dyDescent="0.25">
      <c r="AA313" s="183" t="s">
        <v>228</v>
      </c>
      <c r="AB313" s="182"/>
      <c r="AD313" s="174">
        <v>10</v>
      </c>
      <c r="AF313" s="174">
        <v>50</v>
      </c>
      <c r="AG313" s="198">
        <v>80</v>
      </c>
    </row>
    <row r="314" spans="10:33" x14ac:dyDescent="0.25">
      <c r="AA314" s="275" t="s">
        <v>354</v>
      </c>
      <c r="AB314" s="182"/>
      <c r="AD314" s="174">
        <v>15</v>
      </c>
      <c r="AF314" s="174">
        <v>75</v>
      </c>
      <c r="AG314" s="198">
        <v>119</v>
      </c>
    </row>
    <row r="315" spans="10:33" ht="15.75" thickBot="1" x14ac:dyDescent="0.3">
      <c r="AA315" s="192" t="s">
        <v>4</v>
      </c>
      <c r="AB315" s="193">
        <v>0</v>
      </c>
      <c r="AC315" s="193">
        <v>0.28999999999999998</v>
      </c>
      <c r="AD315" s="194">
        <v>0.3</v>
      </c>
      <c r="AE315" s="194">
        <v>0.69</v>
      </c>
      <c r="AF315" s="196">
        <v>0.7</v>
      </c>
      <c r="AG315" s="197">
        <v>1</v>
      </c>
    </row>
    <row r="316" spans="10:33" x14ac:dyDescent="0.25">
      <c r="AF316" s="206"/>
    </row>
    <row r="317" spans="10:33" x14ac:dyDescent="0.25">
      <c r="AA317" s="184"/>
      <c r="AB317" s="204" t="s">
        <v>297</v>
      </c>
      <c r="AC317" s="206"/>
      <c r="AD317" s="206"/>
      <c r="AE317" s="206"/>
      <c r="AF317" s="184"/>
      <c r="AG317" s="175"/>
    </row>
    <row r="318" spans="10:33" x14ac:dyDescent="0.25">
      <c r="AA318" s="175"/>
      <c r="AB318" s="184" t="str">
        <f>AA312</f>
        <v>Blue Ribbon and non-trout game fish</v>
      </c>
      <c r="AC318" s="175" t="str">
        <f>AA313</f>
        <v>Red Ribbon</v>
      </c>
      <c r="AD318" s="175" t="str">
        <f>AA314</f>
        <v>Yellow/Green Ribbon</v>
      </c>
      <c r="AE318" s="175"/>
      <c r="AF318" s="175"/>
    </row>
    <row r="319" spans="10:33" x14ac:dyDescent="0.25">
      <c r="AA319" s="218" t="s">
        <v>107</v>
      </c>
      <c r="AB319" s="175">
        <v>0.02</v>
      </c>
      <c r="AC319" s="175">
        <v>0.01</v>
      </c>
      <c r="AD319" s="175">
        <v>6.7000000000000002E-3</v>
      </c>
      <c r="AE319" s="175"/>
      <c r="AF319" s="175"/>
    </row>
    <row r="320" spans="10:33" x14ac:dyDescent="0.25">
      <c r="AA320" s="218" t="s">
        <v>108</v>
      </c>
      <c r="AB320" s="175">
        <v>0.2</v>
      </c>
      <c r="AC320" s="175">
        <v>0.2</v>
      </c>
      <c r="AD320" s="175">
        <v>0.19800000000000001</v>
      </c>
      <c r="AE320" s="175"/>
    </row>
    <row r="336" spans="10:10" ht="15.75" thickBot="1" x14ac:dyDescent="0.3">
      <c r="J336" s="257" t="s">
        <v>398</v>
      </c>
    </row>
    <row r="337" spans="9:16" x14ac:dyDescent="0.25">
      <c r="J337" s="605" t="s">
        <v>12</v>
      </c>
      <c r="K337" s="242">
        <f>1.1/0.6</f>
        <v>1.8333333333333335</v>
      </c>
      <c r="L337" s="185"/>
      <c r="M337" s="185"/>
      <c r="N337" s="185"/>
      <c r="O337" s="185">
        <v>3</v>
      </c>
      <c r="P337" s="186">
        <v>3.5</v>
      </c>
    </row>
    <row r="338" spans="9:16" x14ac:dyDescent="0.25">
      <c r="J338" s="606"/>
      <c r="K338" s="244">
        <f>2.5/0.3</f>
        <v>8.3333333333333339</v>
      </c>
      <c r="L338" s="202"/>
      <c r="M338" s="202"/>
      <c r="N338" s="202"/>
      <c r="O338" s="202">
        <v>6</v>
      </c>
      <c r="P338" s="245">
        <v>5</v>
      </c>
    </row>
    <row r="339" spans="9:16" ht="15.75" thickBot="1" x14ac:dyDescent="0.3">
      <c r="J339" s="192" t="s">
        <v>13</v>
      </c>
      <c r="K339" s="193">
        <v>0</v>
      </c>
      <c r="L339" s="193">
        <v>0.28999999999999998</v>
      </c>
      <c r="M339" s="194">
        <v>0.3</v>
      </c>
      <c r="N339" s="194">
        <v>0.69</v>
      </c>
      <c r="O339" s="196">
        <v>0.7</v>
      </c>
      <c r="P339" s="197">
        <v>1</v>
      </c>
    </row>
    <row r="341" spans="9:16" x14ac:dyDescent="0.25">
      <c r="J341" s="182"/>
      <c r="K341" s="207" t="s">
        <v>195</v>
      </c>
      <c r="L341" s="207" t="s">
        <v>196</v>
      </c>
    </row>
    <row r="342" spans="9:16" x14ac:dyDescent="0.25">
      <c r="J342" s="380" t="s">
        <v>392</v>
      </c>
      <c r="K342" s="182"/>
      <c r="L342" s="182"/>
    </row>
    <row r="343" spans="9:16" x14ac:dyDescent="0.25">
      <c r="J343" s="207" t="s">
        <v>107</v>
      </c>
      <c r="K343" s="182">
        <v>0.6</v>
      </c>
      <c r="L343" s="182">
        <v>-0.3</v>
      </c>
    </row>
    <row r="344" spans="9:16" x14ac:dyDescent="0.25">
      <c r="J344" s="207" t="s">
        <v>108</v>
      </c>
      <c r="K344" s="182">
        <v>-1.1000000000000001</v>
      </c>
      <c r="L344" s="215">
        <v>2.5</v>
      </c>
    </row>
    <row r="345" spans="9:16" x14ac:dyDescent="0.25">
      <c r="J345" s="182"/>
      <c r="K345" s="182"/>
      <c r="L345" s="182"/>
    </row>
    <row r="351" spans="9:16" x14ac:dyDescent="0.25">
      <c r="I351" s="175"/>
    </row>
    <row r="352" spans="9:16" x14ac:dyDescent="0.25">
      <c r="I352" s="175"/>
    </row>
    <row r="353" spans="9:9" x14ac:dyDescent="0.25">
      <c r="I353" s="175"/>
    </row>
    <row r="354" spans="9:9" x14ac:dyDescent="0.25">
      <c r="I354" s="175"/>
    </row>
    <row r="355" spans="9:9" x14ac:dyDescent="0.25">
      <c r="I355" s="175"/>
    </row>
    <row r="356" spans="9:9" x14ac:dyDescent="0.25">
      <c r="I356" s="175"/>
    </row>
    <row r="357" spans="9:9" x14ac:dyDescent="0.25">
      <c r="I357" s="175"/>
    </row>
    <row r="358" spans="9:9" x14ac:dyDescent="0.25">
      <c r="I358" s="175"/>
    </row>
    <row r="359" spans="9:9" x14ac:dyDescent="0.25">
      <c r="I359" s="175"/>
    </row>
    <row r="360" spans="9:9" x14ac:dyDescent="0.25">
      <c r="I360" s="175"/>
    </row>
    <row r="361" spans="9:9" x14ac:dyDescent="0.25">
      <c r="I361" s="176"/>
    </row>
    <row r="362" spans="9:9" x14ac:dyDescent="0.25">
      <c r="I362" s="176"/>
    </row>
    <row r="363" spans="9:9" x14ac:dyDescent="0.25">
      <c r="I363" s="175"/>
    </row>
    <row r="364" spans="9:9" x14ac:dyDescent="0.25">
      <c r="I364" s="175"/>
    </row>
    <row r="365" spans="9:9" x14ac:dyDescent="0.25">
      <c r="I365" s="175"/>
    </row>
    <row r="367" spans="9:9" x14ac:dyDescent="0.25">
      <c r="I367" s="175"/>
    </row>
    <row r="368" spans="9:9" x14ac:dyDescent="0.25">
      <c r="I368" s="175"/>
    </row>
    <row r="369" spans="9:16" ht="15.75" thickBot="1" x14ac:dyDescent="0.3">
      <c r="I369" s="175"/>
      <c r="J369" s="174" t="s">
        <v>47</v>
      </c>
    </row>
    <row r="370" spans="9:16" x14ac:dyDescent="0.25">
      <c r="I370" s="182"/>
      <c r="J370" s="179" t="s">
        <v>12</v>
      </c>
      <c r="K370" s="190">
        <v>1</v>
      </c>
      <c r="L370" s="185"/>
      <c r="M370" s="185"/>
      <c r="N370" s="185"/>
      <c r="O370" s="185">
        <v>2.2000000000000002</v>
      </c>
      <c r="P370" s="191">
        <v>3.2</v>
      </c>
    </row>
    <row r="371" spans="9:16" ht="15.75" thickBot="1" x14ac:dyDescent="0.3">
      <c r="I371" s="182"/>
      <c r="J371" s="192" t="s">
        <v>13</v>
      </c>
      <c r="K371" s="193">
        <v>0</v>
      </c>
      <c r="L371" s="193">
        <v>0.28999999999999998</v>
      </c>
      <c r="M371" s="194">
        <v>0.3</v>
      </c>
      <c r="N371" s="194">
        <v>0.69</v>
      </c>
      <c r="O371" s="196">
        <v>0.7</v>
      </c>
      <c r="P371" s="197">
        <v>1</v>
      </c>
    </row>
    <row r="372" spans="9:16" x14ac:dyDescent="0.25">
      <c r="I372" s="182"/>
      <c r="K372" s="206"/>
    </row>
    <row r="373" spans="9:16" x14ac:dyDescent="0.25">
      <c r="J373" s="218"/>
      <c r="K373" s="382" t="s">
        <v>393</v>
      </c>
      <c r="L373" s="367" t="s">
        <v>82</v>
      </c>
    </row>
    <row r="374" spans="9:16" x14ac:dyDescent="0.25">
      <c r="J374" s="306" t="s">
        <v>355</v>
      </c>
      <c r="K374" s="182"/>
      <c r="L374" s="182"/>
    </row>
    <row r="375" spans="9:16" x14ac:dyDescent="0.25">
      <c r="J375" s="366" t="s">
        <v>107</v>
      </c>
      <c r="K375" s="182">
        <v>0.58330000000000004</v>
      </c>
      <c r="L375" s="182">
        <v>0.3</v>
      </c>
    </row>
    <row r="376" spans="9:16" x14ac:dyDescent="0.25">
      <c r="J376" s="305" t="s">
        <v>108</v>
      </c>
      <c r="K376" s="182">
        <v>-0.58330000000000004</v>
      </c>
      <c r="L376" s="182">
        <v>0.04</v>
      </c>
    </row>
    <row r="377" spans="9:16" x14ac:dyDescent="0.25">
      <c r="J377" s="182"/>
      <c r="K377" s="182"/>
      <c r="L377" s="215"/>
    </row>
    <row r="378" spans="9:16" x14ac:dyDescent="0.25">
      <c r="J378" s="182"/>
      <c r="K378" s="182"/>
      <c r="L378" s="182"/>
    </row>
    <row r="384" spans="9:16" x14ac:dyDescent="0.25">
      <c r="J384" s="175"/>
    </row>
    <row r="385" spans="10:28" x14ac:dyDescent="0.25">
      <c r="J385" s="176"/>
    </row>
    <row r="386" spans="10:28" x14ac:dyDescent="0.25">
      <c r="J386" s="176"/>
    </row>
    <row r="387" spans="10:28" x14ac:dyDescent="0.25">
      <c r="J387" s="175"/>
    </row>
    <row r="388" spans="10:28" x14ac:dyDescent="0.25">
      <c r="J388" s="176"/>
    </row>
    <row r="389" spans="10:28" x14ac:dyDescent="0.25">
      <c r="J389" s="176"/>
    </row>
    <row r="390" spans="10:28" x14ac:dyDescent="0.25">
      <c r="J390" s="175"/>
    </row>
    <row r="391" spans="10:28" x14ac:dyDescent="0.25">
      <c r="J391" s="175"/>
      <c r="AA391" s="184"/>
      <c r="AB391" s="184"/>
    </row>
    <row r="392" spans="10:28" x14ac:dyDescent="0.25">
      <c r="J392" s="175"/>
      <c r="AA392" s="202"/>
      <c r="AB392" s="184"/>
    </row>
    <row r="393" spans="10:28" x14ac:dyDescent="0.25">
      <c r="J393" s="175"/>
      <c r="AA393" s="184"/>
      <c r="AB393" s="184"/>
    </row>
    <row r="394" spans="10:28" x14ac:dyDescent="0.25">
      <c r="J394" s="175"/>
      <c r="AA394" s="184"/>
      <c r="AB394" s="184"/>
    </row>
    <row r="395" spans="10:28" x14ac:dyDescent="0.25">
      <c r="J395" s="175"/>
    </row>
    <row r="396" spans="10:28" x14ac:dyDescent="0.25">
      <c r="J396" s="176"/>
    </row>
    <row r="397" spans="10:28" x14ac:dyDescent="0.25">
      <c r="J397" s="176"/>
    </row>
    <row r="398" spans="10:28" x14ac:dyDescent="0.25">
      <c r="J398" s="175"/>
      <c r="K398" s="175"/>
      <c r="L398" s="175"/>
      <c r="M398" s="175"/>
      <c r="N398" s="175"/>
      <c r="O398" s="175"/>
      <c r="P398" s="175"/>
    </row>
    <row r="399" spans="10:28" x14ac:dyDescent="0.25">
      <c r="J399" s="176"/>
      <c r="K399" s="176"/>
      <c r="L399" s="176"/>
      <c r="M399" s="176"/>
      <c r="N399" s="176"/>
      <c r="O399" s="176"/>
      <c r="P399" s="176"/>
    </row>
    <row r="400" spans="10:28" x14ac:dyDescent="0.25">
      <c r="J400" s="176"/>
    </row>
    <row r="401" spans="10:16" ht="15.75" thickBot="1" x14ac:dyDescent="0.3">
      <c r="J401" s="174" t="s">
        <v>197</v>
      </c>
    </row>
    <row r="402" spans="10:16" x14ac:dyDescent="0.25">
      <c r="J402" s="605" t="s">
        <v>12</v>
      </c>
      <c r="K402" s="230"/>
      <c r="L402" s="185"/>
      <c r="M402" s="185"/>
      <c r="N402" s="185"/>
      <c r="O402" s="220">
        <v>61</v>
      </c>
      <c r="P402" s="250">
        <v>73</v>
      </c>
    </row>
    <row r="403" spans="10:16" x14ac:dyDescent="0.25">
      <c r="J403" s="606"/>
      <c r="K403" s="200"/>
      <c r="L403" s="202"/>
      <c r="M403" s="202"/>
      <c r="N403" s="202"/>
      <c r="O403" s="176">
        <v>82</v>
      </c>
      <c r="P403" s="251">
        <v>80</v>
      </c>
    </row>
    <row r="404" spans="10:16" ht="15.75" thickBot="1" x14ac:dyDescent="0.3">
      <c r="J404" s="192" t="s">
        <v>13</v>
      </c>
      <c r="K404" s="193">
        <v>0</v>
      </c>
      <c r="L404" s="193">
        <v>0.28999999999999998</v>
      </c>
      <c r="M404" s="194">
        <v>0.3</v>
      </c>
      <c r="N404" s="194">
        <v>0.69</v>
      </c>
      <c r="O404" s="196">
        <v>0.7</v>
      </c>
      <c r="P404" s="197">
        <v>1</v>
      </c>
    </row>
    <row r="406" spans="10:16" x14ac:dyDescent="0.25">
      <c r="K406" s="210" t="s">
        <v>195</v>
      </c>
      <c r="L406" s="210" t="s">
        <v>198</v>
      </c>
    </row>
    <row r="407" spans="10:16" x14ac:dyDescent="0.25">
      <c r="J407" s="306" t="s">
        <v>355</v>
      </c>
      <c r="K407" s="182"/>
      <c r="L407" s="182"/>
    </row>
    <row r="408" spans="10:16" x14ac:dyDescent="0.25">
      <c r="J408" s="366" t="s">
        <v>107</v>
      </c>
      <c r="K408" s="182">
        <v>2.5000000000000001E-2</v>
      </c>
      <c r="L408" s="182">
        <v>-0.15</v>
      </c>
    </row>
    <row r="409" spans="10:16" x14ac:dyDescent="0.25">
      <c r="J409" s="305" t="s">
        <v>108</v>
      </c>
      <c r="K409" s="182">
        <v>-0.82499999999999996</v>
      </c>
      <c r="L409" s="182">
        <v>13</v>
      </c>
    </row>
    <row r="410" spans="10:16" x14ac:dyDescent="0.25">
      <c r="J410" s="182"/>
      <c r="K410" s="182"/>
      <c r="L410" s="215"/>
    </row>
    <row r="411" spans="10:16" x14ac:dyDescent="0.25">
      <c r="J411" s="182"/>
      <c r="K411" s="182"/>
      <c r="L411" s="182"/>
    </row>
    <row r="412" spans="10:16" x14ac:dyDescent="0.25">
      <c r="J412" s="182"/>
      <c r="K412" s="182"/>
      <c r="L412" s="182"/>
    </row>
    <row r="422" spans="11:16" x14ac:dyDescent="0.25">
      <c r="K422" s="175"/>
      <c r="L422" s="175"/>
      <c r="M422" s="175"/>
      <c r="N422" s="175"/>
      <c r="O422" s="175"/>
      <c r="P422" s="175"/>
    </row>
    <row r="423" spans="11:16" x14ac:dyDescent="0.25">
      <c r="K423" s="175"/>
      <c r="L423" s="175"/>
      <c r="M423" s="175"/>
      <c r="N423" s="175"/>
      <c r="O423" s="175"/>
      <c r="P423" s="175"/>
    </row>
    <row r="424" spans="11:16" x14ac:dyDescent="0.25">
      <c r="K424" s="176"/>
      <c r="L424" s="176"/>
      <c r="M424" s="176"/>
      <c r="N424" s="176"/>
      <c r="O424" s="176"/>
      <c r="P424" s="176"/>
    </row>
    <row r="425" spans="11:16" x14ac:dyDescent="0.25">
      <c r="K425" s="176"/>
      <c r="L425" s="176"/>
      <c r="M425" s="176"/>
      <c r="N425" s="176"/>
      <c r="O425" s="176"/>
      <c r="P425" s="176"/>
    </row>
    <row r="426" spans="11:16" x14ac:dyDescent="0.25">
      <c r="K426" s="175"/>
      <c r="L426" s="175"/>
      <c r="M426" s="175"/>
      <c r="N426" s="175"/>
      <c r="O426" s="175"/>
      <c r="P426" s="175"/>
    </row>
    <row r="427" spans="11:16" x14ac:dyDescent="0.25">
      <c r="K427" s="175"/>
      <c r="L427" s="175"/>
      <c r="M427" s="175"/>
      <c r="N427" s="175"/>
      <c r="O427" s="175"/>
      <c r="P427" s="175"/>
    </row>
    <row r="428" spans="11:16" x14ac:dyDescent="0.25">
      <c r="K428" s="175"/>
      <c r="L428" s="175"/>
      <c r="M428" s="175"/>
      <c r="N428" s="175"/>
      <c r="O428" s="175"/>
      <c r="P428" s="175"/>
    </row>
    <row r="429" spans="11:16" x14ac:dyDescent="0.25">
      <c r="K429" s="175"/>
      <c r="L429" s="175"/>
      <c r="M429" s="175"/>
      <c r="N429" s="175"/>
      <c r="O429" s="175"/>
      <c r="P429" s="175"/>
    </row>
    <row r="430" spans="11:16" x14ac:dyDescent="0.25">
      <c r="K430" s="176"/>
      <c r="L430" s="176"/>
      <c r="M430" s="176"/>
      <c r="N430" s="176"/>
      <c r="O430" s="176"/>
      <c r="P430" s="176"/>
    </row>
    <row r="431" spans="11:16" x14ac:dyDescent="0.25">
      <c r="K431" s="176"/>
      <c r="L431" s="176"/>
      <c r="M431" s="176"/>
      <c r="N431" s="176"/>
      <c r="O431" s="176"/>
      <c r="P431" s="176"/>
    </row>
    <row r="432" spans="11:16" x14ac:dyDescent="0.25">
      <c r="K432" s="175"/>
      <c r="L432" s="175"/>
      <c r="M432" s="175"/>
      <c r="N432" s="175"/>
      <c r="O432" s="175"/>
      <c r="P432" s="175"/>
    </row>
    <row r="433" spans="10:16" x14ac:dyDescent="0.25">
      <c r="K433" s="175"/>
      <c r="L433" s="175"/>
      <c r="M433" s="175"/>
      <c r="N433" s="175"/>
      <c r="O433" s="175"/>
      <c r="P433" s="175"/>
    </row>
    <row r="434" spans="10:16" ht="15.75" thickBot="1" x14ac:dyDescent="0.3">
      <c r="J434" s="174" t="s">
        <v>223</v>
      </c>
    </row>
    <row r="435" spans="10:16" x14ac:dyDescent="0.25">
      <c r="J435" s="607" t="s">
        <v>12</v>
      </c>
      <c r="K435" s="230"/>
      <c r="L435" s="185"/>
      <c r="M435" s="185"/>
      <c r="N435" s="220"/>
      <c r="O435" s="185">
        <v>39</v>
      </c>
      <c r="P435" s="186">
        <v>50</v>
      </c>
    </row>
    <row r="436" spans="10:16" x14ac:dyDescent="0.25">
      <c r="J436" s="606"/>
      <c r="K436" s="252"/>
      <c r="L436" s="202"/>
      <c r="M436" s="202"/>
      <c r="N436" s="202"/>
      <c r="O436" s="202">
        <v>69</v>
      </c>
      <c r="P436" s="245">
        <v>60</v>
      </c>
    </row>
    <row r="437" spans="10:16" ht="15.75" thickBot="1" x14ac:dyDescent="0.3">
      <c r="J437" s="404" t="s">
        <v>13</v>
      </c>
      <c r="K437" s="193">
        <v>0</v>
      </c>
      <c r="L437" s="193">
        <v>0.28999999999999998</v>
      </c>
      <c r="M437" s="194">
        <v>0.3</v>
      </c>
      <c r="N437" s="194">
        <v>0.69</v>
      </c>
      <c r="O437" s="196">
        <v>0.7</v>
      </c>
      <c r="P437" s="197">
        <v>1</v>
      </c>
    </row>
    <row r="439" spans="10:16" x14ac:dyDescent="0.25">
      <c r="K439" s="210" t="s">
        <v>195</v>
      </c>
      <c r="L439" s="210" t="s">
        <v>198</v>
      </c>
    </row>
    <row r="440" spans="10:16" x14ac:dyDescent="0.25">
      <c r="J440" s="306" t="s">
        <v>355</v>
      </c>
      <c r="K440" s="182"/>
      <c r="L440" s="182"/>
    </row>
    <row r="441" spans="10:16" x14ac:dyDescent="0.25">
      <c r="J441" s="366" t="s">
        <v>107</v>
      </c>
      <c r="K441" s="182">
        <v>2.7E-2</v>
      </c>
      <c r="L441" s="182">
        <v>-3.3000000000000002E-2</v>
      </c>
    </row>
    <row r="442" spans="10:16" x14ac:dyDescent="0.25">
      <c r="J442" s="305" t="s">
        <v>108</v>
      </c>
      <c r="K442" s="182">
        <v>-0.36399999999999999</v>
      </c>
      <c r="L442" s="215">
        <v>3</v>
      </c>
    </row>
    <row r="443" spans="10:16" x14ac:dyDescent="0.25">
      <c r="J443" s="182"/>
      <c r="K443" s="182"/>
      <c r="L443" s="182"/>
      <c r="N443" s="182"/>
      <c r="O443" s="182"/>
      <c r="P443" s="182"/>
    </row>
    <row r="444" spans="10:16" x14ac:dyDescent="0.25">
      <c r="N444" s="182"/>
      <c r="O444" s="182"/>
      <c r="P444" s="182"/>
    </row>
    <row r="445" spans="10:16" x14ac:dyDescent="0.25">
      <c r="N445" s="182"/>
      <c r="O445" s="182"/>
      <c r="P445" s="182"/>
    </row>
    <row r="446" spans="10:16" x14ac:dyDescent="0.25">
      <c r="N446" s="182"/>
      <c r="O446" s="182"/>
      <c r="P446" s="182"/>
    </row>
    <row r="447" spans="10:16" x14ac:dyDescent="0.25">
      <c r="N447" s="182"/>
      <c r="O447" s="182"/>
      <c r="P447" s="182"/>
    </row>
    <row r="448" spans="10:16" x14ac:dyDescent="0.25">
      <c r="N448" s="182"/>
      <c r="O448" s="182"/>
      <c r="P448" s="182"/>
    </row>
    <row r="449" spans="14:16" x14ac:dyDescent="0.25">
      <c r="N449" s="182"/>
      <c r="O449" s="182"/>
      <c r="P449" s="182"/>
    </row>
    <row r="468" spans="10:16" ht="15.75" thickBot="1" x14ac:dyDescent="0.3">
      <c r="J468" s="174" t="s">
        <v>224</v>
      </c>
    </row>
    <row r="469" spans="10:16" x14ac:dyDescent="0.25">
      <c r="J469" s="605" t="s">
        <v>12</v>
      </c>
      <c r="K469" s="253"/>
      <c r="L469" s="185"/>
      <c r="M469" s="185"/>
      <c r="N469" s="220"/>
      <c r="O469" s="185">
        <v>60</v>
      </c>
      <c r="P469" s="186">
        <v>68</v>
      </c>
    </row>
    <row r="470" spans="10:16" x14ac:dyDescent="0.25">
      <c r="J470" s="606"/>
      <c r="K470" s="254"/>
      <c r="L470" s="202"/>
      <c r="M470" s="202"/>
      <c r="N470" s="176"/>
      <c r="O470" s="202">
        <v>83</v>
      </c>
      <c r="P470" s="245">
        <v>78</v>
      </c>
    </row>
    <row r="471" spans="10:16" ht="15.75" thickBot="1" x14ac:dyDescent="0.3">
      <c r="J471" s="192" t="s">
        <v>13</v>
      </c>
      <c r="K471" s="193">
        <v>0</v>
      </c>
      <c r="L471" s="193">
        <v>0.28999999999999998</v>
      </c>
      <c r="M471" s="194">
        <v>0.3</v>
      </c>
      <c r="N471" s="194">
        <v>0.69</v>
      </c>
      <c r="O471" s="196">
        <v>0.7</v>
      </c>
      <c r="P471" s="197">
        <v>1</v>
      </c>
    </row>
    <row r="473" spans="10:16" x14ac:dyDescent="0.25">
      <c r="K473" s="210" t="s">
        <v>195</v>
      </c>
      <c r="L473" s="210" t="s">
        <v>198</v>
      </c>
    </row>
    <row r="474" spans="10:16" x14ac:dyDescent="0.25">
      <c r="J474" s="306" t="s">
        <v>355</v>
      </c>
      <c r="K474" s="182"/>
      <c r="L474" s="182"/>
    </row>
    <row r="475" spans="10:16" x14ac:dyDescent="0.25">
      <c r="J475" s="366" t="s">
        <v>107</v>
      </c>
      <c r="K475" s="182">
        <v>3.7499999999999999E-2</v>
      </c>
      <c r="L475" s="182">
        <v>-0.06</v>
      </c>
      <c r="N475" s="211"/>
      <c r="O475" s="211"/>
    </row>
    <row r="476" spans="10:16" x14ac:dyDescent="0.25">
      <c r="J476" s="305" t="s">
        <v>108</v>
      </c>
      <c r="K476" s="182">
        <v>-1.55</v>
      </c>
      <c r="L476" s="182">
        <v>5.68</v>
      </c>
    </row>
    <row r="477" spans="10:16" x14ac:dyDescent="0.25">
      <c r="J477" s="182"/>
      <c r="K477" s="182"/>
      <c r="L477" s="215"/>
      <c r="M477" s="213"/>
    </row>
    <row r="478" spans="10:16" x14ac:dyDescent="0.25">
      <c r="J478" s="182"/>
      <c r="K478" s="182"/>
      <c r="L478" s="215"/>
    </row>
    <row r="501" spans="10:17" ht="15.75" thickBot="1" x14ac:dyDescent="0.3">
      <c r="J501" s="174" t="s">
        <v>213</v>
      </c>
    </row>
    <row r="502" spans="10:17" x14ac:dyDescent="0.25">
      <c r="J502" s="179" t="s">
        <v>12</v>
      </c>
      <c r="K502" s="185">
        <v>1.6</v>
      </c>
      <c r="L502" s="185"/>
      <c r="M502" s="185">
        <v>1.4</v>
      </c>
      <c r="N502" s="185">
        <v>1.2</v>
      </c>
      <c r="O502" s="185"/>
      <c r="P502" s="186">
        <v>1</v>
      </c>
    </row>
    <row r="503" spans="10:17" ht="15.75" thickBot="1" x14ac:dyDescent="0.3">
      <c r="J503" s="192" t="s">
        <v>13</v>
      </c>
      <c r="K503" s="193">
        <v>0</v>
      </c>
      <c r="L503" s="193">
        <v>0.28999999999999998</v>
      </c>
      <c r="M503" s="194">
        <v>0.3</v>
      </c>
      <c r="N503" s="194">
        <v>0.69</v>
      </c>
      <c r="O503" s="196">
        <v>0.7</v>
      </c>
      <c r="P503" s="197">
        <v>1</v>
      </c>
    </row>
    <row r="505" spans="10:17" x14ac:dyDescent="0.25">
      <c r="J505" s="174" t="s">
        <v>222</v>
      </c>
    </row>
    <row r="506" spans="10:17" x14ac:dyDescent="0.25">
      <c r="J506" s="218" t="s">
        <v>107</v>
      </c>
      <c r="K506" s="182">
        <v>3.5417000000000001</v>
      </c>
      <c r="L506" s="182"/>
    </row>
    <row r="507" spans="10:17" x14ac:dyDescent="0.25">
      <c r="J507" s="218" t="s">
        <v>108</v>
      </c>
      <c r="K507" s="182">
        <v>-13.75</v>
      </c>
      <c r="L507" s="182"/>
    </row>
    <row r="508" spans="10:17" x14ac:dyDescent="0.25">
      <c r="J508" s="207" t="s">
        <v>110</v>
      </c>
      <c r="K508" s="182">
        <v>15.808</v>
      </c>
      <c r="L508" s="182"/>
    </row>
    <row r="509" spans="10:17" x14ac:dyDescent="0.25">
      <c r="J509" s="207" t="s">
        <v>111</v>
      </c>
      <c r="K509" s="182">
        <v>-4.5999999999999996</v>
      </c>
      <c r="L509" s="215"/>
    </row>
    <row r="510" spans="10:17" x14ac:dyDescent="0.25">
      <c r="J510" s="182"/>
      <c r="K510" s="182"/>
      <c r="L510" s="182"/>
    </row>
    <row r="512" spans="10:17" x14ac:dyDescent="0.25">
      <c r="Q512" s="175"/>
    </row>
    <row r="513" spans="10:17" x14ac:dyDescent="0.25">
      <c r="Q513" s="175"/>
    </row>
    <row r="516" spans="10:17" x14ac:dyDescent="0.25">
      <c r="J516" s="175"/>
    </row>
    <row r="535" spans="10:16" ht="15.75" thickBot="1" x14ac:dyDescent="0.3">
      <c r="J535" s="174" t="s">
        <v>303</v>
      </c>
    </row>
    <row r="536" spans="10:16" x14ac:dyDescent="0.25">
      <c r="J536" s="605" t="s">
        <v>12</v>
      </c>
      <c r="K536" s="185"/>
      <c r="L536" s="185"/>
      <c r="M536" s="185">
        <v>1.2</v>
      </c>
      <c r="N536" s="185">
        <v>1.29</v>
      </c>
      <c r="O536" s="185"/>
      <c r="P536" s="186">
        <v>1.3</v>
      </c>
    </row>
    <row r="537" spans="10:16" x14ac:dyDescent="0.25">
      <c r="J537" s="606"/>
      <c r="K537" s="202"/>
      <c r="L537" s="202"/>
      <c r="M537" s="202">
        <v>2</v>
      </c>
      <c r="N537" s="202">
        <v>1.81</v>
      </c>
      <c r="O537" s="202"/>
      <c r="P537" s="245">
        <v>1.8</v>
      </c>
    </row>
    <row r="538" spans="10:16" ht="15.75" thickBot="1" x14ac:dyDescent="0.3">
      <c r="J538" s="192" t="s">
        <v>13</v>
      </c>
      <c r="K538" s="193">
        <v>0</v>
      </c>
      <c r="L538" s="193">
        <v>0.28999999999999998</v>
      </c>
      <c r="M538" s="194">
        <v>0.3</v>
      </c>
      <c r="N538" s="194">
        <v>0.69</v>
      </c>
      <c r="O538" s="196">
        <v>0.7</v>
      </c>
      <c r="P538" s="197">
        <v>1</v>
      </c>
    </row>
    <row r="540" spans="10:16" x14ac:dyDescent="0.25">
      <c r="K540" s="210" t="s">
        <v>195</v>
      </c>
      <c r="L540" s="210" t="s">
        <v>198</v>
      </c>
      <c r="M540" s="227"/>
    </row>
    <row r="541" spans="10:16" x14ac:dyDescent="0.25">
      <c r="J541" s="306" t="s">
        <v>355</v>
      </c>
      <c r="K541" s="182"/>
      <c r="L541" s="182"/>
    </row>
    <row r="542" spans="10:16" x14ac:dyDescent="0.25">
      <c r="J542" s="207" t="s">
        <v>107</v>
      </c>
      <c r="K542" s="182">
        <v>4.3333000000000004</v>
      </c>
      <c r="L542" s="174">
        <v>-2.0526</v>
      </c>
    </row>
    <row r="543" spans="10:16" x14ac:dyDescent="0.25">
      <c r="J543" s="207" t="s">
        <v>108</v>
      </c>
      <c r="K543" s="182">
        <v>-4.9000000000000004</v>
      </c>
      <c r="L543" s="174">
        <v>4.4053000000000004</v>
      </c>
    </row>
    <row r="544" spans="10:16" x14ac:dyDescent="0.25">
      <c r="K544" s="175"/>
      <c r="L544" s="175"/>
      <c r="M544" s="175"/>
      <c r="N544" s="175"/>
      <c r="O544" s="175"/>
      <c r="P544" s="175"/>
    </row>
    <row r="545" spans="11:16" x14ac:dyDescent="0.25">
      <c r="K545" s="175"/>
      <c r="L545" s="175"/>
      <c r="M545" s="175"/>
      <c r="N545" s="175"/>
      <c r="O545" s="175"/>
      <c r="P545" s="175"/>
    </row>
    <row r="546" spans="11:16" x14ac:dyDescent="0.25">
      <c r="K546" s="175"/>
      <c r="L546" s="175"/>
      <c r="M546" s="175"/>
      <c r="N546" s="175"/>
      <c r="O546" s="175"/>
      <c r="P546" s="175"/>
    </row>
    <row r="547" spans="11:16" x14ac:dyDescent="0.25">
      <c r="K547" s="175"/>
      <c r="L547" s="175"/>
      <c r="M547" s="175"/>
      <c r="N547" s="175"/>
      <c r="O547" s="175"/>
      <c r="P547" s="175"/>
    </row>
    <row r="548" spans="11:16" x14ac:dyDescent="0.25">
      <c r="K548" s="175"/>
      <c r="L548" s="175"/>
      <c r="M548" s="175"/>
      <c r="N548" s="175"/>
      <c r="O548" s="175"/>
      <c r="P548" s="175"/>
    </row>
    <row r="549" spans="11:16" x14ac:dyDescent="0.25">
      <c r="K549" s="175"/>
      <c r="L549" s="175"/>
      <c r="M549" s="175"/>
      <c r="N549" s="175"/>
      <c r="O549" s="175"/>
      <c r="P549" s="175"/>
    </row>
    <row r="550" spans="11:16" x14ac:dyDescent="0.25">
      <c r="K550" s="175"/>
      <c r="L550" s="175"/>
      <c r="M550" s="175"/>
      <c r="N550" s="175"/>
      <c r="O550" s="175"/>
      <c r="P550" s="175"/>
    </row>
    <row r="551" spans="11:16" x14ac:dyDescent="0.25">
      <c r="K551" s="175"/>
      <c r="L551" s="175"/>
      <c r="M551" s="175"/>
      <c r="N551" s="175"/>
      <c r="O551" s="175"/>
      <c r="P551" s="175"/>
    </row>
    <row r="552" spans="11:16" x14ac:dyDescent="0.25">
      <c r="K552" s="175"/>
      <c r="L552" s="175"/>
      <c r="M552" s="175"/>
      <c r="N552" s="175"/>
      <c r="O552" s="175"/>
      <c r="P552" s="175"/>
    </row>
    <row r="553" spans="11:16" x14ac:dyDescent="0.25">
      <c r="K553" s="175"/>
      <c r="L553" s="175"/>
      <c r="M553" s="175"/>
      <c r="N553" s="175"/>
      <c r="O553" s="175"/>
      <c r="P553" s="175"/>
    </row>
    <row r="554" spans="11:16" x14ac:dyDescent="0.25">
      <c r="K554" s="175"/>
      <c r="L554" s="175"/>
      <c r="M554" s="175"/>
      <c r="N554" s="175"/>
      <c r="O554" s="175"/>
      <c r="P554" s="175"/>
    </row>
    <row r="555" spans="11:16" x14ac:dyDescent="0.25">
      <c r="K555" s="175"/>
      <c r="L555" s="175"/>
      <c r="M555" s="175"/>
      <c r="N555" s="175"/>
      <c r="O555" s="175"/>
      <c r="P555" s="175"/>
    </row>
    <row r="556" spans="11:16" x14ac:dyDescent="0.25">
      <c r="K556" s="175"/>
      <c r="L556" s="175"/>
      <c r="M556" s="175"/>
      <c r="N556" s="175"/>
      <c r="O556" s="175"/>
      <c r="P556" s="175"/>
    </row>
    <row r="557" spans="11:16" x14ac:dyDescent="0.25">
      <c r="K557" s="175"/>
      <c r="L557" s="175"/>
      <c r="M557" s="175"/>
      <c r="N557" s="175"/>
      <c r="O557" s="175"/>
      <c r="P557" s="175"/>
    </row>
    <row r="568" spans="10:16" ht="15.75" thickBot="1" x14ac:dyDescent="0.3">
      <c r="J568" s="257" t="s">
        <v>342</v>
      </c>
    </row>
    <row r="569" spans="10:16" x14ac:dyDescent="0.25">
      <c r="J569" s="605" t="s">
        <v>12</v>
      </c>
      <c r="K569" s="185"/>
      <c r="L569" s="185"/>
      <c r="M569" s="185">
        <v>1.1499999999999999</v>
      </c>
      <c r="N569" s="185">
        <v>1.19</v>
      </c>
      <c r="O569" s="185"/>
      <c r="P569" s="185">
        <v>1.2</v>
      </c>
    </row>
    <row r="570" spans="10:16" x14ac:dyDescent="0.25">
      <c r="J570" s="606"/>
      <c r="K570" s="202"/>
      <c r="L570" s="202"/>
      <c r="M570" s="202">
        <v>1.6</v>
      </c>
      <c r="N570" s="176">
        <v>1.51</v>
      </c>
      <c r="O570" s="176"/>
      <c r="P570" s="176">
        <v>1.5</v>
      </c>
    </row>
    <row r="571" spans="10:16" ht="15.75" thickBot="1" x14ac:dyDescent="0.3">
      <c r="J571" s="192" t="s">
        <v>13</v>
      </c>
      <c r="K571" s="193">
        <v>0</v>
      </c>
      <c r="L571" s="193">
        <v>0.28999999999999998</v>
      </c>
      <c r="M571" s="194">
        <v>0.3</v>
      </c>
      <c r="N571" s="194">
        <v>0.69</v>
      </c>
      <c r="O571" s="196">
        <v>0.7</v>
      </c>
      <c r="P571" s="197">
        <v>1</v>
      </c>
    </row>
    <row r="573" spans="10:16" x14ac:dyDescent="0.25">
      <c r="K573" s="210" t="s">
        <v>195</v>
      </c>
      <c r="L573" s="210" t="s">
        <v>198</v>
      </c>
    </row>
    <row r="574" spans="10:16" x14ac:dyDescent="0.25">
      <c r="J574" s="306" t="s">
        <v>355</v>
      </c>
      <c r="K574" s="182"/>
      <c r="L574" s="182"/>
    </row>
    <row r="575" spans="10:16" x14ac:dyDescent="0.25">
      <c r="J575" s="207" t="s">
        <v>107</v>
      </c>
      <c r="K575" s="182">
        <v>9.75</v>
      </c>
      <c r="L575" s="182">
        <v>-4.3333000000000004</v>
      </c>
    </row>
    <row r="576" spans="10:16" x14ac:dyDescent="0.25">
      <c r="J576" s="207" t="s">
        <v>108</v>
      </c>
      <c r="K576" s="182">
        <v>-10.912000000000001</v>
      </c>
      <c r="L576" s="182">
        <v>7.2332999999999998</v>
      </c>
    </row>
    <row r="577" spans="10:12" x14ac:dyDescent="0.25">
      <c r="J577" s="182"/>
      <c r="K577" s="182"/>
      <c r="L577" s="215"/>
    </row>
    <row r="578" spans="10:12" x14ac:dyDescent="0.25">
      <c r="J578" s="182"/>
      <c r="K578" s="182"/>
      <c r="L578" s="182"/>
    </row>
    <row r="579" spans="10:12" x14ac:dyDescent="0.25">
      <c r="K579" s="175"/>
    </row>
    <row r="598" spans="10:16" ht="15.75" thickBot="1" x14ac:dyDescent="0.3">
      <c r="J598" s="257" t="s">
        <v>343</v>
      </c>
    </row>
    <row r="599" spans="10:16" x14ac:dyDescent="0.25">
      <c r="J599" s="179" t="s">
        <v>12</v>
      </c>
      <c r="K599" s="185">
        <v>1</v>
      </c>
      <c r="L599" s="185"/>
      <c r="M599" s="185"/>
      <c r="N599" s="185">
        <v>1.19</v>
      </c>
      <c r="O599" s="185"/>
      <c r="P599" s="186">
        <v>1.2</v>
      </c>
    </row>
    <row r="600" spans="10:16" ht="15.75" thickBot="1" x14ac:dyDescent="0.3">
      <c r="J600" s="192" t="s">
        <v>13</v>
      </c>
      <c r="K600" s="193">
        <v>0</v>
      </c>
      <c r="L600" s="193">
        <v>0.28999999999999998</v>
      </c>
      <c r="M600" s="194">
        <v>0.3</v>
      </c>
      <c r="N600" s="194">
        <v>0.69</v>
      </c>
      <c r="O600" s="196">
        <v>0.7</v>
      </c>
      <c r="P600" s="197">
        <v>1</v>
      </c>
    </row>
    <row r="602" spans="10:16" x14ac:dyDescent="0.25">
      <c r="K602" s="210" t="s">
        <v>195</v>
      </c>
      <c r="L602" s="210" t="s">
        <v>198</v>
      </c>
    </row>
    <row r="603" spans="10:16" x14ac:dyDescent="0.25">
      <c r="J603" s="306" t="s">
        <v>355</v>
      </c>
      <c r="K603" s="182"/>
      <c r="L603" s="182"/>
    </row>
    <row r="604" spans="10:16" x14ac:dyDescent="0.25">
      <c r="J604" s="207" t="s">
        <v>107</v>
      </c>
      <c r="K604" s="182">
        <v>3.6316000000000002</v>
      </c>
      <c r="L604" s="182"/>
    </row>
    <row r="605" spans="10:16" x14ac:dyDescent="0.25">
      <c r="J605" s="207" t="s">
        <v>108</v>
      </c>
      <c r="K605" s="182">
        <v>-3.6316000000000002</v>
      </c>
      <c r="L605" s="182"/>
    </row>
    <row r="606" spans="10:16" x14ac:dyDescent="0.25">
      <c r="K606" s="175"/>
      <c r="L606" s="175"/>
      <c r="M606" s="175"/>
      <c r="N606" s="175"/>
      <c r="O606" s="175"/>
      <c r="P606" s="175"/>
    </row>
    <row r="607" spans="10:16" x14ac:dyDescent="0.25">
      <c r="K607" s="175"/>
      <c r="L607" s="175"/>
      <c r="M607" s="175"/>
      <c r="N607" s="175"/>
      <c r="O607" s="175"/>
      <c r="P607" s="175"/>
    </row>
    <row r="608" spans="10:16" x14ac:dyDescent="0.25">
      <c r="K608" s="175"/>
      <c r="L608" s="175"/>
      <c r="M608" s="175"/>
      <c r="N608" s="175"/>
      <c r="O608" s="175"/>
      <c r="P608" s="175"/>
    </row>
    <row r="609" spans="11:16" x14ac:dyDescent="0.25">
      <c r="K609" s="175"/>
      <c r="L609" s="175"/>
      <c r="M609" s="175"/>
      <c r="N609" s="175"/>
      <c r="O609" s="175"/>
      <c r="P609" s="175"/>
    </row>
    <row r="610" spans="11:16" x14ac:dyDescent="0.25">
      <c r="K610" s="175"/>
      <c r="L610" s="175"/>
      <c r="M610" s="175"/>
      <c r="N610" s="175"/>
      <c r="O610" s="175"/>
      <c r="P610" s="175"/>
    </row>
    <row r="611" spans="11:16" x14ac:dyDescent="0.25">
      <c r="K611" s="175"/>
      <c r="L611" s="175"/>
      <c r="M611" s="175"/>
      <c r="N611" s="175"/>
      <c r="O611" s="175"/>
      <c r="P611" s="175"/>
    </row>
    <row r="612" spans="11:16" x14ac:dyDescent="0.25">
      <c r="K612" s="175"/>
      <c r="L612" s="175"/>
      <c r="M612" s="175"/>
      <c r="N612" s="175"/>
      <c r="O612" s="175"/>
      <c r="P612" s="175"/>
    </row>
    <row r="613" spans="11:16" x14ac:dyDescent="0.25">
      <c r="K613" s="175"/>
      <c r="L613" s="175"/>
      <c r="M613" s="175"/>
      <c r="N613" s="175"/>
      <c r="O613" s="175"/>
      <c r="P613" s="175"/>
    </row>
    <row r="614" spans="11:16" x14ac:dyDescent="0.25">
      <c r="K614" s="175"/>
      <c r="L614" s="175"/>
      <c r="M614" s="175"/>
      <c r="N614" s="175"/>
      <c r="O614" s="175"/>
      <c r="P614" s="175"/>
    </row>
    <row r="615" spans="11:16" x14ac:dyDescent="0.25">
      <c r="K615" s="175"/>
      <c r="L615" s="175"/>
      <c r="M615" s="175"/>
      <c r="N615" s="175"/>
      <c r="O615" s="175"/>
      <c r="P615" s="175"/>
    </row>
    <row r="616" spans="11:16" x14ac:dyDescent="0.25">
      <c r="K616" s="175"/>
      <c r="L616" s="175"/>
      <c r="M616" s="175"/>
      <c r="N616" s="175"/>
      <c r="O616" s="175"/>
      <c r="P616" s="175"/>
    </row>
    <row r="617" spans="11:16" x14ac:dyDescent="0.25">
      <c r="K617" s="175"/>
      <c r="L617" s="175"/>
      <c r="M617" s="175"/>
      <c r="N617" s="175"/>
      <c r="O617" s="175"/>
      <c r="P617" s="175"/>
    </row>
    <row r="618" spans="11:16" x14ac:dyDescent="0.25">
      <c r="K618" s="175"/>
      <c r="L618" s="175"/>
      <c r="M618" s="175"/>
      <c r="N618" s="175"/>
      <c r="O618" s="175"/>
      <c r="P618" s="175"/>
    </row>
    <row r="619" spans="11:16" x14ac:dyDescent="0.25">
      <c r="K619" s="175"/>
      <c r="L619" s="175"/>
      <c r="M619" s="175"/>
      <c r="N619" s="175"/>
      <c r="O619" s="175"/>
      <c r="P619" s="175"/>
    </row>
    <row r="630" spans="10:16" ht="15.75" thickBot="1" x14ac:dyDescent="0.3">
      <c r="J630" s="257" t="s">
        <v>406</v>
      </c>
    </row>
    <row r="631" spans="10:16" x14ac:dyDescent="0.25">
      <c r="J631" s="605" t="s">
        <v>12</v>
      </c>
      <c r="K631" s="185"/>
      <c r="L631" s="185"/>
      <c r="M631" s="185">
        <v>1</v>
      </c>
      <c r="N631" s="185">
        <v>1.0900000000000001</v>
      </c>
      <c r="O631" s="185"/>
      <c r="P631" s="186">
        <v>1.1000000000000001</v>
      </c>
    </row>
    <row r="632" spans="10:16" x14ac:dyDescent="0.25">
      <c r="J632" s="606"/>
      <c r="K632" s="202"/>
      <c r="L632" s="202"/>
      <c r="M632" s="202">
        <v>1.4</v>
      </c>
      <c r="N632" s="202">
        <v>1.31</v>
      </c>
      <c r="O632" s="202"/>
      <c r="P632" s="245">
        <v>1.3</v>
      </c>
    </row>
    <row r="633" spans="10:16" ht="15.75" thickBot="1" x14ac:dyDescent="0.3">
      <c r="J633" s="192" t="s">
        <v>13</v>
      </c>
      <c r="K633" s="193">
        <v>0</v>
      </c>
      <c r="L633" s="193">
        <v>0.28999999999999998</v>
      </c>
      <c r="M633" s="194">
        <v>0.3</v>
      </c>
      <c r="N633" s="194">
        <v>0.69</v>
      </c>
      <c r="O633" s="196">
        <v>0.7</v>
      </c>
      <c r="P633" s="197">
        <v>1</v>
      </c>
    </row>
    <row r="635" spans="10:16" x14ac:dyDescent="0.25">
      <c r="K635" s="210" t="s">
        <v>195</v>
      </c>
      <c r="L635" s="210" t="s">
        <v>198</v>
      </c>
    </row>
    <row r="636" spans="10:16" x14ac:dyDescent="0.25">
      <c r="J636" s="306" t="s">
        <v>355</v>
      </c>
      <c r="K636" s="182"/>
      <c r="L636" s="182"/>
    </row>
    <row r="637" spans="10:16" x14ac:dyDescent="0.25">
      <c r="J637" s="207" t="s">
        <v>107</v>
      </c>
      <c r="K637" s="182">
        <v>4.3333000000000004</v>
      </c>
      <c r="L637" s="182">
        <v>-4.3333000000000004</v>
      </c>
    </row>
    <row r="638" spans="10:16" x14ac:dyDescent="0.25">
      <c r="J638" s="207" t="s">
        <v>108</v>
      </c>
      <c r="K638" s="182">
        <v>-4.0332999999999997</v>
      </c>
      <c r="L638" s="182">
        <v>6.3666999999999998</v>
      </c>
    </row>
    <row r="639" spans="10:16" x14ac:dyDescent="0.25">
      <c r="J639" s="207"/>
      <c r="K639" s="182"/>
      <c r="L639" s="215"/>
    </row>
    <row r="661" spans="10:16" ht="15.75" thickBot="1" x14ac:dyDescent="0.3">
      <c r="J661" s="259" t="s">
        <v>344</v>
      </c>
      <c r="K661" s="182"/>
      <c r="L661" s="182"/>
      <c r="M661" s="182"/>
      <c r="N661" s="182"/>
      <c r="O661" s="182"/>
      <c r="P661" s="182"/>
    </row>
    <row r="662" spans="10:16" x14ac:dyDescent="0.25">
      <c r="J662" s="402" t="s">
        <v>409</v>
      </c>
      <c r="K662" s="187">
        <v>30</v>
      </c>
      <c r="L662" s="187"/>
      <c r="M662" s="280"/>
      <c r="N662" s="280"/>
      <c r="O662" s="280"/>
      <c r="P662" s="281">
        <v>100</v>
      </c>
    </row>
    <row r="663" spans="10:16" x14ac:dyDescent="0.25">
      <c r="J663" s="282" t="s">
        <v>410</v>
      </c>
      <c r="K663" s="175">
        <v>60</v>
      </c>
      <c r="L663" s="175"/>
      <c r="M663" s="283"/>
      <c r="N663" s="284"/>
      <c r="O663" s="284"/>
      <c r="P663" s="285">
        <v>100</v>
      </c>
    </row>
    <row r="664" spans="10:16" ht="15.75" thickBot="1" x14ac:dyDescent="0.3">
      <c r="J664" s="192" t="s">
        <v>13</v>
      </c>
      <c r="K664" s="193">
        <v>0</v>
      </c>
      <c r="L664" s="193">
        <v>0.28999999999999998</v>
      </c>
      <c r="M664" s="194">
        <v>0.3</v>
      </c>
      <c r="N664" s="194">
        <v>0.69</v>
      </c>
      <c r="O664" s="196">
        <v>0.7</v>
      </c>
      <c r="P664" s="197">
        <v>1</v>
      </c>
    </row>
    <row r="666" spans="10:16" x14ac:dyDescent="0.25">
      <c r="J666" s="182"/>
      <c r="K666" s="232" t="s">
        <v>293</v>
      </c>
      <c r="L666" s="232" t="str">
        <f>J663</f>
        <v>Confined Alluvial or Colluvial/V-Shaped Valleys</v>
      </c>
      <c r="M666" s="217"/>
    </row>
    <row r="667" spans="10:16" x14ac:dyDescent="0.25">
      <c r="J667" s="306" t="s">
        <v>355</v>
      </c>
      <c r="K667" s="182"/>
      <c r="L667" s="259"/>
    </row>
    <row r="668" spans="10:16" x14ac:dyDescent="0.25">
      <c r="J668" s="207" t="s">
        <v>107</v>
      </c>
      <c r="K668" s="182">
        <v>1.43E-2</v>
      </c>
      <c r="L668" s="182">
        <v>2.5000000000000001E-2</v>
      </c>
    </row>
    <row r="669" spans="10:16" x14ac:dyDescent="0.25">
      <c r="J669" s="207" t="s">
        <v>108</v>
      </c>
      <c r="K669" s="182">
        <v>-0.42859999999999998</v>
      </c>
      <c r="L669" s="182">
        <v>-1.5</v>
      </c>
    </row>
    <row r="687" spans="17:17" x14ac:dyDescent="0.25">
      <c r="Q687" s="175"/>
    </row>
    <row r="688" spans="17:17" x14ac:dyDescent="0.25">
      <c r="Q688" s="175"/>
    </row>
    <row r="689" spans="10:17" x14ac:dyDescent="0.25">
      <c r="Q689" s="176"/>
    </row>
    <row r="690" spans="10:17" x14ac:dyDescent="0.25">
      <c r="Q690" s="176"/>
    </row>
    <row r="691" spans="10:17" x14ac:dyDescent="0.25">
      <c r="Q691" s="175"/>
    </row>
    <row r="692" spans="10:17" x14ac:dyDescent="0.25">
      <c r="Q692" s="175"/>
    </row>
    <row r="693" spans="10:17" x14ac:dyDescent="0.25">
      <c r="Q693" s="175"/>
    </row>
    <row r="694" spans="10:17" x14ac:dyDescent="0.25">
      <c r="Q694" s="175"/>
    </row>
    <row r="695" spans="10:17" ht="15.75" thickBot="1" x14ac:dyDescent="0.3">
      <c r="J695" s="257" t="s">
        <v>397</v>
      </c>
      <c r="Q695" s="176"/>
    </row>
    <row r="696" spans="10:17" ht="14.45" customHeight="1" x14ac:dyDescent="0.25">
      <c r="J696" s="383" t="s">
        <v>389</v>
      </c>
      <c r="K696" s="220">
        <v>0</v>
      </c>
      <c r="L696" s="293"/>
      <c r="M696" s="220"/>
      <c r="N696" s="293"/>
      <c r="O696" s="220">
        <v>69</v>
      </c>
      <c r="P696" s="294">
        <v>122</v>
      </c>
      <c r="Q696" s="176"/>
    </row>
    <row r="697" spans="10:17" ht="15.75" thickBot="1" x14ac:dyDescent="0.3">
      <c r="J697" s="192" t="s">
        <v>13</v>
      </c>
      <c r="K697" s="234">
        <v>0</v>
      </c>
      <c r="L697" s="234">
        <v>0.28999999999999998</v>
      </c>
      <c r="M697" s="235">
        <v>0.3</v>
      </c>
      <c r="N697" s="235">
        <v>0.69</v>
      </c>
      <c r="O697" s="236">
        <v>0.7</v>
      </c>
      <c r="P697" s="237">
        <v>1</v>
      </c>
      <c r="Q697" s="175"/>
    </row>
    <row r="698" spans="10:17" x14ac:dyDescent="0.25">
      <c r="Q698" s="175"/>
    </row>
    <row r="699" spans="10:17" x14ac:dyDescent="0.25">
      <c r="J699" s="306" t="s">
        <v>301</v>
      </c>
      <c r="K699" s="307"/>
      <c r="L699" s="257"/>
      <c r="M699" s="232"/>
      <c r="Q699" s="175"/>
    </row>
    <row r="700" spans="10:17" x14ac:dyDescent="0.25">
      <c r="J700" s="207" t="s">
        <v>107</v>
      </c>
      <c r="K700" s="182">
        <v>-3.6999999999999998E-5</v>
      </c>
      <c r="M700" s="182"/>
      <c r="Q700" s="175"/>
    </row>
    <row r="701" spans="10:17" x14ac:dyDescent="0.25">
      <c r="J701" s="207" t="s">
        <v>108</v>
      </c>
      <c r="K701" s="182">
        <v>1.2681E-2</v>
      </c>
      <c r="M701" s="182"/>
      <c r="Q701" s="176"/>
    </row>
    <row r="702" spans="10:17" x14ac:dyDescent="0.25">
      <c r="J702" s="207" t="s">
        <v>110</v>
      </c>
      <c r="K702" s="182">
        <v>0</v>
      </c>
      <c r="M702" s="182"/>
      <c r="Q702" s="176"/>
    </row>
    <row r="703" spans="10:17" x14ac:dyDescent="0.25">
      <c r="J703" s="207"/>
      <c r="K703" s="182"/>
      <c r="L703" s="182"/>
      <c r="Q703" s="175"/>
    </row>
    <row r="704" spans="10:17" x14ac:dyDescent="0.25">
      <c r="Q704" s="175"/>
    </row>
    <row r="705" spans="17:17" x14ac:dyDescent="0.25">
      <c r="Q705" s="175"/>
    </row>
    <row r="706" spans="17:17" x14ac:dyDescent="0.25">
      <c r="Q706" s="175"/>
    </row>
    <row r="707" spans="17:17" x14ac:dyDescent="0.25">
      <c r="Q707" s="175"/>
    </row>
    <row r="708" spans="17:17" x14ac:dyDescent="0.25">
      <c r="Q708" s="175"/>
    </row>
    <row r="709" spans="17:17" x14ac:dyDescent="0.25">
      <c r="Q709" s="175"/>
    </row>
    <row r="710" spans="17:17" x14ac:dyDescent="0.25">
      <c r="Q710" s="175"/>
    </row>
    <row r="711" spans="17:17" x14ac:dyDescent="0.25">
      <c r="Q711" s="175"/>
    </row>
    <row r="712" spans="17:17" x14ac:dyDescent="0.25">
      <c r="Q712" s="175"/>
    </row>
    <row r="713" spans="17:17" x14ac:dyDescent="0.25">
      <c r="Q713" s="175"/>
    </row>
    <row r="714" spans="17:17" x14ac:dyDescent="0.25">
      <c r="Q714" s="175"/>
    </row>
    <row r="718" spans="17:17" x14ac:dyDescent="0.25">
      <c r="Q718" s="175"/>
    </row>
    <row r="719" spans="17:17" x14ac:dyDescent="0.25">
      <c r="Q719" s="175"/>
    </row>
    <row r="721" spans="10:17" x14ac:dyDescent="0.25">
      <c r="Q721" s="182"/>
    </row>
    <row r="722" spans="10:17" x14ac:dyDescent="0.25">
      <c r="Q722" s="182"/>
    </row>
    <row r="728" spans="10:17" ht="15.75" thickBot="1" x14ac:dyDescent="0.3">
      <c r="J728" s="257" t="s">
        <v>397</v>
      </c>
    </row>
    <row r="729" spans="10:17" x14ac:dyDescent="0.25">
      <c r="J729" s="608" t="s">
        <v>221</v>
      </c>
      <c r="K729" s="298">
        <v>0</v>
      </c>
      <c r="L729" s="299"/>
      <c r="M729" s="298"/>
      <c r="N729" s="299"/>
      <c r="O729" s="298"/>
      <c r="P729" s="300">
        <v>59</v>
      </c>
    </row>
    <row r="730" spans="10:17" x14ac:dyDescent="0.25">
      <c r="J730" s="609"/>
      <c r="K730" s="295"/>
      <c r="L730" s="296"/>
      <c r="M730" s="295">
        <v>101</v>
      </c>
      <c r="N730" s="296"/>
      <c r="O730" s="295"/>
      <c r="P730" s="297">
        <v>69</v>
      </c>
    </row>
    <row r="731" spans="10:17" ht="15.75" thickBot="1" x14ac:dyDescent="0.3">
      <c r="J731" s="192" t="s">
        <v>13</v>
      </c>
      <c r="K731" s="234">
        <v>0</v>
      </c>
      <c r="L731" s="234">
        <v>0.28999999999999998</v>
      </c>
      <c r="M731" s="235">
        <v>0.3</v>
      </c>
      <c r="N731" s="235">
        <v>0.69</v>
      </c>
      <c r="O731" s="236">
        <v>0.7</v>
      </c>
      <c r="P731" s="237">
        <v>1</v>
      </c>
    </row>
    <row r="733" spans="10:17" x14ac:dyDescent="0.25">
      <c r="J733" s="182"/>
      <c r="K733" s="307" t="s">
        <v>358</v>
      </c>
      <c r="L733" s="307" t="s">
        <v>359</v>
      </c>
      <c r="M733" s="217"/>
    </row>
    <row r="734" spans="10:17" x14ac:dyDescent="0.25">
      <c r="J734" s="306" t="s">
        <v>296</v>
      </c>
      <c r="K734" s="182"/>
      <c r="L734" s="182"/>
    </row>
    <row r="735" spans="10:17" x14ac:dyDescent="0.25">
      <c r="J735" s="305" t="s">
        <v>107</v>
      </c>
      <c r="K735" s="182">
        <v>1.6899999999999998E-2</v>
      </c>
      <c r="L735" s="182">
        <v>-2.1899999999999999E-2</v>
      </c>
    </row>
    <row r="736" spans="10:17" x14ac:dyDescent="0.25">
      <c r="J736" s="305" t="s">
        <v>108</v>
      </c>
      <c r="K736" s="182">
        <v>0</v>
      </c>
      <c r="L736" s="182">
        <v>2.5093999999999999</v>
      </c>
    </row>
    <row r="737" spans="10:12" x14ac:dyDescent="0.25">
      <c r="J737" s="207"/>
      <c r="K737" s="182"/>
      <c r="L737" s="182"/>
    </row>
    <row r="760" spans="10:16" ht="15.75" thickBot="1" x14ac:dyDescent="0.3">
      <c r="J760" s="257" t="s">
        <v>394</v>
      </c>
    </row>
    <row r="761" spans="10:16" x14ac:dyDescent="0.25">
      <c r="J761" s="302" t="s">
        <v>407</v>
      </c>
      <c r="K761" s="180">
        <v>30</v>
      </c>
      <c r="L761" s="180"/>
      <c r="M761" s="180"/>
      <c r="N761" s="180"/>
      <c r="O761" s="180">
        <v>94</v>
      </c>
      <c r="P761" s="181">
        <v>117</v>
      </c>
    </row>
    <row r="762" spans="10:16" x14ac:dyDescent="0.25">
      <c r="J762" s="275" t="s">
        <v>408</v>
      </c>
      <c r="K762" s="184">
        <v>0</v>
      </c>
      <c r="L762" s="184"/>
      <c r="M762" s="184"/>
      <c r="N762" s="184"/>
      <c r="O762" s="184">
        <v>54</v>
      </c>
      <c r="P762" s="301">
        <v>77</v>
      </c>
    </row>
    <row r="763" spans="10:16" ht="15.75" thickBot="1" x14ac:dyDescent="0.3">
      <c r="J763" s="192" t="s">
        <v>13</v>
      </c>
      <c r="K763" s="193">
        <v>0</v>
      </c>
      <c r="L763" s="193">
        <v>0.28999999999999998</v>
      </c>
      <c r="M763" s="194">
        <v>0.3</v>
      </c>
      <c r="N763" s="194">
        <v>0.69</v>
      </c>
      <c r="O763" s="196">
        <v>0.7</v>
      </c>
      <c r="P763" s="197">
        <v>1</v>
      </c>
    </row>
    <row r="765" spans="10:16" x14ac:dyDescent="0.25">
      <c r="J765" s="182"/>
      <c r="K765" s="257" t="str">
        <f>J762</f>
        <v>Forested or Scrub-Shrub Reference Vegetation Cover</v>
      </c>
      <c r="L765" s="257" t="str">
        <f>J761</f>
        <v>Herbaceous Reference Vegetation Cover</v>
      </c>
      <c r="M765" s="257"/>
    </row>
    <row r="766" spans="10:16" x14ac:dyDescent="0.25">
      <c r="J766" s="306" t="s">
        <v>399</v>
      </c>
      <c r="K766" s="238"/>
    </row>
    <row r="767" spans="10:16" x14ac:dyDescent="0.25">
      <c r="J767" s="305" t="s">
        <v>107</v>
      </c>
      <c r="K767" s="238">
        <v>1.2999999999999999E-2</v>
      </c>
      <c r="L767" s="174">
        <v>1.14E-2</v>
      </c>
    </row>
    <row r="768" spans="10:16" x14ac:dyDescent="0.25">
      <c r="J768" s="305" t="s">
        <v>108</v>
      </c>
      <c r="K768" s="238">
        <v>0</v>
      </c>
      <c r="L768" s="174">
        <v>-0.34710000000000002</v>
      </c>
      <c r="M768" s="257"/>
    </row>
    <row r="769" spans="10:11" x14ac:dyDescent="0.25">
      <c r="J769" s="207"/>
      <c r="K769" s="182"/>
    </row>
    <row r="793" spans="10:16" ht="15.75" thickBot="1" x14ac:dyDescent="0.3">
      <c r="J793" s="257" t="s">
        <v>395</v>
      </c>
    </row>
    <row r="794" spans="10:16" x14ac:dyDescent="0.25">
      <c r="J794" s="302" t="s">
        <v>12</v>
      </c>
      <c r="K794" s="180"/>
      <c r="L794" s="180"/>
      <c r="M794" s="180">
        <v>65</v>
      </c>
      <c r="N794" s="180"/>
      <c r="O794" s="180">
        <v>91</v>
      </c>
      <c r="P794" s="181">
        <v>100</v>
      </c>
    </row>
    <row r="795" spans="10:16" ht="15.75" thickBot="1" x14ac:dyDescent="0.3">
      <c r="J795" s="192" t="s">
        <v>13</v>
      </c>
      <c r="K795" s="193">
        <v>0</v>
      </c>
      <c r="L795" s="193">
        <v>0.28999999999999998</v>
      </c>
      <c r="M795" s="194">
        <v>0.3</v>
      </c>
      <c r="N795" s="194">
        <v>0.69</v>
      </c>
      <c r="O795" s="196">
        <v>0.7</v>
      </c>
      <c r="P795" s="197">
        <v>1</v>
      </c>
    </row>
    <row r="797" spans="10:16" x14ac:dyDescent="0.25">
      <c r="K797" s="306" t="s">
        <v>82</v>
      </c>
      <c r="L797" s="257" t="s">
        <v>388</v>
      </c>
      <c r="M797" s="257"/>
    </row>
    <row r="798" spans="10:16" x14ac:dyDescent="0.25">
      <c r="J798" s="306" t="s">
        <v>355</v>
      </c>
      <c r="K798" s="306"/>
      <c r="L798" s="257"/>
      <c r="M798" s="257"/>
    </row>
    <row r="799" spans="10:16" x14ac:dyDescent="0.25">
      <c r="J799" s="305" t="s">
        <v>107</v>
      </c>
      <c r="K799" s="238">
        <v>3.3300000000000003E-2</v>
      </c>
      <c r="L799" s="257">
        <v>1.54E-2</v>
      </c>
    </row>
    <row r="800" spans="10:16" x14ac:dyDescent="0.25">
      <c r="J800" s="305" t="s">
        <v>108</v>
      </c>
      <c r="K800" s="238">
        <v>-2.3332999999999999</v>
      </c>
      <c r="L800" s="174">
        <v>-0.7</v>
      </c>
    </row>
    <row r="801" spans="10:13" x14ac:dyDescent="0.25">
      <c r="J801" s="207"/>
      <c r="K801" s="182"/>
      <c r="M801" s="257"/>
    </row>
    <row r="853" ht="18.600000000000001" customHeight="1" x14ac:dyDescent="0.25"/>
    <row r="854" ht="23.45" customHeight="1" x14ac:dyDescent="0.25"/>
    <row r="855" ht="20.45" customHeight="1" x14ac:dyDescent="0.25"/>
    <row r="961" spans="17:17" x14ac:dyDescent="0.25">
      <c r="Q961" s="175"/>
    </row>
    <row r="962" spans="17:17" x14ac:dyDescent="0.25">
      <c r="Q962" s="175"/>
    </row>
    <row r="963" spans="17:17" x14ac:dyDescent="0.25">
      <c r="Q963" s="175"/>
    </row>
    <row r="964" spans="17:17" x14ac:dyDescent="0.25">
      <c r="Q964" s="175"/>
    </row>
    <row r="965" spans="17:17" x14ac:dyDescent="0.25">
      <c r="Q965" s="175"/>
    </row>
    <row r="966" spans="17:17" x14ac:dyDescent="0.25">
      <c r="Q966" s="175"/>
    </row>
    <row r="967" spans="17:17" x14ac:dyDescent="0.25">
      <c r="Q967" s="175"/>
    </row>
    <row r="968" spans="17:17" x14ac:dyDescent="0.25">
      <c r="Q968" s="175"/>
    </row>
    <row r="969" spans="17:17" x14ac:dyDescent="0.25">
      <c r="Q969" s="175"/>
    </row>
    <row r="970" spans="17:17" x14ac:dyDescent="0.25">
      <c r="Q970" s="175"/>
    </row>
    <row r="971" spans="17:17" x14ac:dyDescent="0.25">
      <c r="Q971" s="175"/>
    </row>
    <row r="972" spans="17:17" x14ac:dyDescent="0.25">
      <c r="Q972" s="175"/>
    </row>
    <row r="973" spans="17:17" x14ac:dyDescent="0.25">
      <c r="Q973" s="175"/>
    </row>
  </sheetData>
  <sheetProtection algorithmName="SHA-512" hashValue="Eb9wir5QYFFJx8Df6yTfhEEz9rWOfTJeKWP+ph1V8s8XIoR+EdcBOjKet4DmV3WfarSFfDBbu/EvUKLiz2rg+w==" saltValue="yHtmeOZHuRJZuQN2xrxhkA==" spinCount="100000" sheet="1" formatColumns="0" formatRows="0"/>
  <mergeCells count="35">
    <mergeCell ref="AH14:AI14"/>
    <mergeCell ref="J631:J632"/>
    <mergeCell ref="AB89:AC89"/>
    <mergeCell ref="AB51:AD51"/>
    <mergeCell ref="AE51:AG51"/>
    <mergeCell ref="AH51:AJ51"/>
    <mergeCell ref="AF163:AH163"/>
    <mergeCell ref="AB201:AD201"/>
    <mergeCell ref="AE201:AF201"/>
    <mergeCell ref="AF89:AF90"/>
    <mergeCell ref="AC124:AD124"/>
    <mergeCell ref="AB239:AC239"/>
    <mergeCell ref="AD239:AE239"/>
    <mergeCell ref="AF239:AH239"/>
    <mergeCell ref="AB124:AB125"/>
    <mergeCell ref="AB163:AD163"/>
    <mergeCell ref="AE163:AE164"/>
    <mergeCell ref="AA5:AG6"/>
    <mergeCell ref="R5:Y6"/>
    <mergeCell ref="AD89:AE89"/>
    <mergeCell ref="AB14:AD14"/>
    <mergeCell ref="AE14:AG14"/>
    <mergeCell ref="B5:H6"/>
    <mergeCell ref="J5:P6"/>
    <mergeCell ref="J207:J208"/>
    <mergeCell ref="J241:J242"/>
    <mergeCell ref="B69:B70"/>
    <mergeCell ref="AG201:AH201"/>
    <mergeCell ref="J337:J338"/>
    <mergeCell ref="J402:J403"/>
    <mergeCell ref="J435:J436"/>
    <mergeCell ref="J729:J730"/>
    <mergeCell ref="J536:J537"/>
    <mergeCell ref="J469:J470"/>
    <mergeCell ref="J569:J570"/>
  </mergeCells>
  <printOptions gridLines="1"/>
  <pageMargins left="0.7" right="0.7" top="0.75" bottom="0.75" header="0.3" footer="0.3"/>
  <pageSetup scale="20" fitToWidth="3" fitToHeight="0" orientation="portrait" r:id="rId1"/>
  <rowBreaks count="5" manualBreakCount="5">
    <brk id="165" max="16383" man="1"/>
    <brk id="209" max="16383" man="1"/>
    <brk id="360" max="16383" man="1"/>
    <brk id="517" max="16383" man="1"/>
    <brk id="676" max="16383" man="1"/>
  </rowBreaks>
  <colBreaks count="2" manualBreakCount="2">
    <brk id="8" max="1048575" man="1"/>
    <brk id="2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1"/>
  <sheetViews>
    <sheetView topLeftCell="A121" workbookViewId="0">
      <selection activeCell="G132" sqref="G132"/>
    </sheetView>
  </sheetViews>
  <sheetFormatPr defaultRowHeight="15" x14ac:dyDescent="0.25"/>
  <cols>
    <col min="1" max="1" width="8.85546875" style="3"/>
    <col min="2" max="2" width="15.5703125" customWidth="1"/>
  </cols>
  <sheetData>
    <row r="1" spans="1:2" s="2" customFormat="1" x14ac:dyDescent="0.25">
      <c r="A1" s="3" t="s">
        <v>160</v>
      </c>
      <c r="B1" s="3"/>
    </row>
    <row r="2" spans="1:2" x14ac:dyDescent="0.25">
      <c r="B2" s="2" t="s">
        <v>17</v>
      </c>
    </row>
    <row r="3" spans="1:2" s="2" customFormat="1" x14ac:dyDescent="0.25">
      <c r="A3" s="3"/>
      <c r="B3" s="2" t="s">
        <v>190</v>
      </c>
    </row>
    <row r="4" spans="1:2" x14ac:dyDescent="0.25">
      <c r="B4" t="s">
        <v>10</v>
      </c>
    </row>
    <row r="5" spans="1:2" x14ac:dyDescent="0.25">
      <c r="B5" t="s">
        <v>11</v>
      </c>
    </row>
    <row r="6" spans="1:2" x14ac:dyDescent="0.25">
      <c r="B6" t="s">
        <v>8</v>
      </c>
    </row>
    <row r="7" spans="1:2" s="2" customFormat="1" x14ac:dyDescent="0.25">
      <c r="A7" s="3"/>
      <c r="B7" s="2" t="s">
        <v>191</v>
      </c>
    </row>
    <row r="8" spans="1:2" x14ac:dyDescent="0.25">
      <c r="B8" t="s">
        <v>9</v>
      </c>
    </row>
    <row r="9" spans="1:2" s="2" customFormat="1" x14ac:dyDescent="0.25">
      <c r="A9" s="3"/>
      <c r="B9" s="2" t="s">
        <v>82</v>
      </c>
    </row>
    <row r="10" spans="1:2" s="2" customFormat="1" x14ac:dyDescent="0.25">
      <c r="A10" s="3"/>
      <c r="B10" s="2" t="s">
        <v>83</v>
      </c>
    </row>
    <row r="11" spans="1:2" s="2" customFormat="1" x14ac:dyDescent="0.25">
      <c r="A11" s="3"/>
      <c r="B11" s="2" t="s">
        <v>88</v>
      </c>
    </row>
    <row r="13" spans="1:2" x14ac:dyDescent="0.25">
      <c r="A13" s="38" t="s">
        <v>161</v>
      </c>
      <c r="B13" s="38"/>
    </row>
    <row r="14" spans="1:2" x14ac:dyDescent="0.25">
      <c r="A14" s="38"/>
      <c r="B14" s="1" t="s">
        <v>371</v>
      </c>
    </row>
    <row r="15" spans="1:2" s="317" customFormat="1" x14ac:dyDescent="0.25">
      <c r="A15" s="38"/>
      <c r="B15" s="1" t="s">
        <v>18</v>
      </c>
    </row>
    <row r="16" spans="1:2" s="317" customFormat="1" x14ac:dyDescent="0.25">
      <c r="A16" s="38"/>
      <c r="B16" s="1" t="s">
        <v>372</v>
      </c>
    </row>
    <row r="17" spans="1:2" s="317" customFormat="1" x14ac:dyDescent="0.25">
      <c r="A17" s="38"/>
      <c r="B17" s="1" t="s">
        <v>373</v>
      </c>
    </row>
    <row r="18" spans="1:2" s="317" customFormat="1" x14ac:dyDescent="0.25">
      <c r="A18" s="38"/>
      <c r="B18" s="1" t="s">
        <v>374</v>
      </c>
    </row>
    <row r="19" spans="1:2" x14ac:dyDescent="0.25">
      <c r="A19" s="38"/>
      <c r="B19" s="1" t="s">
        <v>375</v>
      </c>
    </row>
    <row r="20" spans="1:2" s="2" customFormat="1" x14ac:dyDescent="0.25">
      <c r="A20" s="3"/>
    </row>
    <row r="21" spans="1:2" s="2" customFormat="1" x14ac:dyDescent="0.25">
      <c r="A21" s="3" t="s">
        <v>162</v>
      </c>
      <c r="B21" s="3"/>
    </row>
    <row r="22" spans="1:2" x14ac:dyDescent="0.25">
      <c r="B22" t="s">
        <v>22</v>
      </c>
    </row>
    <row r="23" spans="1:2" x14ac:dyDescent="0.25">
      <c r="B23" t="s">
        <v>23</v>
      </c>
    </row>
    <row r="24" spans="1:2" x14ac:dyDescent="0.25">
      <c r="B24" t="s">
        <v>24</v>
      </c>
    </row>
    <row r="25" spans="1:2" x14ac:dyDescent="0.25">
      <c r="B25" t="s">
        <v>25</v>
      </c>
    </row>
    <row r="26" spans="1:2" x14ac:dyDescent="0.25">
      <c r="B26" t="s">
        <v>26</v>
      </c>
    </row>
    <row r="27" spans="1:2" x14ac:dyDescent="0.25">
      <c r="B27" t="s">
        <v>31</v>
      </c>
    </row>
    <row r="28" spans="1:2" x14ac:dyDescent="0.25">
      <c r="B28" t="s">
        <v>27</v>
      </c>
    </row>
    <row r="29" spans="1:2" x14ac:dyDescent="0.25">
      <c r="B29" t="s">
        <v>28</v>
      </c>
    </row>
    <row r="30" spans="1:2" x14ac:dyDescent="0.25">
      <c r="B30" t="s">
        <v>29</v>
      </c>
    </row>
    <row r="31" spans="1:2" x14ac:dyDescent="0.25">
      <c r="B31" t="s">
        <v>30</v>
      </c>
    </row>
    <row r="32" spans="1:2" s="2" customFormat="1" x14ac:dyDescent="0.25">
      <c r="A32" s="3"/>
      <c r="B32" s="2" t="s">
        <v>90</v>
      </c>
    </row>
    <row r="33" spans="1:2" s="2" customFormat="1" x14ac:dyDescent="0.25">
      <c r="A33" s="3"/>
      <c r="B33" s="2" t="s">
        <v>89</v>
      </c>
    </row>
    <row r="34" spans="1:2" s="2" customFormat="1" x14ac:dyDescent="0.25">
      <c r="A34" s="3"/>
      <c r="B34" s="2" t="s">
        <v>91</v>
      </c>
    </row>
    <row r="35" spans="1:2" x14ac:dyDescent="0.25">
      <c r="B35" t="s">
        <v>32</v>
      </c>
    </row>
    <row r="36" spans="1:2" x14ac:dyDescent="0.25">
      <c r="B36" t="s">
        <v>33</v>
      </c>
    </row>
    <row r="37" spans="1:2" x14ac:dyDescent="0.25">
      <c r="B37" t="s">
        <v>34</v>
      </c>
    </row>
    <row r="38" spans="1:2" s="2" customFormat="1" x14ac:dyDescent="0.25">
      <c r="A38" s="3"/>
      <c r="B38" s="2" t="s">
        <v>92</v>
      </c>
    </row>
    <row r="39" spans="1:2" x14ac:dyDescent="0.25">
      <c r="B39" t="s">
        <v>37</v>
      </c>
    </row>
    <row r="40" spans="1:2" x14ac:dyDescent="0.25">
      <c r="B40" t="s">
        <v>35</v>
      </c>
    </row>
    <row r="41" spans="1:2" s="2" customFormat="1" x14ac:dyDescent="0.25">
      <c r="A41" s="3"/>
      <c r="B41" s="2" t="s">
        <v>93</v>
      </c>
    </row>
    <row r="42" spans="1:2" s="2" customFormat="1" x14ac:dyDescent="0.25">
      <c r="A42" s="3"/>
      <c r="B42" s="2" t="s">
        <v>94</v>
      </c>
    </row>
    <row r="43" spans="1:2" s="2" customFormat="1" x14ac:dyDescent="0.25">
      <c r="A43" s="3"/>
      <c r="B43" s="2" t="s">
        <v>95</v>
      </c>
    </row>
    <row r="44" spans="1:2" s="2" customFormat="1" x14ac:dyDescent="0.25">
      <c r="A44" s="3"/>
      <c r="B44" s="2" t="s">
        <v>41</v>
      </c>
    </row>
    <row r="45" spans="1:2" x14ac:dyDescent="0.25">
      <c r="B45" t="s">
        <v>96</v>
      </c>
    </row>
    <row r="46" spans="1:2" x14ac:dyDescent="0.25">
      <c r="B46" t="s">
        <v>36</v>
      </c>
    </row>
    <row r="47" spans="1:2" s="2" customFormat="1" x14ac:dyDescent="0.25">
      <c r="A47" s="3"/>
      <c r="B47" s="2" t="s">
        <v>97</v>
      </c>
    </row>
    <row r="48" spans="1:2" x14ac:dyDescent="0.25">
      <c r="B48" t="s">
        <v>38</v>
      </c>
    </row>
    <row r="49" spans="1:2" x14ac:dyDescent="0.25">
      <c r="B49" t="s">
        <v>39</v>
      </c>
    </row>
    <row r="50" spans="1:2" x14ac:dyDescent="0.25">
      <c r="B50" t="s">
        <v>40</v>
      </c>
    </row>
    <row r="51" spans="1:2" x14ac:dyDescent="0.25">
      <c r="B51" t="s">
        <v>42</v>
      </c>
    </row>
    <row r="52" spans="1:2" s="2" customFormat="1" x14ac:dyDescent="0.25">
      <c r="A52" s="3"/>
    </row>
    <row r="53" spans="1:2" s="2" customFormat="1" x14ac:dyDescent="0.25">
      <c r="A53" s="3"/>
    </row>
    <row r="54" spans="1:2" x14ac:dyDescent="0.25">
      <c r="A54" s="3" t="s">
        <v>163</v>
      </c>
    </row>
    <row r="55" spans="1:2" x14ac:dyDescent="0.25">
      <c r="B55" t="s">
        <v>387</v>
      </c>
    </row>
    <row r="56" spans="1:2" x14ac:dyDescent="0.25">
      <c r="B56" t="s">
        <v>386</v>
      </c>
    </row>
    <row r="57" spans="1:2" s="2" customFormat="1" x14ac:dyDescent="0.25">
      <c r="A57" s="3"/>
    </row>
    <row r="58" spans="1:2" s="2" customFormat="1" x14ac:dyDescent="0.25">
      <c r="A58" s="3" t="s">
        <v>219</v>
      </c>
    </row>
    <row r="59" spans="1:2" s="2" customFormat="1" x14ac:dyDescent="0.25">
      <c r="A59" s="3"/>
      <c r="B59" s="2" t="s">
        <v>220</v>
      </c>
    </row>
    <row r="60" spans="1:2" s="2" customFormat="1" x14ac:dyDescent="0.25">
      <c r="A60" s="3"/>
      <c r="B60" s="2" t="s">
        <v>221</v>
      </c>
    </row>
    <row r="61" spans="1:2" s="2" customFormat="1" x14ac:dyDescent="0.25">
      <c r="A61" s="3"/>
      <c r="B61" s="2" t="s">
        <v>267</v>
      </c>
    </row>
    <row r="62" spans="1:2" s="2" customFormat="1" x14ac:dyDescent="0.25">
      <c r="A62" s="3"/>
    </row>
    <row r="63" spans="1:2" x14ac:dyDescent="0.25">
      <c r="A63" s="38" t="s">
        <v>169</v>
      </c>
    </row>
    <row r="64" spans="1:2" x14ac:dyDescent="0.25">
      <c r="B64" s="2" t="s">
        <v>188</v>
      </c>
    </row>
    <row r="65" spans="1:2" s="2" customFormat="1" x14ac:dyDescent="0.25">
      <c r="A65" s="3"/>
      <c r="B65" s="2" t="s">
        <v>174</v>
      </c>
    </row>
    <row r="66" spans="1:2" s="2" customFormat="1" x14ac:dyDescent="0.25">
      <c r="A66" s="3"/>
      <c r="B66" s="2" t="s">
        <v>177</v>
      </c>
    </row>
    <row r="67" spans="1:2" s="2" customFormat="1" x14ac:dyDescent="0.25">
      <c r="A67" s="3"/>
      <c r="B67" s="2" t="s">
        <v>175</v>
      </c>
    </row>
    <row r="68" spans="1:2" s="2" customFormat="1" x14ac:dyDescent="0.25">
      <c r="A68" s="3"/>
      <c r="B68" s="2" t="s">
        <v>171</v>
      </c>
    </row>
    <row r="69" spans="1:2" s="2" customFormat="1" x14ac:dyDescent="0.25">
      <c r="A69" s="3"/>
      <c r="B69" s="2" t="s">
        <v>170</v>
      </c>
    </row>
    <row r="70" spans="1:2" s="2" customFormat="1" x14ac:dyDescent="0.25">
      <c r="A70" s="3"/>
      <c r="B70" s="2" t="s">
        <v>176</v>
      </c>
    </row>
    <row r="71" spans="1:2" s="2" customFormat="1" x14ac:dyDescent="0.25">
      <c r="A71" s="3"/>
      <c r="B71" s="2" t="s">
        <v>172</v>
      </c>
    </row>
    <row r="72" spans="1:2" s="2" customFormat="1" x14ac:dyDescent="0.25">
      <c r="A72" s="3"/>
      <c r="B72" s="2" t="s">
        <v>173</v>
      </c>
    </row>
    <row r="73" spans="1:2" x14ac:dyDescent="0.25">
      <c r="B73" s="2" t="s">
        <v>178</v>
      </c>
    </row>
    <row r="74" spans="1:2" x14ac:dyDescent="0.25">
      <c r="B74" s="2" t="s">
        <v>179</v>
      </c>
    </row>
    <row r="76" spans="1:2" x14ac:dyDescent="0.25">
      <c r="A76" s="3" t="s">
        <v>164</v>
      </c>
    </row>
    <row r="77" spans="1:2" x14ac:dyDescent="0.25">
      <c r="B77" t="s">
        <v>55</v>
      </c>
    </row>
    <row r="78" spans="1:2" x14ac:dyDescent="0.25">
      <c r="B78" t="s">
        <v>56</v>
      </c>
    </row>
    <row r="80" spans="1:2" x14ac:dyDescent="0.25">
      <c r="A80" s="3" t="s">
        <v>72</v>
      </c>
    </row>
    <row r="81" spans="1:2" x14ac:dyDescent="0.25">
      <c r="B81" t="s">
        <v>277</v>
      </c>
    </row>
    <row r="82" spans="1:2" s="2" customFormat="1" x14ac:dyDescent="0.25">
      <c r="A82" s="3"/>
      <c r="B82" s="2" t="s">
        <v>278</v>
      </c>
    </row>
    <row r="83" spans="1:2" x14ac:dyDescent="0.25">
      <c r="B83" t="s">
        <v>69</v>
      </c>
    </row>
    <row r="84" spans="1:2" x14ac:dyDescent="0.25">
      <c r="B84" t="s">
        <v>70</v>
      </c>
    </row>
    <row r="85" spans="1:2" x14ac:dyDescent="0.25">
      <c r="B85" t="s">
        <v>71</v>
      </c>
    </row>
    <row r="87" spans="1:2" x14ac:dyDescent="0.25">
      <c r="A87" s="3" t="s">
        <v>165</v>
      </c>
    </row>
    <row r="88" spans="1:2" x14ac:dyDescent="0.25">
      <c r="B88" s="56" t="s">
        <v>180</v>
      </c>
    </row>
    <row r="89" spans="1:2" x14ac:dyDescent="0.25">
      <c r="B89" s="56" t="s">
        <v>181</v>
      </c>
    </row>
    <row r="90" spans="1:2" ht="30" x14ac:dyDescent="0.25">
      <c r="B90" s="56" t="s">
        <v>182</v>
      </c>
    </row>
    <row r="91" spans="1:2" x14ac:dyDescent="0.25">
      <c r="B91" s="56" t="s">
        <v>183</v>
      </c>
    </row>
    <row r="92" spans="1:2" ht="30" x14ac:dyDescent="0.25">
      <c r="B92" s="56" t="s">
        <v>184</v>
      </c>
    </row>
    <row r="93" spans="1:2" ht="30" x14ac:dyDescent="0.25">
      <c r="B93" s="56" t="s">
        <v>185</v>
      </c>
    </row>
    <row r="94" spans="1:2" s="2" customFormat="1" x14ac:dyDescent="0.25">
      <c r="A94" s="3"/>
    </row>
    <row r="95" spans="1:2" x14ac:dyDescent="0.25">
      <c r="A95" s="3" t="s">
        <v>166</v>
      </c>
    </row>
    <row r="96" spans="1:2" x14ac:dyDescent="0.25">
      <c r="B96" t="s">
        <v>214</v>
      </c>
    </row>
    <row r="97" spans="1:2" s="2" customFormat="1" x14ac:dyDescent="0.25">
      <c r="A97" s="3"/>
      <c r="B97" s="2" t="s">
        <v>215</v>
      </c>
    </row>
    <row r="98" spans="1:2" s="2" customFormat="1" x14ac:dyDescent="0.25">
      <c r="A98" s="3"/>
      <c r="B98" s="2" t="s">
        <v>216</v>
      </c>
    </row>
    <row r="99" spans="1:2" x14ac:dyDescent="0.25">
      <c r="B99" t="s">
        <v>217</v>
      </c>
    </row>
    <row r="100" spans="1:2" x14ac:dyDescent="0.25">
      <c r="B100" t="s">
        <v>218</v>
      </c>
    </row>
    <row r="101" spans="1:2" s="2" customFormat="1" x14ac:dyDescent="0.25">
      <c r="A101" s="3"/>
    </row>
    <row r="102" spans="1:2" x14ac:dyDescent="0.25">
      <c r="A102" s="3" t="s">
        <v>167</v>
      </c>
    </row>
    <row r="103" spans="1:2" x14ac:dyDescent="0.25">
      <c r="B103" t="s">
        <v>123</v>
      </c>
    </row>
    <row r="104" spans="1:2" x14ac:dyDescent="0.25">
      <c r="B104" t="s">
        <v>82</v>
      </c>
    </row>
    <row r="105" spans="1:2" x14ac:dyDescent="0.25">
      <c r="B105" t="s">
        <v>83</v>
      </c>
    </row>
    <row r="107" spans="1:2" x14ac:dyDescent="0.25">
      <c r="A107" s="3" t="s">
        <v>86</v>
      </c>
    </row>
    <row r="108" spans="1:2" ht="18" x14ac:dyDescent="0.35">
      <c r="B108" t="s">
        <v>206</v>
      </c>
    </row>
    <row r="109" spans="1:2" ht="18" x14ac:dyDescent="0.35">
      <c r="B109" s="2" t="s">
        <v>205</v>
      </c>
    </row>
    <row r="110" spans="1:2" ht="18" x14ac:dyDescent="0.35">
      <c r="B110" t="s">
        <v>204</v>
      </c>
    </row>
    <row r="111" spans="1:2" ht="18" x14ac:dyDescent="0.35">
      <c r="B111" t="s">
        <v>209</v>
      </c>
    </row>
    <row r="112" spans="1:2" ht="18" x14ac:dyDescent="0.35">
      <c r="B112" t="s">
        <v>208</v>
      </c>
    </row>
    <row r="113" spans="1:2" ht="18" x14ac:dyDescent="0.35">
      <c r="B113" t="s">
        <v>207</v>
      </c>
    </row>
    <row r="114" spans="1:2" ht="18" x14ac:dyDescent="0.35">
      <c r="B114" t="s">
        <v>212</v>
      </c>
    </row>
    <row r="115" spans="1:2" ht="18" x14ac:dyDescent="0.35">
      <c r="B115" t="s">
        <v>211</v>
      </c>
    </row>
    <row r="116" spans="1:2" ht="18" x14ac:dyDescent="0.35">
      <c r="B116" t="s">
        <v>210</v>
      </c>
    </row>
    <row r="118" spans="1:2" x14ac:dyDescent="0.25">
      <c r="A118" s="3" t="s">
        <v>168</v>
      </c>
    </row>
    <row r="119" spans="1:2" x14ac:dyDescent="0.25">
      <c r="B119" t="s">
        <v>116</v>
      </c>
    </row>
    <row r="120" spans="1:2" x14ac:dyDescent="0.25">
      <c r="B120" t="s">
        <v>117</v>
      </c>
    </row>
    <row r="121" spans="1:2" x14ac:dyDescent="0.25">
      <c r="B121" t="s">
        <v>118</v>
      </c>
    </row>
    <row r="122" spans="1:2" s="2" customFormat="1" x14ac:dyDescent="0.25">
      <c r="A122" s="3"/>
    </row>
    <row r="123" spans="1:2" x14ac:dyDescent="0.25">
      <c r="A123" s="3" t="s">
        <v>231</v>
      </c>
    </row>
    <row r="124" spans="1:2" x14ac:dyDescent="0.25">
      <c r="B124" t="s">
        <v>232</v>
      </c>
    </row>
    <row r="125" spans="1:2" x14ac:dyDescent="0.25">
      <c r="B125" t="s">
        <v>228</v>
      </c>
    </row>
    <row r="126" spans="1:2" x14ac:dyDescent="0.25">
      <c r="B126" t="s">
        <v>229</v>
      </c>
    </row>
    <row r="127" spans="1:2" x14ac:dyDescent="0.25">
      <c r="B127" t="s">
        <v>230</v>
      </c>
    </row>
    <row r="129" spans="1:2" x14ac:dyDescent="0.25">
      <c r="A129" s="3" t="s">
        <v>233</v>
      </c>
    </row>
    <row r="130" spans="1:2" x14ac:dyDescent="0.25">
      <c r="B130" t="s">
        <v>234</v>
      </c>
    </row>
    <row r="131" spans="1:2" x14ac:dyDescent="0.25">
      <c r="B131" t="s">
        <v>235</v>
      </c>
    </row>
    <row r="132" spans="1:2" x14ac:dyDescent="0.25">
      <c r="B132" t="s">
        <v>236</v>
      </c>
    </row>
    <row r="134" spans="1:2" x14ac:dyDescent="0.25">
      <c r="A134" s="3" t="s">
        <v>251</v>
      </c>
    </row>
    <row r="135" spans="1:2" s="2" customFormat="1" x14ac:dyDescent="0.25">
      <c r="A135" s="3"/>
      <c r="B135" s="2" t="s">
        <v>293</v>
      </c>
    </row>
    <row r="136" spans="1:2" x14ac:dyDescent="0.25">
      <c r="B136" s="2" t="s">
        <v>294</v>
      </c>
    </row>
    <row r="137" spans="1:2" x14ac:dyDescent="0.25">
      <c r="B137" s="2" t="s">
        <v>295</v>
      </c>
    </row>
    <row r="139" spans="1:2" x14ac:dyDescent="0.25">
      <c r="A139" s="3" t="s">
        <v>258</v>
      </c>
    </row>
    <row r="140" spans="1:2" x14ac:dyDescent="0.25">
      <c r="B140" s="2" t="s">
        <v>262</v>
      </c>
    </row>
    <row r="141" spans="1:2" x14ac:dyDescent="0.25">
      <c r="B141" s="2" t="s">
        <v>254</v>
      </c>
    </row>
    <row r="142" spans="1:2" x14ac:dyDescent="0.25">
      <c r="B142" s="2" t="s">
        <v>263</v>
      </c>
    </row>
    <row r="143" spans="1:2" x14ac:dyDescent="0.25">
      <c r="B143" s="2" t="s">
        <v>264</v>
      </c>
    </row>
    <row r="144" spans="1:2" x14ac:dyDescent="0.25">
      <c r="B144" s="2" t="s">
        <v>265</v>
      </c>
    </row>
    <row r="145" spans="1:2" x14ac:dyDescent="0.25">
      <c r="B145" s="2" t="s">
        <v>266</v>
      </c>
    </row>
    <row r="147" spans="1:2" x14ac:dyDescent="0.25">
      <c r="A147" s="3" t="s">
        <v>279</v>
      </c>
    </row>
    <row r="148" spans="1:2" s="2" customFormat="1" x14ac:dyDescent="0.25">
      <c r="A148" s="3"/>
      <c r="B148" s="2" t="s">
        <v>259</v>
      </c>
    </row>
    <row r="149" spans="1:2" x14ac:dyDescent="0.25">
      <c r="B149" s="57">
        <v>1</v>
      </c>
    </row>
    <row r="150" spans="1:2" x14ac:dyDescent="0.25">
      <c r="B150" s="57">
        <v>2</v>
      </c>
    </row>
    <row r="151" spans="1:2" x14ac:dyDescent="0.25">
      <c r="B151" s="57">
        <v>3</v>
      </c>
    </row>
  </sheetData>
  <sortState ref="B64:B74">
    <sortCondition ref="B6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Project Assessment</vt:lpstr>
      <vt:lpstr>Catchment Assessment</vt:lpstr>
      <vt:lpstr>Quantification Tool</vt:lpstr>
      <vt:lpstr>Monitoring Data</vt:lpstr>
      <vt:lpstr>Data Summary</vt:lpstr>
      <vt:lpstr>Debit Tool</vt:lpstr>
      <vt:lpstr>Reference Curves</vt:lpstr>
      <vt:lpstr>Pull Down Notes</vt:lpstr>
      <vt:lpstr>BedMaterial</vt:lpstr>
      <vt:lpstr>BEHI.NBS</vt:lpstr>
      <vt:lpstr>CatchmentAssessment</vt:lpstr>
      <vt:lpstr>CatchmentAssessmentQuat</vt:lpstr>
      <vt:lpstr>Level</vt:lpstr>
      <vt:lpstr>'Debit Tool'!Print_Area</vt:lpstr>
      <vt:lpstr>'Monitoring Data'!Print_Area</vt:lpstr>
      <vt:lpstr>'Quantification Tool'!Print_Area</vt:lpstr>
      <vt:lpstr>ProgramGoals</vt:lpstr>
      <vt:lpstr>Region</vt:lpstr>
      <vt:lpstr>RiverBasins</vt:lpstr>
      <vt:lpstr>StreamType</vt:lpstr>
      <vt:lpstr>WaterTypes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McCarthy, Julia</cp:lastModifiedBy>
  <cp:lastPrinted>2017-07-28T16:07:49Z</cp:lastPrinted>
  <dcterms:created xsi:type="dcterms:W3CDTF">2014-08-22T20:36:47Z</dcterms:created>
  <dcterms:modified xsi:type="dcterms:W3CDTF">2018-10-23T13:32:17Z</dcterms:modified>
</cp:coreProperties>
</file>