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C:\Egnyte\Shared\EPR Folder\MN\Debit Tool\"/>
    </mc:Choice>
  </mc:AlternateContent>
  <xr:revisionPtr revIDLastSave="0" documentId="13_ncr:1_{69B935BF-3C46-4378-BABF-3190EE23DEBC}" xr6:coauthVersionLast="43" xr6:coauthVersionMax="43" xr10:uidLastSave="{00000000-0000-0000-0000-000000000000}"/>
  <bookViews>
    <workbookView xWindow="-120" yWindow="-120" windowWidth="29040" windowHeight="15840" activeTab="4" xr2:uid="{791CB9DE-DE9F-4116-AB09-4EED8B93D063}"/>
  </bookViews>
  <sheets>
    <sheet name="Project Assessment" sheetId="10" r:id="rId1"/>
    <sheet name="Debit Calculator" sheetId="12" r:id="rId2"/>
    <sheet name="Measurement Selection Guide" sheetId="14" r:id="rId3"/>
    <sheet name="Existing Conditions" sheetId="2" r:id="rId4"/>
    <sheet name="Proposed Conditions" sheetId="17" r:id="rId5"/>
    <sheet name="Reference Standards" sheetId="1" state="hidden" r:id="rId6"/>
    <sheet name="Pull Down Notes" sheetId="3" state="hidden" r:id="rId7"/>
  </sheets>
  <definedNames>
    <definedName name="BedMaterial">'Pull Down Notes'!$B$14:$B$20</definedName>
    <definedName name="BedType" localSheetId="4">'Pull Down Notes'!#REF!</definedName>
    <definedName name="BedType">'Pull Down Notes'!#REF!</definedName>
    <definedName name="BEHI.NBS">'Pull Down Notes'!$B$28:$B$57</definedName>
    <definedName name="CatchmentAssessment" localSheetId="4">'Pull Down Notes'!#REF!</definedName>
    <definedName name="CatchmentAssessment">'Pull Down Notes'!#REF!</definedName>
    <definedName name="CatchmentAssessmentQuat" localSheetId="4">'Pull Down Notes'!#REF!</definedName>
    <definedName name="CatchmentAssessmentQuat">'Pull Down Notes'!#REF!</definedName>
    <definedName name="DrainageArea" localSheetId="4">'Pull Down Notes'!#REF!</definedName>
    <definedName name="DrainageArea">'Pull Down Notes'!#REF!</definedName>
    <definedName name="Flow.Type" localSheetId="4">'Pull Down Notes'!#REF!</definedName>
    <definedName name="Flow.Type">'Pull Down Notes'!#REF!</definedName>
    <definedName name="Level" localSheetId="4">'Pull Down Notes'!#REF!</definedName>
    <definedName name="Level">'Pull Down Notes'!#REF!</definedName>
    <definedName name="_xlnm.Print_Area" localSheetId="1">'Debit Calculator'!$A$1:$N$23</definedName>
    <definedName name="_xlnm.Print_Area" localSheetId="2">'Measurement Selection Guide'!$A$1:$D$32</definedName>
    <definedName name="_xlnm.Print_Area" localSheetId="0">'Project Assessment'!$A$1:$H$38</definedName>
    <definedName name="ProgramGoals" localSheetId="4">'Pull Down Notes'!#REF!</definedName>
    <definedName name="ProgramGoals">'Pull Down Notes'!#REF!</definedName>
    <definedName name="Region" localSheetId="4">'Pull Down Notes'!#REF!</definedName>
    <definedName name="Region">'Pull Down Notes'!#REF!</definedName>
    <definedName name="RiverBasins" localSheetId="4">'Pull Down Notes'!#REF!</definedName>
    <definedName name="RiverBasins">'Pull Down Notes'!#REF!</definedName>
    <definedName name="StreamType">'Pull Down Notes'!$B$1:$B$11</definedName>
    <definedName name="WaterTypes" localSheetId="4">'Pull Down Notes'!#REF!</definedName>
    <definedName name="WaterTypes">'Pull Down Notes'!#REF!</definedName>
    <definedName name="Yes.No">'Pull Down Notes'!$B$60:$B$61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321" i="2" l="1"/>
  <c r="F287" i="2"/>
  <c r="F253" i="2"/>
  <c r="F219" i="2"/>
  <c r="F185" i="2"/>
  <c r="F151" i="2"/>
  <c r="F117" i="2"/>
  <c r="F83" i="2"/>
  <c r="F49" i="2"/>
  <c r="F15" i="2"/>
  <c r="F219" i="17"/>
  <c r="F253" i="17"/>
  <c r="F287" i="17"/>
  <c r="F321" i="17"/>
  <c r="F15" i="17"/>
  <c r="F185" i="17"/>
  <c r="F151" i="17"/>
  <c r="F117" i="17"/>
  <c r="F83" i="17"/>
  <c r="F49" i="17"/>
  <c r="F47" i="17"/>
  <c r="H7" i="12" l="1"/>
  <c r="A20" i="12" l="1"/>
  <c r="A19" i="12"/>
  <c r="H8" i="12"/>
  <c r="C36" i="12"/>
  <c r="C35" i="12"/>
  <c r="C34" i="12"/>
  <c r="C33" i="12"/>
  <c r="C32" i="12"/>
  <c r="C31" i="12"/>
  <c r="C30" i="12"/>
  <c r="C29" i="12"/>
  <c r="C28" i="12"/>
  <c r="C27" i="12"/>
  <c r="F333" i="2" l="1"/>
  <c r="F299" i="2"/>
  <c r="F265" i="2"/>
  <c r="F231" i="2"/>
  <c r="F197" i="2"/>
  <c r="F163" i="2"/>
  <c r="F129" i="2"/>
  <c r="F95" i="2"/>
  <c r="F61" i="2"/>
  <c r="F27" i="2"/>
  <c r="F9" i="17"/>
  <c r="F333" i="17"/>
  <c r="F299" i="17"/>
  <c r="F265" i="17"/>
  <c r="F231" i="17"/>
  <c r="F197" i="17"/>
  <c r="F163" i="17"/>
  <c r="F129" i="17"/>
  <c r="F95" i="17"/>
  <c r="F61" i="17"/>
  <c r="F27" i="17"/>
  <c r="F329" i="2" l="1"/>
  <c r="F328" i="2"/>
  <c r="F327" i="2"/>
  <c r="F326" i="2"/>
  <c r="F295" i="2"/>
  <c r="F294" i="2"/>
  <c r="F293" i="2"/>
  <c r="F292" i="2"/>
  <c r="F261" i="2"/>
  <c r="F260" i="2"/>
  <c r="F259" i="2"/>
  <c r="F258" i="2"/>
  <c r="F227" i="2"/>
  <c r="F226" i="2"/>
  <c r="F225" i="2"/>
  <c r="F224" i="2"/>
  <c r="F193" i="2"/>
  <c r="F192" i="2"/>
  <c r="F191" i="2"/>
  <c r="F190" i="2"/>
  <c r="F159" i="2"/>
  <c r="F158" i="2"/>
  <c r="F157" i="2"/>
  <c r="F156" i="2"/>
  <c r="F125" i="2"/>
  <c r="F124" i="2"/>
  <c r="F123" i="2"/>
  <c r="F122" i="2"/>
  <c r="F91" i="2"/>
  <c r="F90" i="2"/>
  <c r="F89" i="2"/>
  <c r="F88" i="2"/>
  <c r="F57" i="2"/>
  <c r="F56" i="2"/>
  <c r="F55" i="2"/>
  <c r="F54" i="2"/>
  <c r="F22" i="2"/>
  <c r="F338" i="17" l="1"/>
  <c r="F337" i="17"/>
  <c r="F336" i="17"/>
  <c r="F335" i="17"/>
  <c r="F334" i="17"/>
  <c r="F304" i="17"/>
  <c r="F303" i="17"/>
  <c r="F302" i="17"/>
  <c r="F301" i="17"/>
  <c r="F300" i="17"/>
  <c r="F270" i="17"/>
  <c r="F269" i="17"/>
  <c r="F268" i="17"/>
  <c r="F267" i="17"/>
  <c r="F266" i="17"/>
  <c r="F236" i="17"/>
  <c r="F235" i="17"/>
  <c r="F234" i="17"/>
  <c r="F233" i="17"/>
  <c r="F232" i="17"/>
  <c r="F202" i="17"/>
  <c r="F201" i="17"/>
  <c r="F200" i="17"/>
  <c r="F199" i="17"/>
  <c r="F198" i="17"/>
  <c r="F168" i="17"/>
  <c r="F167" i="17"/>
  <c r="F166" i="17"/>
  <c r="F165" i="17"/>
  <c r="F164" i="17"/>
  <c r="F134" i="17"/>
  <c r="F133" i="17"/>
  <c r="F132" i="17"/>
  <c r="F131" i="17"/>
  <c r="F130" i="17"/>
  <c r="F100" i="17"/>
  <c r="F99" i="17"/>
  <c r="F98" i="17"/>
  <c r="F97" i="17"/>
  <c r="F96" i="17"/>
  <c r="F66" i="17"/>
  <c r="F65" i="17"/>
  <c r="F64" i="17"/>
  <c r="F63" i="17"/>
  <c r="F62" i="17"/>
  <c r="F32" i="17"/>
  <c r="F31" i="17"/>
  <c r="F30" i="17"/>
  <c r="F29" i="17"/>
  <c r="F28" i="17"/>
  <c r="F338" i="2"/>
  <c r="F337" i="2"/>
  <c r="F336" i="2"/>
  <c r="F335" i="2"/>
  <c r="F334" i="2"/>
  <c r="F304" i="2"/>
  <c r="F303" i="2"/>
  <c r="F302" i="2"/>
  <c r="F301" i="2"/>
  <c r="F300" i="2"/>
  <c r="F270" i="2"/>
  <c r="F269" i="2"/>
  <c r="F268" i="2"/>
  <c r="F267" i="2"/>
  <c r="F266" i="2"/>
  <c r="F236" i="2"/>
  <c r="F235" i="2"/>
  <c r="F234" i="2"/>
  <c r="F233" i="2"/>
  <c r="F232" i="2"/>
  <c r="F202" i="2"/>
  <c r="F201" i="2"/>
  <c r="F200" i="2"/>
  <c r="F199" i="2"/>
  <c r="F198" i="2"/>
  <c r="F134" i="2"/>
  <c r="F133" i="2"/>
  <c r="F132" i="2"/>
  <c r="F131" i="2"/>
  <c r="F130" i="2"/>
  <c r="F100" i="2"/>
  <c r="F99" i="2"/>
  <c r="F98" i="2"/>
  <c r="F97" i="2"/>
  <c r="F96" i="2"/>
  <c r="F66" i="2"/>
  <c r="F65" i="2"/>
  <c r="F64" i="2"/>
  <c r="F63" i="2"/>
  <c r="F62" i="2"/>
  <c r="F32" i="2"/>
  <c r="F31" i="2"/>
  <c r="F30" i="2"/>
  <c r="F29" i="2"/>
  <c r="F28" i="2"/>
  <c r="F168" i="2"/>
  <c r="F167" i="2"/>
  <c r="F166" i="2"/>
  <c r="F165" i="2"/>
  <c r="F164" i="2"/>
  <c r="F154" i="2"/>
  <c r="F150" i="2"/>
  <c r="F153" i="2"/>
  <c r="G338" i="17" l="1"/>
  <c r="G337" i="17"/>
  <c r="H337" i="17" s="1"/>
  <c r="I337" i="17" s="1"/>
  <c r="G336" i="17"/>
  <c r="G335" i="17"/>
  <c r="G334" i="17"/>
  <c r="F332" i="17"/>
  <c r="F331" i="17"/>
  <c r="F330" i="17"/>
  <c r="F329" i="17"/>
  <c r="F328" i="17"/>
  <c r="F327" i="17"/>
  <c r="F326" i="17"/>
  <c r="G326" i="17" s="1"/>
  <c r="F325" i="17"/>
  <c r="G325" i="17" s="1"/>
  <c r="F324" i="17"/>
  <c r="F323" i="17"/>
  <c r="F322" i="17"/>
  <c r="G322" i="17" s="1"/>
  <c r="F320" i="17"/>
  <c r="G320" i="17" s="1"/>
  <c r="F319" i="17"/>
  <c r="G318" i="17"/>
  <c r="H318" i="17" s="1"/>
  <c r="I318" i="17" s="1"/>
  <c r="F318" i="17"/>
  <c r="F317" i="17"/>
  <c r="F316" i="17"/>
  <c r="F315" i="17"/>
  <c r="G315" i="17" s="1"/>
  <c r="H315" i="17" s="1"/>
  <c r="G304" i="17"/>
  <c r="G303" i="17"/>
  <c r="H303" i="17" s="1"/>
  <c r="I303" i="17" s="1"/>
  <c r="G302" i="17"/>
  <c r="G301" i="17"/>
  <c r="G300" i="17"/>
  <c r="F298" i="17"/>
  <c r="F297" i="17"/>
  <c r="F296" i="17"/>
  <c r="F295" i="17"/>
  <c r="F294" i="17"/>
  <c r="F293" i="17"/>
  <c r="F292" i="17"/>
  <c r="G292" i="17" s="1"/>
  <c r="G291" i="17"/>
  <c r="F291" i="17"/>
  <c r="F290" i="17"/>
  <c r="F289" i="17"/>
  <c r="F288" i="17"/>
  <c r="G288" i="17" s="1"/>
  <c r="F286" i="17"/>
  <c r="G286" i="17" s="1"/>
  <c r="F285" i="17"/>
  <c r="F284" i="17"/>
  <c r="G284" i="17" s="1"/>
  <c r="H284" i="17" s="1"/>
  <c r="I284" i="17" s="1"/>
  <c r="F283" i="17"/>
  <c r="F282" i="17"/>
  <c r="F281" i="17"/>
  <c r="G270" i="17"/>
  <c r="G269" i="17"/>
  <c r="G268" i="17"/>
  <c r="G267" i="17"/>
  <c r="G266" i="17"/>
  <c r="G262" i="17"/>
  <c r="F264" i="17"/>
  <c r="F263" i="17"/>
  <c r="F262" i="17"/>
  <c r="F261" i="17"/>
  <c r="F260" i="17"/>
  <c r="F259" i="17"/>
  <c r="F258" i="17"/>
  <c r="G258" i="17" s="1"/>
  <c r="F257" i="17"/>
  <c r="G257" i="17" s="1"/>
  <c r="F256" i="17"/>
  <c r="F255" i="17"/>
  <c r="F254" i="17"/>
  <c r="G254" i="17" s="1"/>
  <c r="G252" i="17"/>
  <c r="F252" i="17"/>
  <c r="F251" i="17"/>
  <c r="F250" i="17"/>
  <c r="G250" i="17" s="1"/>
  <c r="H250" i="17" s="1"/>
  <c r="I250" i="17" s="1"/>
  <c r="F249" i="17"/>
  <c r="F248" i="17"/>
  <c r="F247" i="17"/>
  <c r="G247" i="17" s="1"/>
  <c r="H247" i="17" s="1"/>
  <c r="G236" i="17"/>
  <c r="G235" i="17"/>
  <c r="G234" i="17"/>
  <c r="G233" i="17"/>
  <c r="G232" i="17"/>
  <c r="H232" i="17" s="1"/>
  <c r="I232" i="17" s="1"/>
  <c r="F230" i="17"/>
  <c r="F229" i="17"/>
  <c r="F228" i="17"/>
  <c r="G228" i="17" s="1"/>
  <c r="F227" i="17"/>
  <c r="F226" i="17"/>
  <c r="F225" i="17"/>
  <c r="F224" i="17"/>
  <c r="G224" i="17" s="1"/>
  <c r="F223" i="17"/>
  <c r="G223" i="17" s="1"/>
  <c r="F222" i="17"/>
  <c r="F221" i="17"/>
  <c r="F220" i="17"/>
  <c r="G220" i="17" s="1"/>
  <c r="F218" i="17"/>
  <c r="G218" i="17" s="1"/>
  <c r="F217" i="17"/>
  <c r="F216" i="17"/>
  <c r="G216" i="17" s="1"/>
  <c r="H216" i="17" s="1"/>
  <c r="I216" i="17" s="1"/>
  <c r="F215" i="17"/>
  <c r="F214" i="17"/>
  <c r="F213" i="17"/>
  <c r="G213" i="17" s="1"/>
  <c r="H213" i="17" s="1"/>
  <c r="I213" i="17" s="1"/>
  <c r="G202" i="17"/>
  <c r="G201" i="17"/>
  <c r="H201" i="17" s="1"/>
  <c r="I201" i="17" s="1"/>
  <c r="G200" i="17"/>
  <c r="G199" i="17"/>
  <c r="G198" i="17"/>
  <c r="H198" i="17" s="1"/>
  <c r="I198" i="17" s="1"/>
  <c r="F196" i="17"/>
  <c r="F195" i="17"/>
  <c r="F194" i="17"/>
  <c r="G194" i="17" s="1"/>
  <c r="F193" i="17"/>
  <c r="F192" i="17"/>
  <c r="F191" i="17"/>
  <c r="F190" i="17"/>
  <c r="G190" i="17" s="1"/>
  <c r="F189" i="17"/>
  <c r="G189" i="17" s="1"/>
  <c r="F188" i="17"/>
  <c r="F187" i="17"/>
  <c r="F186" i="17"/>
  <c r="F184" i="17"/>
  <c r="G184" i="17" s="1"/>
  <c r="F183" i="17"/>
  <c r="F182" i="17"/>
  <c r="G182" i="17" s="1"/>
  <c r="H182" i="17" s="1"/>
  <c r="I182" i="17" s="1"/>
  <c r="F181" i="17"/>
  <c r="F180" i="17"/>
  <c r="F179" i="17"/>
  <c r="G179" i="17" s="1"/>
  <c r="H179" i="17" s="1"/>
  <c r="G168" i="17"/>
  <c r="G167" i="17"/>
  <c r="H167" i="17" s="1"/>
  <c r="I167" i="17" s="1"/>
  <c r="G166" i="17"/>
  <c r="G165" i="17"/>
  <c r="G164" i="17"/>
  <c r="F162" i="17"/>
  <c r="F161" i="17"/>
  <c r="F160" i="17"/>
  <c r="G160" i="17" s="1"/>
  <c r="F159" i="17"/>
  <c r="F158" i="17"/>
  <c r="F157" i="17"/>
  <c r="F156" i="17"/>
  <c r="G156" i="17" s="1"/>
  <c r="F155" i="17"/>
  <c r="G155" i="17" s="1"/>
  <c r="F154" i="17"/>
  <c r="F153" i="17"/>
  <c r="G152" i="17"/>
  <c r="F152" i="17"/>
  <c r="F150" i="17"/>
  <c r="G150" i="17" s="1"/>
  <c r="F149" i="17"/>
  <c r="F148" i="17"/>
  <c r="F147" i="17"/>
  <c r="F146" i="17"/>
  <c r="F145" i="17"/>
  <c r="G145" i="17" s="1"/>
  <c r="H145" i="17" s="1"/>
  <c r="G134" i="17"/>
  <c r="G133" i="17"/>
  <c r="H133" i="17" s="1"/>
  <c r="I133" i="17" s="1"/>
  <c r="G132" i="17"/>
  <c r="G131" i="17"/>
  <c r="G130" i="17"/>
  <c r="H130" i="17" s="1"/>
  <c r="I130" i="17" s="1"/>
  <c r="F128" i="17"/>
  <c r="F127" i="17"/>
  <c r="F126" i="17"/>
  <c r="G126" i="17" s="1"/>
  <c r="F125" i="17"/>
  <c r="F124" i="17"/>
  <c r="F123" i="17"/>
  <c r="F122" i="17"/>
  <c r="G122" i="17" s="1"/>
  <c r="F121" i="17"/>
  <c r="G121" i="17" s="1"/>
  <c r="F120" i="17"/>
  <c r="F119" i="17"/>
  <c r="F118" i="17"/>
  <c r="G118" i="17" s="1"/>
  <c r="F116" i="17"/>
  <c r="G116" i="17" s="1"/>
  <c r="F115" i="17"/>
  <c r="F114" i="17"/>
  <c r="F113" i="17"/>
  <c r="F112" i="17"/>
  <c r="G111" i="17"/>
  <c r="H111" i="17" s="1"/>
  <c r="F111" i="17"/>
  <c r="G100" i="17"/>
  <c r="G99" i="17"/>
  <c r="H99" i="17" s="1"/>
  <c r="I99" i="17" s="1"/>
  <c r="G98" i="17"/>
  <c r="G97" i="17"/>
  <c r="G96" i="17"/>
  <c r="H96" i="17" s="1"/>
  <c r="I96" i="17" s="1"/>
  <c r="F94" i="17"/>
  <c r="F93" i="17"/>
  <c r="F92" i="17"/>
  <c r="G92" i="17" s="1"/>
  <c r="F91" i="17"/>
  <c r="F90" i="17"/>
  <c r="F89" i="17"/>
  <c r="G88" i="17" s="1"/>
  <c r="F88" i="17"/>
  <c r="F87" i="17"/>
  <c r="G87" i="17" s="1"/>
  <c r="F86" i="17"/>
  <c r="F85" i="17"/>
  <c r="F84" i="17"/>
  <c r="G84" i="17" s="1"/>
  <c r="F82" i="17"/>
  <c r="F81" i="17"/>
  <c r="G80" i="17"/>
  <c r="H80" i="17" s="1"/>
  <c r="I80" i="17" s="1"/>
  <c r="F80" i="17"/>
  <c r="F79" i="17"/>
  <c r="F78" i="17"/>
  <c r="F77" i="17"/>
  <c r="G77" i="17" s="1"/>
  <c r="H77" i="17" s="1"/>
  <c r="G66" i="17"/>
  <c r="G65" i="17"/>
  <c r="G64" i="17"/>
  <c r="G63" i="17"/>
  <c r="G62" i="17"/>
  <c r="F60" i="17"/>
  <c r="F59" i="17"/>
  <c r="F58" i="17"/>
  <c r="F57" i="17"/>
  <c r="F56" i="17"/>
  <c r="F55" i="17"/>
  <c r="F54" i="17"/>
  <c r="F53" i="17"/>
  <c r="G53" i="17" s="1"/>
  <c r="F52" i="17"/>
  <c r="F51" i="17"/>
  <c r="F50" i="17"/>
  <c r="G50" i="17" s="1"/>
  <c r="F48" i="17"/>
  <c r="F46" i="17"/>
  <c r="G46" i="17" s="1"/>
  <c r="H46" i="17" s="1"/>
  <c r="I46" i="17" s="1"/>
  <c r="F45" i="17"/>
  <c r="F44" i="17"/>
  <c r="F43" i="17"/>
  <c r="G32" i="17"/>
  <c r="G31" i="17"/>
  <c r="G30" i="17"/>
  <c r="G29" i="17"/>
  <c r="G28" i="17"/>
  <c r="F26" i="17"/>
  <c r="F25" i="17"/>
  <c r="F24" i="17"/>
  <c r="F23" i="17"/>
  <c r="F22" i="17"/>
  <c r="F21" i="17"/>
  <c r="F20" i="17"/>
  <c r="G19" i="17"/>
  <c r="F19" i="17"/>
  <c r="F18" i="17"/>
  <c r="F17" i="17"/>
  <c r="F16" i="17"/>
  <c r="G16" i="17" s="1"/>
  <c r="F14" i="17"/>
  <c r="F13" i="17"/>
  <c r="F12" i="17"/>
  <c r="F11" i="17"/>
  <c r="F10" i="17"/>
  <c r="G58" i="17" l="1"/>
  <c r="H31" i="17"/>
  <c r="I31" i="17" s="1"/>
  <c r="G43" i="17"/>
  <c r="H43" i="17" s="1"/>
  <c r="G12" i="17"/>
  <c r="H12" i="17" s="1"/>
  <c r="I12" i="17" s="1"/>
  <c r="G20" i="17"/>
  <c r="G24" i="17"/>
  <c r="G296" i="17"/>
  <c r="H286" i="17" s="1"/>
  <c r="I286" i="17" s="1"/>
  <c r="H252" i="17"/>
  <c r="I252" i="17" s="1"/>
  <c r="G54" i="17"/>
  <c r="H65" i="17"/>
  <c r="I65" i="17" s="1"/>
  <c r="H164" i="17"/>
  <c r="I164" i="17" s="1"/>
  <c r="I77" i="17"/>
  <c r="I111" i="17"/>
  <c r="I145" i="17"/>
  <c r="H184" i="17"/>
  <c r="I184" i="17" s="1"/>
  <c r="H218" i="17"/>
  <c r="I218" i="17" s="1"/>
  <c r="H266" i="17"/>
  <c r="I266" i="17" s="1"/>
  <c r="H116" i="17"/>
  <c r="I116" i="17" s="1"/>
  <c r="H150" i="17"/>
  <c r="I150" i="17" s="1"/>
  <c r="H269" i="17"/>
  <c r="I269" i="17" s="1"/>
  <c r="G114" i="17"/>
  <c r="H114" i="17" s="1"/>
  <c r="I114" i="17" s="1"/>
  <c r="I179" i="17"/>
  <c r="H300" i="17"/>
  <c r="I300" i="17" s="1"/>
  <c r="I43" i="17"/>
  <c r="H334" i="17"/>
  <c r="I334" i="17" s="1"/>
  <c r="I315" i="17"/>
  <c r="G14" i="17"/>
  <c r="G186" i="17"/>
  <c r="H235" i="17"/>
  <c r="I235" i="17" s="1"/>
  <c r="G330" i="17"/>
  <c r="H320" i="17" s="1"/>
  <c r="I320" i="17" s="1"/>
  <c r="I247" i="17"/>
  <c r="G9" i="17"/>
  <c r="H9" i="17" s="1"/>
  <c r="H28" i="17"/>
  <c r="I28" i="17" s="1"/>
  <c r="G48" i="17"/>
  <c r="H62" i="17"/>
  <c r="I62" i="17" s="1"/>
  <c r="G82" i="17"/>
  <c r="H82" i="17" s="1"/>
  <c r="I82" i="17" s="1"/>
  <c r="G148" i="17"/>
  <c r="H148" i="17" s="1"/>
  <c r="I148" i="17" s="1"/>
  <c r="G281" i="17"/>
  <c r="H281" i="17" s="1"/>
  <c r="A7" i="12"/>
  <c r="A8" i="12"/>
  <c r="A9" i="12"/>
  <c r="A10" i="12"/>
  <c r="A11" i="12"/>
  <c r="A12" i="12"/>
  <c r="A13" i="12"/>
  <c r="A14" i="12"/>
  <c r="A15" i="12"/>
  <c r="A16" i="12"/>
  <c r="F332" i="2"/>
  <c r="F331" i="2"/>
  <c r="F330" i="2"/>
  <c r="F325" i="2"/>
  <c r="F324" i="2"/>
  <c r="F323" i="2"/>
  <c r="F322" i="2"/>
  <c r="F320" i="2"/>
  <c r="F319" i="2"/>
  <c r="F318" i="2"/>
  <c r="F317" i="2"/>
  <c r="F316" i="2"/>
  <c r="F315" i="2"/>
  <c r="F298" i="2"/>
  <c r="F297" i="2"/>
  <c r="F296" i="2"/>
  <c r="F291" i="2"/>
  <c r="F290" i="2"/>
  <c r="F289" i="2"/>
  <c r="F288" i="2"/>
  <c r="F286" i="2"/>
  <c r="F285" i="2"/>
  <c r="F284" i="2"/>
  <c r="F283" i="2"/>
  <c r="F282" i="2"/>
  <c r="F281" i="2"/>
  <c r="F264" i="2"/>
  <c r="F263" i="2"/>
  <c r="F262" i="2"/>
  <c r="F257" i="2"/>
  <c r="F256" i="2"/>
  <c r="F255" i="2"/>
  <c r="F254" i="2"/>
  <c r="F252" i="2"/>
  <c r="F251" i="2"/>
  <c r="F250" i="2"/>
  <c r="F249" i="2"/>
  <c r="F248" i="2"/>
  <c r="F247" i="2"/>
  <c r="F230" i="2"/>
  <c r="F229" i="2"/>
  <c r="F228" i="2"/>
  <c r="F223" i="2"/>
  <c r="F222" i="2"/>
  <c r="F221" i="2"/>
  <c r="F220" i="2"/>
  <c r="F218" i="2"/>
  <c r="F217" i="2"/>
  <c r="F216" i="2"/>
  <c r="F215" i="2"/>
  <c r="F214" i="2"/>
  <c r="F213" i="2"/>
  <c r="F196" i="2"/>
  <c r="F195" i="2"/>
  <c r="F194" i="2"/>
  <c r="F189" i="2"/>
  <c r="F188" i="2"/>
  <c r="F187" i="2"/>
  <c r="F186" i="2"/>
  <c r="F184" i="2"/>
  <c r="F183" i="2"/>
  <c r="F182" i="2"/>
  <c r="F181" i="2"/>
  <c r="F180" i="2"/>
  <c r="F179" i="2"/>
  <c r="F162" i="2"/>
  <c r="F161" i="2"/>
  <c r="F160" i="2"/>
  <c r="F155" i="2"/>
  <c r="F152" i="2"/>
  <c r="F149" i="2"/>
  <c r="F148" i="2"/>
  <c r="F147" i="2"/>
  <c r="F146" i="2"/>
  <c r="F145" i="2"/>
  <c r="F128" i="2"/>
  <c r="F127" i="2"/>
  <c r="F126" i="2"/>
  <c r="F121" i="2"/>
  <c r="F120" i="2"/>
  <c r="F119" i="2"/>
  <c r="F118" i="2"/>
  <c r="F116" i="2"/>
  <c r="F115" i="2"/>
  <c r="F114" i="2"/>
  <c r="F113" i="2"/>
  <c r="F112" i="2"/>
  <c r="F111" i="2"/>
  <c r="F94" i="2"/>
  <c r="F93" i="2"/>
  <c r="F92" i="2"/>
  <c r="F87" i="2"/>
  <c r="F86" i="2"/>
  <c r="F85" i="2"/>
  <c r="F84" i="2"/>
  <c r="F82" i="2"/>
  <c r="F81" i="2"/>
  <c r="F80" i="2"/>
  <c r="F79" i="2"/>
  <c r="F78" i="2"/>
  <c r="F77" i="2"/>
  <c r="F60" i="2"/>
  <c r="F59" i="2"/>
  <c r="F58" i="2"/>
  <c r="F53" i="2"/>
  <c r="F52" i="2"/>
  <c r="F51" i="2"/>
  <c r="F50" i="2"/>
  <c r="F48" i="2"/>
  <c r="F47" i="2"/>
  <c r="F46" i="2"/>
  <c r="F45" i="2"/>
  <c r="F44" i="2"/>
  <c r="F43" i="2"/>
  <c r="F26" i="2"/>
  <c r="F25" i="2"/>
  <c r="F24" i="2"/>
  <c r="F21" i="2"/>
  <c r="F20" i="2"/>
  <c r="F18" i="2"/>
  <c r="F17" i="2"/>
  <c r="F16" i="2"/>
  <c r="F13" i="2"/>
  <c r="F12" i="2"/>
  <c r="F9" i="2"/>
  <c r="F11" i="2"/>
  <c r="H48" i="17" l="1"/>
  <c r="I48" i="17" s="1"/>
  <c r="H14" i="17"/>
  <c r="I14" i="17" s="1"/>
  <c r="J315" i="17"/>
  <c r="D36" i="12" s="1"/>
  <c r="J145" i="17"/>
  <c r="D31" i="12" s="1"/>
  <c r="J179" i="17"/>
  <c r="D32" i="12" s="1"/>
  <c r="I281" i="17"/>
  <c r="J281" i="17"/>
  <c r="D35" i="12" s="1"/>
  <c r="J247" i="17"/>
  <c r="D34" i="12" s="1"/>
  <c r="J111" i="17"/>
  <c r="D30" i="12" s="1"/>
  <c r="I9" i="17"/>
  <c r="J213" i="17"/>
  <c r="D33" i="12" s="1"/>
  <c r="J77" i="17"/>
  <c r="D29" i="12" s="1"/>
  <c r="G338" i="2"/>
  <c r="G337" i="2"/>
  <c r="G336" i="2"/>
  <c r="G335" i="2"/>
  <c r="G334" i="2"/>
  <c r="G330" i="2"/>
  <c r="G326" i="2"/>
  <c r="G325" i="2"/>
  <c r="G322" i="2"/>
  <c r="G320" i="2"/>
  <c r="G318" i="2"/>
  <c r="H318" i="2" s="1"/>
  <c r="I318" i="2" s="1"/>
  <c r="G315" i="2"/>
  <c r="H315" i="2" s="1"/>
  <c r="G304" i="2"/>
  <c r="G303" i="2"/>
  <c r="G302" i="2"/>
  <c r="G301" i="2"/>
  <c r="G300" i="2"/>
  <c r="G291" i="2"/>
  <c r="G270" i="2"/>
  <c r="G269" i="2"/>
  <c r="G268" i="2"/>
  <c r="G267" i="2"/>
  <c r="G266" i="2"/>
  <c r="G257" i="2"/>
  <c r="G236" i="2"/>
  <c r="G235" i="2"/>
  <c r="G234" i="2"/>
  <c r="G233" i="2"/>
  <c r="G232" i="2"/>
  <c r="G223" i="2"/>
  <c r="G202" i="2"/>
  <c r="G201" i="2"/>
  <c r="G200" i="2"/>
  <c r="G199" i="2"/>
  <c r="G198" i="2"/>
  <c r="G189" i="2"/>
  <c r="G168" i="2"/>
  <c r="G167" i="2"/>
  <c r="G166" i="2"/>
  <c r="G165" i="2"/>
  <c r="G164" i="2"/>
  <c r="G155" i="2"/>
  <c r="G134" i="2"/>
  <c r="G133" i="2"/>
  <c r="G132" i="2"/>
  <c r="G131" i="2"/>
  <c r="G130" i="2"/>
  <c r="G121" i="2"/>
  <c r="G100" i="2"/>
  <c r="G99" i="2"/>
  <c r="G98" i="2"/>
  <c r="G97" i="2"/>
  <c r="G96" i="2"/>
  <c r="G87" i="2"/>
  <c r="G66" i="2"/>
  <c r="G65" i="2"/>
  <c r="G63" i="2"/>
  <c r="G64" i="2"/>
  <c r="G62" i="2"/>
  <c r="F10" i="2"/>
  <c r="G53" i="2"/>
  <c r="F14" i="2"/>
  <c r="G32" i="2"/>
  <c r="J43" i="17" l="1"/>
  <c r="D28" i="12" s="1"/>
  <c r="J9" i="17"/>
  <c r="D27" i="12" s="1"/>
  <c r="H334" i="2"/>
  <c r="I334" i="2" s="1"/>
  <c r="I315" i="2"/>
  <c r="H320" i="2"/>
  <c r="I320" i="2" s="1"/>
  <c r="H337" i="2"/>
  <c r="I337" i="2" s="1"/>
  <c r="G284" i="2"/>
  <c r="H284" i="2" s="1"/>
  <c r="I284" i="2" s="1"/>
  <c r="G288" i="2"/>
  <c r="G292" i="2"/>
  <c r="H300" i="2"/>
  <c r="I300" i="2" s="1"/>
  <c r="G281" i="2"/>
  <c r="H281" i="2" s="1"/>
  <c r="I281" i="2" s="1"/>
  <c r="G286" i="2"/>
  <c r="G296" i="2"/>
  <c r="H303" i="2"/>
  <c r="I303" i="2" s="1"/>
  <c r="H269" i="2"/>
  <c r="I269" i="2" s="1"/>
  <c r="G148" i="2"/>
  <c r="H148" i="2" s="1"/>
  <c r="I148" i="2" s="1"/>
  <c r="H164" i="2"/>
  <c r="I164" i="2" s="1"/>
  <c r="G182" i="2"/>
  <c r="H182" i="2" s="1"/>
  <c r="I182" i="2" s="1"/>
  <c r="G216" i="2"/>
  <c r="H216" i="2" s="1"/>
  <c r="I216" i="2" s="1"/>
  <c r="G250" i="2"/>
  <c r="H250" i="2" s="1"/>
  <c r="I250" i="2" s="1"/>
  <c r="G254" i="2"/>
  <c r="G252" i="2"/>
  <c r="G145" i="2"/>
  <c r="H145" i="2" s="1"/>
  <c r="I145" i="2" s="1"/>
  <c r="G179" i="2"/>
  <c r="H179" i="2" s="1"/>
  <c r="I179" i="2" s="1"/>
  <c r="G213" i="2"/>
  <c r="H213" i="2" s="1"/>
  <c r="I213" i="2" s="1"/>
  <c r="G247" i="2"/>
  <c r="H247" i="2" s="1"/>
  <c r="I247" i="2" s="1"/>
  <c r="H266" i="2"/>
  <c r="I266" i="2" s="1"/>
  <c r="G262" i="2"/>
  <c r="G156" i="2"/>
  <c r="G258" i="2"/>
  <c r="G218" i="2"/>
  <c r="G190" i="2"/>
  <c r="H198" i="2"/>
  <c r="I198" i="2" s="1"/>
  <c r="G224" i="2"/>
  <c r="H232" i="2"/>
  <c r="I232" i="2" s="1"/>
  <c r="H235" i="2"/>
  <c r="I235" i="2" s="1"/>
  <c r="G220" i="2"/>
  <c r="G228" i="2"/>
  <c r="H167" i="2"/>
  <c r="I167" i="2" s="1"/>
  <c r="H201" i="2"/>
  <c r="I201" i="2" s="1"/>
  <c r="G194" i="2"/>
  <c r="G184" i="2"/>
  <c r="G186" i="2"/>
  <c r="G150" i="2"/>
  <c r="G152" i="2"/>
  <c r="G160" i="2"/>
  <c r="G80" i="2"/>
  <c r="H80" i="2" s="1"/>
  <c r="I80" i="2" s="1"/>
  <c r="G114" i="2"/>
  <c r="H114" i="2" s="1"/>
  <c r="I114" i="2" s="1"/>
  <c r="G118" i="2"/>
  <c r="G77" i="2"/>
  <c r="H77" i="2" s="1"/>
  <c r="I77" i="2" s="1"/>
  <c r="G111" i="2"/>
  <c r="H111" i="2" s="1"/>
  <c r="I111" i="2" s="1"/>
  <c r="H133" i="2"/>
  <c r="I133" i="2" s="1"/>
  <c r="H130" i="2"/>
  <c r="I130" i="2" s="1"/>
  <c r="G126" i="2"/>
  <c r="G116" i="2"/>
  <c r="G122" i="2"/>
  <c r="G88" i="2"/>
  <c r="G82" i="2"/>
  <c r="H65" i="2"/>
  <c r="H99" i="2"/>
  <c r="I99" i="2" s="1"/>
  <c r="H96" i="2"/>
  <c r="G84" i="2"/>
  <c r="G92" i="2"/>
  <c r="H62" i="2"/>
  <c r="G54" i="2"/>
  <c r="G58" i="2"/>
  <c r="G50" i="2"/>
  <c r="G48" i="2"/>
  <c r="G46" i="2"/>
  <c r="H46" i="2" s="1"/>
  <c r="I46" i="2" s="1"/>
  <c r="G43" i="2"/>
  <c r="H43" i="2" s="1"/>
  <c r="J315" i="2" l="1"/>
  <c r="B36" i="12" s="1"/>
  <c r="H286" i="2"/>
  <c r="I286" i="2" s="1"/>
  <c r="H252" i="2"/>
  <c r="I252" i="2" s="1"/>
  <c r="H218" i="2"/>
  <c r="I218" i="2" s="1"/>
  <c r="H184" i="2"/>
  <c r="I184" i="2" s="1"/>
  <c r="H150" i="2"/>
  <c r="I150" i="2" s="1"/>
  <c r="H116" i="2"/>
  <c r="I116" i="2" s="1"/>
  <c r="H82" i="2"/>
  <c r="I82" i="2" s="1"/>
  <c r="I43" i="2"/>
  <c r="J281" i="2" l="1"/>
  <c r="B35" i="12" s="1"/>
  <c r="J247" i="2"/>
  <c r="B34" i="12" s="1"/>
  <c r="J213" i="2"/>
  <c r="B33" i="12" s="1"/>
  <c r="J145" i="2"/>
  <c r="B31" i="12" s="1"/>
  <c r="J179" i="2"/>
  <c r="B32" i="12" s="1"/>
  <c r="J111" i="2"/>
  <c r="B30" i="12" s="1"/>
  <c r="G31" i="2" l="1"/>
  <c r="G29" i="2"/>
  <c r="F23" i="2"/>
  <c r="F19" i="2"/>
  <c r="G19" i="2" s="1"/>
  <c r="G20" i="2" l="1"/>
  <c r="G16" i="2"/>
  <c r="G14" i="2"/>
  <c r="G24" i="2"/>
  <c r="G9" i="2"/>
  <c r="T5" i="1"/>
  <c r="I4" i="1"/>
  <c r="B8" i="12" l="1"/>
  <c r="B9" i="12"/>
  <c r="B10" i="12"/>
  <c r="B11" i="12"/>
  <c r="B12" i="12"/>
  <c r="B13" i="12"/>
  <c r="B14" i="12"/>
  <c r="B15" i="12"/>
  <c r="B16" i="12"/>
  <c r="B7" i="12"/>
  <c r="A27" i="12" l="1"/>
  <c r="A28" i="12" l="1"/>
  <c r="A36" i="12" l="1"/>
  <c r="A35" i="12"/>
  <c r="A34" i="12"/>
  <c r="A33" i="12"/>
  <c r="A32" i="12"/>
  <c r="A31" i="12"/>
  <c r="A30" i="12"/>
  <c r="A29" i="12"/>
  <c r="I96" i="2" l="1"/>
  <c r="H48" i="2"/>
  <c r="I65" i="2"/>
  <c r="I62" i="2"/>
  <c r="I48" i="2" l="1"/>
  <c r="J43" i="2"/>
  <c r="B28" i="12" s="1"/>
  <c r="J77" i="2" l="1"/>
  <c r="B29" i="12" s="1"/>
  <c r="I8" i="12"/>
  <c r="H9" i="12"/>
  <c r="I9" i="12" s="1"/>
  <c r="H10" i="12"/>
  <c r="H11" i="12"/>
  <c r="H12" i="12"/>
  <c r="H13" i="12"/>
  <c r="H14" i="12"/>
  <c r="H15" i="12"/>
  <c r="H16" i="12"/>
  <c r="I10" i="12" l="1"/>
  <c r="I11" i="12"/>
  <c r="I12" i="12"/>
  <c r="I13" i="12"/>
  <c r="I14" i="12"/>
  <c r="I15" i="12"/>
  <c r="I16" i="12"/>
  <c r="G28" i="2" l="1"/>
  <c r="G30" i="2"/>
  <c r="G12" i="2"/>
  <c r="H12" i="2" s="1"/>
  <c r="I12" i="2" l="1"/>
  <c r="H28" i="2"/>
  <c r="H14" i="2" l="1"/>
  <c r="H31" i="2"/>
  <c r="I28" i="2"/>
  <c r="I31" i="2" l="1"/>
  <c r="I14" i="2"/>
  <c r="I7" i="12"/>
  <c r="H9" i="2"/>
  <c r="I17" i="12" l="1"/>
  <c r="F3" i="10" s="1"/>
  <c r="J9" i="2"/>
  <c r="B27" i="12" s="1"/>
  <c r="I9" i="2"/>
</calcChain>
</file>

<file path=xl/sharedStrings.xml><?xml version="1.0" encoding="utf-8"?>
<sst xmlns="http://schemas.openxmlformats.org/spreadsheetml/2006/main" count="1866" uniqueCount="313">
  <si>
    <t>Bank Height Ratio (BHR)</t>
  </si>
  <si>
    <t>Functional Category</t>
  </si>
  <si>
    <t>Function-Based Parameters</t>
  </si>
  <si>
    <t>Measurement Method</t>
  </si>
  <si>
    <t>Hydraulics</t>
  </si>
  <si>
    <t>Floodplain Connectivity</t>
  </si>
  <si>
    <t>Bank Height Ratio</t>
  </si>
  <si>
    <t>Entrenchment Ratio</t>
  </si>
  <si>
    <t>C</t>
  </si>
  <si>
    <t>E</t>
  </si>
  <si>
    <t>B</t>
  </si>
  <si>
    <t>Bc</t>
  </si>
  <si>
    <t>Field Value</t>
  </si>
  <si>
    <t>Index Value</t>
  </si>
  <si>
    <t>Roll Up Scoring</t>
  </si>
  <si>
    <t>Parameter</t>
  </si>
  <si>
    <t>Category</t>
  </si>
  <si>
    <t>A</t>
  </si>
  <si>
    <t>Sand</t>
  </si>
  <si>
    <t>Gravel</t>
  </si>
  <si>
    <t>LWD Index</t>
  </si>
  <si>
    <t>Geomorphology</t>
  </si>
  <si>
    <t>Large Woody Debris</t>
  </si>
  <si>
    <t>L/L</t>
  </si>
  <si>
    <t>L/M</t>
  </si>
  <si>
    <t>L/H</t>
  </si>
  <si>
    <t>L/VH</t>
  </si>
  <si>
    <t>M/VL</t>
  </si>
  <si>
    <t>M/L</t>
  </si>
  <si>
    <t>M/M</t>
  </si>
  <si>
    <t>M/H</t>
  </si>
  <si>
    <t>L/Ex</t>
  </si>
  <si>
    <t>H/L</t>
  </si>
  <si>
    <t>H/M</t>
  </si>
  <si>
    <t>H/H</t>
  </si>
  <si>
    <t>VH/VL</t>
  </si>
  <si>
    <t>Ex/VL</t>
  </si>
  <si>
    <t>H/Ex</t>
  </si>
  <si>
    <t>Ex/M</t>
  </si>
  <si>
    <t>Ex/H</t>
  </si>
  <si>
    <t>Ex/VH</t>
  </si>
  <si>
    <t>VH/VH</t>
  </si>
  <si>
    <t>Ex/Ex</t>
  </si>
  <si>
    <t>Dominant BEHI/NBS</t>
  </si>
  <si>
    <t>Riparian Vegetation</t>
  </si>
  <si>
    <t>Bed Form Diversity</t>
  </si>
  <si>
    <t>Pool Spacing Ratio</t>
  </si>
  <si>
    <t>Pool Depth Ratio</t>
  </si>
  <si>
    <t>EXISTING CONDITION ASSESSMENT</t>
  </si>
  <si>
    <t>Physicochemical</t>
  </si>
  <si>
    <t>Biology</t>
  </si>
  <si>
    <t>Hydrology</t>
  </si>
  <si>
    <t>Yes</t>
  </si>
  <si>
    <t>No</t>
  </si>
  <si>
    <t>Fish</t>
  </si>
  <si>
    <t>F</t>
  </si>
  <si>
    <t>G</t>
  </si>
  <si>
    <t>Percent Streambank Erosion (%)</t>
  </si>
  <si>
    <t>Gc</t>
  </si>
  <si>
    <t>M/Ex</t>
  </si>
  <si>
    <t>M/VH</t>
  </si>
  <si>
    <t>H/VL</t>
  </si>
  <si>
    <t>H/VH</t>
  </si>
  <si>
    <t>VH/L</t>
  </si>
  <si>
    <t>VH/M</t>
  </si>
  <si>
    <t>VH/H</t>
  </si>
  <si>
    <t>VH/Ex</t>
  </si>
  <si>
    <t>Ex/L</t>
  </si>
  <si>
    <t>Reach ID:</t>
  </si>
  <si>
    <t>Existing Stream Type:</t>
  </si>
  <si>
    <t>Bed Material Characterization</t>
  </si>
  <si>
    <t>a</t>
  </si>
  <si>
    <t>b</t>
  </si>
  <si>
    <t>NF</t>
  </si>
  <si>
    <t>c</t>
  </si>
  <si>
    <t>d</t>
  </si>
  <si>
    <t>NF &amp; FAR</t>
  </si>
  <si>
    <t>FAR&amp; NF</t>
  </si>
  <si>
    <t>Reach Runoff</t>
  </si>
  <si>
    <t>Version Last Updated</t>
  </si>
  <si>
    <t>Size Class Pebble Count Analyzer (p-value)</t>
  </si>
  <si>
    <t>Existing and Proposed Stream Types</t>
  </si>
  <si>
    <t>Proposed Bed Material</t>
  </si>
  <si>
    <t>BEHI/NBS Scores</t>
  </si>
  <si>
    <t>Yes/No</t>
  </si>
  <si>
    <t>Coefficients - Y = a * X + b</t>
  </si>
  <si>
    <t>Coefficients - Y = a * X^2 + b * X + c</t>
  </si>
  <si>
    <t>FAR</t>
  </si>
  <si>
    <t>Aggradation Ratio</t>
  </si>
  <si>
    <t>Rising Limb</t>
  </si>
  <si>
    <t>Falling Limb</t>
  </si>
  <si>
    <t xml:space="preserve">Aggradation Ratio </t>
  </si>
  <si>
    <t>Valley Type:</t>
  </si>
  <si>
    <t>Valley Type</t>
  </si>
  <si>
    <t>Unconfined Alluvial</t>
  </si>
  <si>
    <t>Confined Alluvial</t>
  </si>
  <si>
    <t>Colluvial</t>
  </si>
  <si>
    <t>Coefficients - Y = a * X^3 + b * X^2 + c * X + d</t>
  </si>
  <si>
    <t># LWD Pieces</t>
  </si>
  <si>
    <t># Pieces</t>
  </si>
  <si>
    <t>Contributing Agencies:</t>
  </si>
  <si>
    <t>U.S. Environmental Protection Agency</t>
  </si>
  <si>
    <t>Contractors:</t>
  </si>
  <si>
    <t>Large Woody Debris Index</t>
  </si>
  <si>
    <t>Percent Riffle (%)</t>
  </si>
  <si>
    <t>Macroinvertebrates</t>
  </si>
  <si>
    <t>Bedrock</t>
  </si>
  <si>
    <t>Boulders</t>
  </si>
  <si>
    <t>Cobble</t>
  </si>
  <si>
    <t>Silt/Clay</t>
  </si>
  <si>
    <t>ECS</t>
  </si>
  <si>
    <t>Proposed Length</t>
  </si>
  <si>
    <t>Impact Severity Tier</t>
  </si>
  <si>
    <t>Tier 0</t>
  </si>
  <si>
    <t>Impact Severity Tiers</t>
  </si>
  <si>
    <t>Impact Factors</t>
  </si>
  <si>
    <t>Percent Functional Loss</t>
  </si>
  <si>
    <t>Tier 1</t>
  </si>
  <si>
    <t>Tier 2</t>
  </si>
  <si>
    <t>Tier 3</t>
  </si>
  <si>
    <t>Tier 4</t>
  </si>
  <si>
    <t>Tier 5</t>
  </si>
  <si>
    <t>Users select values from a pull-down menu</t>
  </si>
  <si>
    <t>Users Input Values</t>
  </si>
  <si>
    <t xml:space="preserve">Coefficients - Y = a * X + b </t>
  </si>
  <si>
    <t>Percent Armoring (%)</t>
  </si>
  <si>
    <t>Lateral Migration</t>
  </si>
  <si>
    <t>Existing Condition Score</t>
  </si>
  <si>
    <t>Proposed Condition Score</t>
  </si>
  <si>
    <t>Change in
Functional Feet</t>
  </si>
  <si>
    <t>Impact 
Description</t>
  </si>
  <si>
    <t>Stream ID 
by Reach</t>
  </si>
  <si>
    <t>Quick steps to determine total debits</t>
  </si>
  <si>
    <t>Existing Stream Length</t>
  </si>
  <si>
    <t>DEBIT TOOL TABLE</t>
  </si>
  <si>
    <t>Total Functional Loss (Debits in FF):</t>
  </si>
  <si>
    <t>Reference Stream Type:</t>
  </si>
  <si>
    <t>Upstream Latitude:</t>
  </si>
  <si>
    <t>Upstream Longitude:</t>
  </si>
  <si>
    <t>Downstream Latitude:</t>
  </si>
  <si>
    <t>Downstream Longitude:</t>
  </si>
  <si>
    <t>Project Name</t>
  </si>
  <si>
    <t>Total Debits
 (FF)</t>
  </si>
  <si>
    <t>Applicant</t>
  </si>
  <si>
    <r>
      <t xml:space="preserve">Project ID/Permit Number(s) 
</t>
    </r>
    <r>
      <rPr>
        <b/>
        <sz val="11"/>
        <color theme="1"/>
        <rFont val="Calibri"/>
        <family val="2"/>
        <scheme val="minor"/>
      </rPr>
      <t>(optional)</t>
    </r>
  </si>
  <si>
    <t>Date</t>
  </si>
  <si>
    <t>Project Description</t>
  </si>
  <si>
    <t>Stream ID By Reach</t>
  </si>
  <si>
    <t>Impact Description</t>
  </si>
  <si>
    <t>Latitude</t>
  </si>
  <si>
    <t>Longitude</t>
  </si>
  <si>
    <r>
      <rPr>
        <b/>
        <sz val="11"/>
        <rFont val="Calibri"/>
        <family val="2"/>
        <scheme val="minor"/>
      </rPr>
      <t>Lead Agency:</t>
    </r>
    <r>
      <rPr>
        <sz val="11"/>
        <rFont val="Calibri"/>
        <family val="2"/>
        <scheme val="minor"/>
      </rPr>
      <t xml:space="preserve"> U.S. Army Corps of Engineers, St. Paul District</t>
    </r>
  </si>
  <si>
    <t xml:space="preserve">Minnesota Board of Water and Soil Resources </t>
  </si>
  <si>
    <t>Minnesota Department of Natural Resources</t>
  </si>
  <si>
    <t xml:space="preserve">Minnesota Pollution Control Agency </t>
  </si>
  <si>
    <t>Ecosystem Planning and Restoration (EPR) through a contract with the U.S. Environmental</t>
  </si>
  <si>
    <t>Projection Agency (Contract No. EP-C-17-001).</t>
  </si>
  <si>
    <t>Stream Mechanics as a sub-contractor to EPR</t>
  </si>
  <si>
    <t>Minnesota SQT Debit Tool</t>
  </si>
  <si>
    <t>The Minnesota Stream Quantification Tool Credits:</t>
  </si>
  <si>
    <t xml:space="preserve">
Debit
Option</t>
  </si>
  <si>
    <t xml:space="preserve">Scenarios </t>
  </si>
  <si>
    <t>Land Use Coefficient</t>
  </si>
  <si>
    <t>Required for all assessments, except when BMP MIDS is used.</t>
  </si>
  <si>
    <t>BMP MIDS Rv Coefficient</t>
  </si>
  <si>
    <t>Optional. Use where BMPs are proposed on adjacent drainage.</t>
  </si>
  <si>
    <t>Concentrated Flow Points / 1,000 feet</t>
  </si>
  <si>
    <t>Required for all assessments.</t>
  </si>
  <si>
    <t xml:space="preserve">Optional. Contact coordinating agency before including this parameter. </t>
  </si>
  <si>
    <t>Temperature</t>
  </si>
  <si>
    <t>Dissolved Oxygen</t>
  </si>
  <si>
    <t>Optional. Use where water quality standards are not being met and BMPs are proposed on adjacent drainage.</t>
  </si>
  <si>
    <t>Total Suspended Solids</t>
  </si>
  <si>
    <t>Optional for all partial restoration potential projects. 
Required for full restoration potential projects.</t>
  </si>
  <si>
    <t>Any optional metric may be required by the regulating agency on a case-by-case basis.</t>
  </si>
  <si>
    <t>Metric</t>
  </si>
  <si>
    <t>Summer Average (⁰C)</t>
  </si>
  <si>
    <t>DO (mg/L)</t>
  </si>
  <si>
    <t>TSS (mg/L)</t>
  </si>
  <si>
    <t>Macroinvertebrate IBI</t>
  </si>
  <si>
    <t>Fish IBI</t>
  </si>
  <si>
    <t>No. of LWD Pieces / 100 meters</t>
  </si>
  <si>
    <t>Riparian Buffer Width (%)</t>
  </si>
  <si>
    <t>Canopy Cover (%)</t>
  </si>
  <si>
    <t>Herbaceous Vegetation Cover (%)</t>
  </si>
  <si>
    <t>Required for all assessments. Not applicable in multi-thread systems.</t>
  </si>
  <si>
    <t>Required only if woody vegetation is determined to be a natural component of the riparian buffer.</t>
  </si>
  <si>
    <t>Ba</t>
  </si>
  <si>
    <t>Cb</t>
  </si>
  <si>
    <t>VL/VL</t>
  </si>
  <si>
    <t>VL/L</t>
  </si>
  <si>
    <t>VL/M</t>
  </si>
  <si>
    <t>VL/H</t>
  </si>
  <si>
    <t>VL/VH</t>
  </si>
  <si>
    <t>VL/Ex</t>
  </si>
  <si>
    <t>Use Class:</t>
  </si>
  <si>
    <t>Use Class</t>
  </si>
  <si>
    <t>2A</t>
  </si>
  <si>
    <t>2B</t>
  </si>
  <si>
    <t>2Bd</t>
  </si>
  <si>
    <t>2C</t>
  </si>
  <si>
    <t>River Nutrient Regions</t>
  </si>
  <si>
    <t>North</t>
  </si>
  <si>
    <t>Central</t>
  </si>
  <si>
    <t>South</t>
  </si>
  <si>
    <t>River Nutrient Regions:</t>
  </si>
  <si>
    <t>Proposed Bed Material:</t>
  </si>
  <si>
    <t>Macroinvertebrate IBI Class:</t>
  </si>
  <si>
    <t>Macro IBI Class</t>
  </si>
  <si>
    <t>Northern Forest Rivers</t>
  </si>
  <si>
    <t>Northern Forest Streams Riffle-run</t>
  </si>
  <si>
    <t>Northern Forest Streams Glide-pool</t>
  </si>
  <si>
    <t>Northern Coldwater</t>
  </si>
  <si>
    <t>Southern Forest Streams Riffle-run</t>
  </si>
  <si>
    <t>Southern Forest Streams Glide-pool</t>
  </si>
  <si>
    <t>Southern Coldwater</t>
  </si>
  <si>
    <t>Prairie Forest Rivers</t>
  </si>
  <si>
    <t>Prairie Streams Glide-pool</t>
  </si>
  <si>
    <t>Fish IBI Class</t>
  </si>
  <si>
    <t>Northern Rivers</t>
  </si>
  <si>
    <t>Northern Streams</t>
  </si>
  <si>
    <t>Northern Headwaters</t>
  </si>
  <si>
    <t>Southern River</t>
  </si>
  <si>
    <t>Southern Streams</t>
  </si>
  <si>
    <t>Southern Headwaters</t>
  </si>
  <si>
    <t>Low Gradient</t>
  </si>
  <si>
    <t>Fish IBI Class:</t>
  </si>
  <si>
    <t>Land Use Runoff Score</t>
  </si>
  <si>
    <t xml:space="preserve">Coefficients - Y = a * X+ b </t>
  </si>
  <si>
    <t>Concentrated Flow Points / 1,000 ft</t>
  </si>
  <si>
    <t>Coefficients - Y = a  * X + b</t>
  </si>
  <si>
    <t>NF/FAR</t>
  </si>
  <si>
    <t>Pool Spacing Ratio for A and B Stream Types</t>
  </si>
  <si>
    <t>Pool Spacing Ratio for Bc Stream Types</t>
  </si>
  <si>
    <t>Pool Spacing Ratio for C and E Streams</t>
  </si>
  <si>
    <t>Falling limb</t>
  </si>
  <si>
    <t>Percent Riffle for A and B Streams</t>
  </si>
  <si>
    <t>Percent Riffle for C and E Stream Types</t>
  </si>
  <si>
    <t>Riparian Buffer Width</t>
  </si>
  <si>
    <t>Canopy Cover</t>
  </si>
  <si>
    <t>Woody vegetation is a 
natural component of riparian zone</t>
  </si>
  <si>
    <t>Woody vegetation is not a 
natural component of riparian zone</t>
  </si>
  <si>
    <t>Herbaceous Vegetation Cover</t>
  </si>
  <si>
    <t xml:space="preserve">Coefficients - Y = a  * X + b </t>
  </si>
  <si>
    <t>Confined Alluvial or 
Colluvial/V-Shaped Valleys</t>
  </si>
  <si>
    <t>DO</t>
  </si>
  <si>
    <t>Summer Average</t>
  </si>
  <si>
    <t>2B/2Bd/2C</t>
  </si>
  <si>
    <t>TSS</t>
  </si>
  <si>
    <t>2A / -</t>
  </si>
  <si>
    <t>2B/2Bd/2C - North</t>
  </si>
  <si>
    <t>2B/2Bd/2C - Central</t>
  </si>
  <si>
    <t>2B/2Bd/2C - South</t>
  </si>
  <si>
    <t>Macroinvertebrate  IBI - Northern</t>
  </si>
  <si>
    <t>Macroinvertebrate  IBI - Southern</t>
  </si>
  <si>
    <t>Macroinvertebrate  IBI - Prairie</t>
  </si>
  <si>
    <t>Prairie Streams Glide-Pool</t>
  </si>
  <si>
    <t>Fish  IBI - Northern</t>
  </si>
  <si>
    <t>Fish  IBI - Southern</t>
  </si>
  <si>
    <t>Fish  IBI - Low Gradient</t>
  </si>
  <si>
    <t>Proposed BMPs:</t>
  </si>
  <si>
    <t>Woody Veg Natural Component:</t>
  </si>
  <si>
    <t>Entrenchment Ratio (ER) A, Ba, B and Bc Streams</t>
  </si>
  <si>
    <t>Entrenchment Ratio (ER) C, Cb and E Streams</t>
  </si>
  <si>
    <t>PCS</t>
  </si>
  <si>
    <t>ECS and PCS Summary Table</t>
  </si>
  <si>
    <t>Only use when armoring techniques are present or proposed. If armoring is proposed, use instead of BEHI/NBS for proposed condition score.</t>
  </si>
  <si>
    <t>Outstanding Resource Waters:</t>
  </si>
  <si>
    <t>Optional. Use where BMPs are proposed on adjacent drainage or project are large enough to show lift.</t>
  </si>
  <si>
    <t>Debit Option</t>
  </si>
  <si>
    <t xml:space="preserve">Project ID/ Permit 
Applicant Numbers:    </t>
  </si>
  <si>
    <t>Use Existing Conditions tab</t>
  </si>
  <si>
    <t>Use Debit Tool</t>
  </si>
  <si>
    <t xml:space="preserve">Use Debit Tool </t>
  </si>
  <si>
    <r>
      <t>Use Existing Conditions tab - use standard score</t>
    </r>
    <r>
      <rPr>
        <vertAlign val="superscript"/>
        <sz val="11"/>
        <color theme="1"/>
        <rFont val="Calibri"/>
        <family val="2"/>
        <scheme val="minor"/>
      </rPr>
      <t>2</t>
    </r>
    <r>
      <rPr>
        <sz val="11"/>
        <color theme="1"/>
        <rFont val="Calibri"/>
        <family val="2"/>
        <scheme val="minor"/>
      </rPr>
      <t xml:space="preserve"> for all parameters</t>
    </r>
  </si>
  <si>
    <t>Name:</t>
  </si>
  <si>
    <t>Date:</t>
  </si>
  <si>
    <t>Woody Stem Basal Area (sqm/hectare)</t>
  </si>
  <si>
    <t>Woody Stem Basal Area</t>
  </si>
  <si>
    <t>Use Proposed Conditions tab</t>
  </si>
  <si>
    <r>
      <t>PCS</t>
    </r>
    <r>
      <rPr>
        <b/>
        <vertAlign val="superscript"/>
        <sz val="11"/>
        <color theme="1"/>
        <rFont val="Calibri"/>
        <family val="2"/>
        <scheme val="minor"/>
      </rPr>
      <t>1</t>
    </r>
  </si>
  <si>
    <r>
      <rPr>
        <vertAlign val="superscript"/>
        <sz val="11"/>
        <color theme="1"/>
        <rFont val="Calibri"/>
        <family val="2"/>
        <scheme val="minor"/>
      </rPr>
      <t>1</t>
    </r>
    <r>
      <rPr>
        <sz val="11"/>
        <color theme="1"/>
        <rFont val="Calibri"/>
        <family val="2"/>
        <scheme val="minor"/>
      </rPr>
      <t xml:space="preserve"> For complete stream removals/fill or complete piping PCS score is 0.</t>
    </r>
  </si>
  <si>
    <r>
      <rPr>
        <vertAlign val="superscript"/>
        <sz val="11"/>
        <color theme="1"/>
        <rFont val="Calibri"/>
        <family val="2"/>
        <scheme val="minor"/>
      </rPr>
      <t>2</t>
    </r>
    <r>
      <rPr>
        <sz val="11"/>
        <color theme="1"/>
        <rFont val="Calibri"/>
        <family val="2"/>
        <scheme val="minor"/>
      </rPr>
      <t xml:space="preserve"> The standard score is 0.9 for state listed outstanding resource waters (prohibited or restricted). The standard score is 0.8 for all other waters.</t>
    </r>
  </si>
  <si>
    <r>
      <rPr>
        <b/>
        <sz val="11"/>
        <color theme="1"/>
        <rFont val="Calibri"/>
        <family val="2"/>
        <scheme val="minor"/>
      </rPr>
      <t xml:space="preserve">NOTE: </t>
    </r>
    <r>
      <rPr>
        <sz val="11"/>
        <color theme="1"/>
        <rFont val="Calibri"/>
        <family val="2"/>
        <scheme val="minor"/>
      </rPr>
      <t xml:space="preserve">When establishing and/or estimating existing and proposed condition scores, the ECS and PCS will populate from the worksheets in the Existing Conditions and Proposed Conditions tabs to the summary box (left) by Reach ID. There are 10 reach worksheets in each of the Existing Conditions and Proposed Conditions tabs. </t>
    </r>
  </si>
  <si>
    <r>
      <t>Use Existing Conditions tab - use data collected or modeled for selected parameters and use standard score</t>
    </r>
    <r>
      <rPr>
        <vertAlign val="superscript"/>
        <sz val="11"/>
        <color theme="1"/>
        <rFont val="Calibri"/>
        <family val="2"/>
        <scheme val="minor"/>
      </rPr>
      <t xml:space="preserve">2 </t>
    </r>
    <r>
      <rPr>
        <sz val="11"/>
        <color theme="1"/>
        <rFont val="Calibri"/>
        <family val="2"/>
        <scheme val="minor"/>
      </rPr>
      <t>or all other parameters</t>
    </r>
  </si>
  <si>
    <t>Measurement Selection Guide</t>
  </si>
  <si>
    <t>The following table is provided to assist project owners, regulators  and practitioners in selecting the appropriate parameters and metrics for each stream</t>
  </si>
  <si>
    <t>Required to  use either LWDI or No. of LWD Pieces, but not both.</t>
  </si>
  <si>
    <t>Optional. Use for cold water streams that are thermally impacted.</t>
  </si>
  <si>
    <t>Existing Reach ID</t>
  </si>
  <si>
    <t>Proposed  Reach ID</t>
  </si>
  <si>
    <t>STRM 1 R2</t>
  </si>
  <si>
    <t>Tier</t>
  </si>
  <si>
    <t>Example Activities</t>
  </si>
  <si>
    <t>No permanent impact on any of the key function-based parameters</t>
  </si>
  <si>
    <t>Bio-engineering of streambanks, stream restoration</t>
  </si>
  <si>
    <t>Impacts to riparian vegetation and/or lateral migration</t>
  </si>
  <si>
    <t>Bank stabilization, two-stage ditch, utility crossings.</t>
  </si>
  <si>
    <t>Impacts to riparian vegetation, lateral migration, and bed form diversity</t>
  </si>
  <si>
    <t>Utility crossing, two-stage ditch, bridges, bottomless arch culverts</t>
  </si>
  <si>
    <t>Impacts to riparian vegetation, lateral migration, bed form diversity, and floodplain connectivity</t>
  </si>
  <si>
    <t>Bottomless arch culverts, minor channelization</t>
  </si>
  <si>
    <t>Impacts to riparian vegetation, lateral migration, bed form diversity, and floodplain connectivity. Potential impacts to temperature, processing of organic matter, and macroinvertebrate and fish communities</t>
  </si>
  <si>
    <r>
      <t>Channelization, box culverts, short length pipe culverts, weirs/impoundments/flood, and minor relocations</t>
    </r>
    <r>
      <rPr>
        <sz val="11"/>
        <color theme="1"/>
        <rFont val="Calibri"/>
        <family val="2"/>
      </rPr>
      <t xml:space="preserve">  </t>
    </r>
  </si>
  <si>
    <t>Removal of all aquatic functions</t>
  </si>
  <si>
    <r>
      <t>Piping, relocation, removal or complete fill of channel</t>
    </r>
    <r>
      <rPr>
        <sz val="11"/>
        <color theme="1"/>
        <rFont val="Calibri"/>
        <family val="2"/>
      </rPr>
      <t xml:space="preserve"> </t>
    </r>
  </si>
  <si>
    <t>Description (Impacts to function-based parameters)</t>
  </si>
  <si>
    <t>restoration project reach. All parameters and metrics would rarely, if ever, be used for a single project. The scenarios below show when each parameter could be</t>
  </si>
  <si>
    <r>
      <t>used. Note, if a metric is selected, it must be assessed for the existing</t>
    </r>
    <r>
      <rPr>
        <i/>
        <sz val="11"/>
        <color theme="1"/>
        <rFont val="Calibri"/>
        <family val="2"/>
        <scheme val="minor"/>
      </rPr>
      <t xml:space="preserve"> </t>
    </r>
    <r>
      <rPr>
        <b/>
        <sz val="11"/>
        <color theme="1"/>
        <rFont val="Calibri"/>
        <family val="2"/>
        <scheme val="minor"/>
      </rPr>
      <t>and</t>
    </r>
    <r>
      <rPr>
        <sz val="11"/>
        <color theme="1"/>
        <rFont val="Calibri"/>
        <family val="2"/>
        <scheme val="minor"/>
      </rPr>
      <t xml:space="preserve"> proposed condition.</t>
    </r>
  </si>
  <si>
    <t xml:space="preserve">1. Determine stream existing length. 
2. Determine proposed stream length. This should be equal to or less than the original stream length and equivalent to the impact length, e.g. culvert  or riprap length. 
3. Determine Impact Severity Tier based on impact descriptions found in the St. Paul Stream Mitigation Guidance (USACE, Date pending). 
4. Select option 1, 2, or 3 and establish an existing condition score (ECS). 
5. If using the standard score, the ECS is 0.9 for state listed outstanding resource waters (prohibited or restricted) or 0.8 for all other waters. 
6. When determining existing and proposed condition scores, fill in the worksheets on the Existing Conditions (Debit Options 1,2, and 3) and Proposed Condition (Debit Option 1) tabs. 
7. Directions to determine existing and proposed condition scores are providing in the  MN Quantification Tool and Debit Calculator User Manual.
8. When determining the existing or proposed conditions, an overall ECS and PCS for each reach will be automatically populated in the Summary table (left). Any reach that results in an ECS less than 0.30 will be set to 0.30 in the Summary Table.
9. Use the ECS and PCS from the summary table to enter an Existing Condition Score in the above Debit Tool Table in the row with the corresponding Stream ID and  impact.
10. For Debit Option 1, the Proposed Condition Score will be automatically populated in the Debit Tool Table.
11. Each impact should be entered separately.
12. There may be multiple impacts on a single stream reach.
13. There may be multiple reaches on a single impacted stream.
14. The table will total the amount of debits based on functional losses and totaled as a loss of functional feet.
15. Please note applicants must submit data sheet in support of an ECS if a number other than the Standard ECS is used.
16. The minimum ECS is set to 0.30.
</t>
  </si>
  <si>
    <t>Reach Information and Reference Selection</t>
  </si>
  <si>
    <t>PROPOSED CONDITION ASSESSMENT</t>
  </si>
  <si>
    <t>Version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</si>
</sst>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0.00000"/>
    <numFmt numFmtId="166" formatCode="0.000000"/>
    <numFmt numFmtId="167" formatCode="m/d/yy;@"/>
    <numFmt numFmtId="168" formatCode="0.0000"/>
    <numFmt numFmtId="169" formatCode="0.000"/>
    <numFmt numFmtId="170" formatCode="0.00000000"/>
  </numFmts>
  <fonts count="23" x14ac:knownFonts="1">
    <font>
      <sz val="11"/>
      <color theme="1"/>
      <name val="Calibri"/>
      <family val="2"/>
      <scheme val="minor"/>
    </font>
    <font>
      <b/>
      <sz val="11"/>
      <color theme="1"/>
      <name val="Calibri"/>
      <family val="2"/>
      <scheme val="minor"/>
    </font>
    <font>
      <sz val="10"/>
      <name val="Arial"/>
      <family val="2"/>
    </font>
    <font>
      <b/>
      <sz val="16"/>
      <color theme="1"/>
      <name val="Calibri"/>
      <family val="2"/>
      <scheme val="minor"/>
    </font>
    <font>
      <sz val="12"/>
      <color theme="1"/>
      <name val="Calibri"/>
      <family val="2"/>
      <scheme val="minor"/>
    </font>
    <font>
      <b/>
      <sz val="12"/>
      <color theme="1"/>
      <name val="Calibri"/>
      <family val="2"/>
      <scheme val="minor"/>
    </font>
    <font>
      <sz val="12"/>
      <name val="Calibri"/>
      <family val="2"/>
      <scheme val="minor"/>
    </font>
    <font>
      <sz val="12"/>
      <color rgb="FF000000"/>
      <name val="Calibri"/>
      <family val="2"/>
      <scheme val="minor"/>
    </font>
    <font>
      <sz val="11"/>
      <color theme="1"/>
      <name val="Calibri"/>
      <family val="2"/>
      <scheme val="minor"/>
    </font>
    <font>
      <i/>
      <sz val="11"/>
      <color theme="1"/>
      <name val="Calibri"/>
      <family val="2"/>
      <scheme val="minor"/>
    </font>
    <font>
      <b/>
      <sz val="14"/>
      <color theme="1"/>
      <name val="Calibri"/>
      <family val="2"/>
      <scheme val="minor"/>
    </font>
    <font>
      <sz val="14"/>
      <color theme="1"/>
      <name val="Calibri"/>
      <family val="2"/>
      <scheme val="minor"/>
    </font>
    <font>
      <sz val="11"/>
      <name val="Calibri"/>
      <family val="2"/>
      <scheme val="minor"/>
    </font>
    <font>
      <b/>
      <sz val="11"/>
      <name val="Calibri"/>
      <family val="2"/>
      <scheme val="minor"/>
    </font>
    <font>
      <sz val="11"/>
      <color rgb="FF000000"/>
      <name val="Calibri"/>
      <family val="2"/>
      <scheme val="minor"/>
    </font>
    <font>
      <sz val="10.5"/>
      <color rgb="FF000000"/>
      <name val="Calibri"/>
      <family val="2"/>
      <scheme val="minor"/>
    </font>
    <font>
      <sz val="10.5"/>
      <color theme="1"/>
      <name val="Calibri"/>
      <family val="2"/>
      <scheme val="minor"/>
    </font>
    <font>
      <sz val="10.5"/>
      <name val="Calibri"/>
      <family val="2"/>
      <scheme val="minor"/>
    </font>
    <font>
      <vertAlign val="superscript"/>
      <sz val="11"/>
      <color theme="1"/>
      <name val="Calibri"/>
      <family val="2"/>
      <scheme val="minor"/>
    </font>
    <font>
      <b/>
      <vertAlign val="superscript"/>
      <sz val="11"/>
      <color theme="1"/>
      <name val="Calibri"/>
      <family val="2"/>
      <scheme val="minor"/>
    </font>
    <font>
      <sz val="11"/>
      <color theme="1"/>
      <name val="Arial"/>
      <family val="2"/>
    </font>
    <font>
      <sz val="11"/>
      <color theme="1"/>
      <name val="Calibri"/>
      <family val="2"/>
    </font>
    <font>
      <b/>
      <sz val="11"/>
      <name val="Arial"/>
      <family val="2"/>
    </font>
  </fonts>
  <fills count="14">
    <fill>
      <patternFill patternType="none"/>
    </fill>
    <fill>
      <patternFill patternType="gray125"/>
    </fill>
    <fill>
      <patternFill patternType="solid">
        <fgColor theme="0" tint="-0.249977111117893"/>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4" tint="0.59999389629810485"/>
        <bgColor indexed="65"/>
      </patternFill>
    </fill>
    <fill>
      <patternFill patternType="solid">
        <fgColor theme="3" tint="0.79998168889431442"/>
        <bgColor indexed="64"/>
      </patternFill>
    </fill>
    <fill>
      <patternFill patternType="solid">
        <fgColor theme="2" tint="-0.249977111117893"/>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7" tint="0.79998168889431442"/>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4">
    <xf numFmtId="0" fontId="0" fillId="0" borderId="0"/>
    <xf numFmtId="0" fontId="2" fillId="0" borderId="0"/>
    <xf numFmtId="0" fontId="8" fillId="8" borderId="0" applyNumberFormat="0" applyBorder="0" applyAlignment="0" applyProtection="0"/>
    <xf numFmtId="9" fontId="8" fillId="0" borderId="0" applyFont="0" applyFill="0" applyBorder="0" applyAlignment="0" applyProtection="0"/>
  </cellStyleXfs>
  <cellXfs count="457">
    <xf numFmtId="0" fontId="0" fillId="0" borderId="0" xfId="0"/>
    <xf numFmtId="0" fontId="0" fillId="0" borderId="0" xfId="0" applyFill="1" applyBorder="1"/>
    <xf numFmtId="0" fontId="0" fillId="0" borderId="0" xfId="0" applyFill="1" applyBorder="1" applyAlignment="1">
      <alignment vertical="center" wrapText="1"/>
    </xf>
    <xf numFmtId="0" fontId="0" fillId="0" borderId="0" xfId="0" applyFill="1" applyAlignment="1">
      <alignment horizontal="center"/>
    </xf>
    <xf numFmtId="0" fontId="0" fillId="0" borderId="0" xfId="0" applyFill="1"/>
    <xf numFmtId="0" fontId="0" fillId="0" borderId="0" xfId="0"/>
    <xf numFmtId="0" fontId="1" fillId="0" borderId="0" xfId="0" applyFont="1"/>
    <xf numFmtId="0" fontId="0" fillId="0" borderId="0" xfId="0" applyAlignment="1">
      <alignment vertical="center"/>
    </xf>
    <xf numFmtId="0" fontId="0" fillId="0" borderId="0" xfId="0" applyFill="1" applyBorder="1" applyAlignment="1">
      <alignment vertical="center"/>
    </xf>
    <xf numFmtId="0" fontId="0" fillId="0" borderId="0" xfId="0" applyBorder="1" applyAlignment="1">
      <alignment horizontal="center"/>
    </xf>
    <xf numFmtId="2" fontId="0" fillId="0" borderId="0" xfId="0" applyNumberFormat="1"/>
    <xf numFmtId="0" fontId="0" fillId="0" borderId="0" xfId="0" applyBorder="1"/>
    <xf numFmtId="0" fontId="1" fillId="0" borderId="0" xfId="0" applyFont="1" applyBorder="1" applyAlignment="1"/>
    <xf numFmtId="0" fontId="0" fillId="0" borderId="0" xfId="0" applyBorder="1" applyAlignment="1">
      <alignment vertical="center" wrapText="1"/>
    </xf>
    <xf numFmtId="0" fontId="4" fillId="0" borderId="1" xfId="0" applyFont="1" applyBorder="1"/>
    <xf numFmtId="0" fontId="5" fillId="0" borderId="1" xfId="0" applyFont="1" applyBorder="1" applyAlignment="1">
      <alignment horizontal="center"/>
    </xf>
    <xf numFmtId="0" fontId="4" fillId="2" borderId="11" xfId="0" applyFont="1" applyFill="1" applyBorder="1" applyAlignment="1" applyProtection="1">
      <alignment horizontal="center"/>
      <protection locked="0"/>
    </xf>
    <xf numFmtId="0" fontId="4" fillId="4" borderId="0" xfId="0" applyFont="1" applyFill="1" applyBorder="1"/>
    <xf numFmtId="0" fontId="4" fillId="5" borderId="1" xfId="0" applyFont="1" applyFill="1" applyBorder="1" applyAlignment="1">
      <alignment horizontal="left" vertical="center"/>
    </xf>
    <xf numFmtId="0" fontId="4" fillId="5" borderId="0" xfId="0" applyFont="1" applyFill="1" applyBorder="1"/>
    <xf numFmtId="0" fontId="6" fillId="5" borderId="0" xfId="0" applyFont="1" applyFill="1" applyBorder="1"/>
    <xf numFmtId="0" fontId="4" fillId="5" borderId="8" xfId="0" applyFont="1" applyFill="1" applyBorder="1"/>
    <xf numFmtId="0" fontId="4" fillId="2" borderId="15" xfId="0" applyFont="1" applyFill="1" applyBorder="1" applyAlignment="1" applyProtection="1">
      <alignment horizontal="center"/>
      <protection locked="0"/>
    </xf>
    <xf numFmtId="0" fontId="4" fillId="5" borderId="9" xfId="0" applyFont="1" applyFill="1" applyBorder="1"/>
    <xf numFmtId="0" fontId="4" fillId="5" borderId="12" xfId="0" applyFont="1" applyFill="1" applyBorder="1"/>
    <xf numFmtId="0" fontId="4" fillId="5" borderId="15" xfId="0" applyFont="1" applyFill="1" applyBorder="1"/>
    <xf numFmtId="0" fontId="4" fillId="5" borderId="4" xfId="0" applyFont="1" applyFill="1" applyBorder="1"/>
    <xf numFmtId="2" fontId="4" fillId="5" borderId="1" xfId="0" applyNumberFormat="1" applyFont="1" applyFill="1" applyBorder="1" applyAlignment="1">
      <alignment horizontal="center"/>
    </xf>
    <xf numFmtId="2" fontId="4" fillId="3" borderId="2" xfId="0" applyNumberFormat="1" applyFont="1" applyFill="1" applyBorder="1" applyAlignment="1">
      <alignment horizontal="center"/>
    </xf>
    <xf numFmtId="2" fontId="4" fillId="5" borderId="14" xfId="0" applyNumberFormat="1" applyFont="1" applyFill="1" applyBorder="1" applyAlignment="1">
      <alignment horizontal="center"/>
    </xf>
    <xf numFmtId="0" fontId="0" fillId="0" borderId="0" xfId="0" applyAlignment="1"/>
    <xf numFmtId="0" fontId="0" fillId="0" borderId="0" xfId="0" applyAlignment="1">
      <alignment horizontal="left"/>
    </xf>
    <xf numFmtId="0" fontId="0" fillId="0" borderId="0" xfId="0" applyFill="1" applyBorder="1" applyAlignment="1"/>
    <xf numFmtId="0" fontId="0" fillId="0" borderId="0" xfId="0" applyBorder="1" applyAlignment="1">
      <alignment vertical="center"/>
    </xf>
    <xf numFmtId="0" fontId="0" fillId="0" borderId="0" xfId="0" applyFill="1" applyBorder="1" applyAlignment="1">
      <alignment horizontal="center"/>
    </xf>
    <xf numFmtId="0" fontId="1" fillId="0" borderId="0" xfId="0" applyFont="1" applyFill="1"/>
    <xf numFmtId="0" fontId="0" fillId="0" borderId="0" xfId="0" applyFont="1" applyFill="1" applyBorder="1" applyAlignment="1">
      <alignment horizontal="center"/>
    </xf>
    <xf numFmtId="0" fontId="0" fillId="0" borderId="0" xfId="0" applyFill="1" applyAlignment="1">
      <alignment horizontal="center"/>
    </xf>
    <xf numFmtId="0" fontId="3" fillId="0" borderId="0" xfId="0" applyFont="1" applyBorder="1" applyAlignment="1"/>
    <xf numFmtId="0" fontId="0" fillId="0" borderId="0" xfId="0" applyBorder="1" applyAlignment="1"/>
    <xf numFmtId="0" fontId="4" fillId="7" borderId="8" xfId="0" applyFont="1" applyFill="1" applyBorder="1"/>
    <xf numFmtId="0" fontId="4" fillId="7" borderId="15" xfId="0" applyFont="1" applyFill="1" applyBorder="1"/>
    <xf numFmtId="0" fontId="0" fillId="0" borderId="0" xfId="0" applyFill="1" applyBorder="1" applyAlignment="1">
      <alignment horizontal="center"/>
    </xf>
    <xf numFmtId="0" fontId="0" fillId="0" borderId="0" xfId="0" applyFill="1" applyAlignment="1"/>
    <xf numFmtId="0" fontId="4" fillId="2" borderId="2" xfId="0" applyFont="1" applyFill="1" applyBorder="1" applyAlignment="1" applyProtection="1">
      <alignment horizontal="center"/>
      <protection locked="0"/>
    </xf>
    <xf numFmtId="0" fontId="5" fillId="0" borderId="6" xfId="0" applyFont="1" applyBorder="1" applyAlignment="1">
      <alignment horizontal="center"/>
    </xf>
    <xf numFmtId="0" fontId="5" fillId="0" borderId="1" xfId="0" applyFont="1" applyBorder="1" applyAlignment="1">
      <alignment horizontal="center"/>
    </xf>
    <xf numFmtId="165" fontId="0" fillId="0" borderId="0" xfId="0" applyNumberFormat="1"/>
    <xf numFmtId="0" fontId="4" fillId="9" borderId="1" xfId="0" applyFont="1" applyFill="1" applyBorder="1" applyAlignment="1" applyProtection="1">
      <alignment horizontal="center"/>
      <protection locked="0"/>
    </xf>
    <xf numFmtId="0" fontId="4" fillId="2" borderId="14" xfId="0" applyFont="1" applyFill="1" applyBorder="1" applyAlignment="1" applyProtection="1">
      <alignment horizontal="center"/>
      <protection locked="0"/>
    </xf>
    <xf numFmtId="0" fontId="4" fillId="2" borderId="3" xfId="0" applyFont="1" applyFill="1" applyBorder="1" applyAlignment="1" applyProtection="1">
      <alignment horizontal="center"/>
      <protection locked="0"/>
    </xf>
    <xf numFmtId="0" fontId="0" fillId="0" borderId="0" xfId="0" applyFill="1" applyAlignment="1">
      <alignment horizontal="center"/>
    </xf>
    <xf numFmtId="0" fontId="4" fillId="2" borderId="9" xfId="0" applyFont="1" applyFill="1" applyBorder="1" applyAlignment="1" applyProtection="1">
      <alignment horizontal="center"/>
      <protection locked="0"/>
    </xf>
    <xf numFmtId="0" fontId="4" fillId="2" borderId="8" xfId="0" applyFont="1" applyFill="1" applyBorder="1" applyAlignment="1" applyProtection="1">
      <alignment horizontal="center"/>
      <protection locked="0"/>
    </xf>
    <xf numFmtId="0" fontId="4" fillId="2" borderId="12" xfId="0" applyFont="1" applyFill="1" applyBorder="1" applyAlignment="1" applyProtection="1">
      <alignment horizontal="center"/>
      <protection locked="0"/>
    </xf>
    <xf numFmtId="1" fontId="4" fillId="0" borderId="0" xfId="0" applyNumberFormat="1" applyFont="1" applyBorder="1" applyAlignment="1">
      <alignment horizontal="center"/>
    </xf>
    <xf numFmtId="166" fontId="0" fillId="0" borderId="0" xfId="0" applyNumberFormat="1"/>
    <xf numFmtId="166" fontId="0" fillId="0" borderId="0" xfId="0" applyNumberFormat="1" applyFill="1"/>
    <xf numFmtId="0" fontId="0" fillId="0" borderId="9" xfId="0" applyFill="1" applyBorder="1"/>
    <xf numFmtId="0" fontId="0" fillId="0" borderId="10" xfId="0" applyBorder="1"/>
    <xf numFmtId="0" fontId="0" fillId="0" borderId="9" xfId="0" applyBorder="1"/>
    <xf numFmtId="0" fontId="0" fillId="0" borderId="10" xfId="0" applyFill="1" applyBorder="1"/>
    <xf numFmtId="0" fontId="0" fillId="0" borderId="9" xfId="0" applyFill="1" applyBorder="1" applyAlignment="1"/>
    <xf numFmtId="0" fontId="0" fillId="0" borderId="10" xfId="0" applyBorder="1" applyAlignment="1">
      <alignment vertical="center"/>
    </xf>
    <xf numFmtId="0" fontId="0" fillId="0" borderId="10" xfId="0" applyFill="1" applyBorder="1" applyAlignment="1"/>
    <xf numFmtId="0" fontId="0" fillId="0" borderId="0" xfId="0" applyFill="1" applyAlignment="1">
      <alignment horizontal="center"/>
    </xf>
    <xf numFmtId="0" fontId="0" fillId="0" borderId="0" xfId="0" applyBorder="1" applyAlignment="1">
      <alignment horizontal="left"/>
    </xf>
    <xf numFmtId="0" fontId="0" fillId="0" borderId="0" xfId="0" applyAlignment="1">
      <alignment horizontal="left" vertical="center"/>
    </xf>
    <xf numFmtId="0" fontId="4" fillId="5" borderId="6" xfId="0" applyFont="1" applyFill="1" applyBorder="1"/>
    <xf numFmtId="0" fontId="4" fillId="5" borderId="7" xfId="0" applyFont="1" applyFill="1" applyBorder="1"/>
    <xf numFmtId="0" fontId="4" fillId="5" borderId="13" xfId="0" applyFont="1" applyFill="1" applyBorder="1"/>
    <xf numFmtId="0" fontId="0" fillId="0" borderId="0" xfId="0" applyFill="1" applyBorder="1" applyAlignment="1">
      <alignment horizontal="center"/>
    </xf>
    <xf numFmtId="2" fontId="0" fillId="0" borderId="0" xfId="2" applyNumberFormat="1" applyFont="1" applyFill="1" applyBorder="1" applyAlignment="1">
      <alignment horizontal="right" vertical="center"/>
    </xf>
    <xf numFmtId="0" fontId="0" fillId="0" borderId="0" xfId="2" applyFont="1" applyFill="1" applyBorder="1" applyAlignment="1">
      <alignment horizontal="right" vertical="center"/>
    </xf>
    <xf numFmtId="0" fontId="0" fillId="0" borderId="10" xfId="0" applyFill="1" applyBorder="1" applyAlignment="1">
      <alignment vertical="center" wrapText="1"/>
    </xf>
    <xf numFmtId="0" fontId="0" fillId="0" borderId="10" xfId="0" applyBorder="1" applyAlignment="1"/>
    <xf numFmtId="0" fontId="0" fillId="0" borderId="10" xfId="0" applyBorder="1" applyAlignment="1">
      <alignment vertical="center" wrapText="1"/>
    </xf>
    <xf numFmtId="0" fontId="0" fillId="0" borderId="0" xfId="2" applyFont="1" applyFill="1" applyBorder="1" applyAlignment="1">
      <alignment horizontal="center" vertical="center"/>
    </xf>
    <xf numFmtId="0" fontId="0" fillId="0" borderId="0" xfId="0" applyAlignment="1">
      <alignment horizontal="center"/>
    </xf>
    <xf numFmtId="0" fontId="0" fillId="0" borderId="0" xfId="0" applyFill="1" applyBorder="1" applyAlignment="1">
      <alignment horizontal="center"/>
    </xf>
    <xf numFmtId="0" fontId="0" fillId="0" borderId="0" xfId="0" applyFill="1" applyAlignment="1">
      <alignment horizontal="center"/>
    </xf>
    <xf numFmtId="2" fontId="0" fillId="0" borderId="3" xfId="0" applyNumberFormat="1" applyBorder="1" applyAlignment="1">
      <alignment horizontal="center"/>
    </xf>
    <xf numFmtId="0" fontId="0" fillId="0" borderId="0" xfId="0" applyProtection="1"/>
    <xf numFmtId="2" fontId="0" fillId="0" borderId="1" xfId="0" applyNumberFormat="1" applyBorder="1" applyAlignment="1" applyProtection="1">
      <alignment horizontal="center"/>
    </xf>
    <xf numFmtId="0" fontId="0" fillId="10" borderId="1" xfId="0" applyFill="1" applyBorder="1" applyAlignment="1" applyProtection="1">
      <alignment horizontal="center"/>
      <protection locked="0"/>
    </xf>
    <xf numFmtId="0" fontId="0" fillId="9" borderId="1" xfId="0" applyFill="1" applyBorder="1" applyAlignment="1" applyProtection="1">
      <alignment horizontal="center"/>
      <protection locked="0"/>
    </xf>
    <xf numFmtId="0" fontId="0" fillId="0" borderId="10" xfId="2" applyFont="1" applyFill="1" applyBorder="1" applyAlignment="1">
      <alignment horizontal="right" vertical="center"/>
    </xf>
    <xf numFmtId="0" fontId="0" fillId="0" borderId="0" xfId="0" applyFill="1" applyAlignment="1">
      <alignment horizontal="left"/>
    </xf>
    <xf numFmtId="0" fontId="5" fillId="0" borderId="0" xfId="0" applyFont="1" applyFill="1" applyBorder="1"/>
    <xf numFmtId="0" fontId="0" fillId="0" borderId="10" xfId="0" applyFill="1" applyBorder="1" applyAlignment="1">
      <alignment horizontal="left"/>
    </xf>
    <xf numFmtId="0" fontId="0" fillId="0" borderId="10" xfId="0" applyFill="1" applyBorder="1" applyAlignment="1">
      <alignment horizontal="left" vertical="center"/>
    </xf>
    <xf numFmtId="0" fontId="0" fillId="0" borderId="10" xfId="0" applyBorder="1" applyAlignment="1">
      <alignment horizontal="left"/>
    </xf>
    <xf numFmtId="0" fontId="1" fillId="0" borderId="0" xfId="0" applyFont="1" applyBorder="1"/>
    <xf numFmtId="0" fontId="1" fillId="0" borderId="0" xfId="0" applyFont="1" applyFill="1" applyBorder="1" applyAlignment="1" applyProtection="1">
      <alignment horizontal="center" vertical="center"/>
    </xf>
    <xf numFmtId="0" fontId="0" fillId="0" borderId="0" xfId="0" applyFill="1" applyBorder="1" applyAlignment="1" applyProtection="1">
      <alignment horizontal="left"/>
      <protection locked="0"/>
    </xf>
    <xf numFmtId="0" fontId="0" fillId="0" borderId="0" xfId="0" applyFill="1" applyBorder="1" applyAlignment="1" applyProtection="1">
      <alignment horizontal="center"/>
      <protection locked="0"/>
    </xf>
    <xf numFmtId="2" fontId="4" fillId="4" borderId="0" xfId="0" applyNumberFormat="1" applyFont="1" applyFill="1" applyBorder="1" applyAlignment="1">
      <alignment horizontal="center"/>
    </xf>
    <xf numFmtId="2" fontId="4" fillId="5" borderId="2" xfId="0" applyNumberFormat="1" applyFont="1" applyFill="1" applyBorder="1" applyAlignment="1">
      <alignment horizontal="center"/>
    </xf>
    <xf numFmtId="2" fontId="4" fillId="5" borderId="3" xfId="0" applyNumberFormat="1" applyFont="1" applyFill="1" applyBorder="1" applyAlignment="1">
      <alignment horizontal="center"/>
    </xf>
    <xf numFmtId="2" fontId="4" fillId="7" borderId="3" xfId="0" applyNumberFormat="1" applyFont="1" applyFill="1" applyBorder="1" applyAlignment="1">
      <alignment horizontal="center"/>
    </xf>
    <xf numFmtId="0" fontId="0" fillId="0" borderId="0" xfId="0" applyProtection="1">
      <protection locked="0"/>
    </xf>
    <xf numFmtId="0" fontId="4" fillId="2" borderId="1" xfId="0" applyFont="1" applyFill="1" applyBorder="1" applyAlignment="1" applyProtection="1">
      <alignment horizontal="center"/>
      <protection locked="0"/>
    </xf>
    <xf numFmtId="0" fontId="0" fillId="0" borderId="0" xfId="0" applyAlignment="1">
      <alignment wrapText="1"/>
    </xf>
    <xf numFmtId="0" fontId="4" fillId="0" borderId="0" xfId="0" applyFont="1" applyBorder="1" applyAlignment="1">
      <alignment wrapText="1"/>
    </xf>
    <xf numFmtId="0" fontId="1" fillId="0" borderId="0" xfId="0" applyFont="1" applyBorder="1" applyAlignment="1">
      <alignment wrapText="1"/>
    </xf>
    <xf numFmtId="0" fontId="5" fillId="0" borderId="1" xfId="0" applyFont="1" applyBorder="1" applyAlignment="1">
      <alignment horizontal="center" wrapText="1"/>
    </xf>
    <xf numFmtId="0" fontId="4" fillId="0" borderId="1" xfId="0" applyFont="1" applyBorder="1" applyAlignment="1"/>
    <xf numFmtId="0" fontId="4" fillId="0" borderId="0" xfId="0" applyFont="1" applyBorder="1" applyAlignment="1"/>
    <xf numFmtId="2" fontId="0" fillId="0" borderId="1" xfId="0" applyNumberFormat="1" applyBorder="1" applyAlignment="1" applyProtection="1">
      <alignment horizontal="center"/>
      <protection locked="0"/>
    </xf>
    <xf numFmtId="0" fontId="0" fillId="0" borderId="0" xfId="0" applyAlignment="1">
      <alignment horizontal="left" vertical="center" wrapText="1"/>
    </xf>
    <xf numFmtId="0" fontId="0" fillId="0" borderId="1" xfId="0" applyBorder="1" applyAlignment="1">
      <alignment horizontal="center"/>
    </xf>
    <xf numFmtId="0" fontId="0" fillId="0" borderId="0" xfId="0" applyBorder="1" applyProtection="1"/>
    <xf numFmtId="0" fontId="0" fillId="10" borderId="21" xfId="0" applyFill="1" applyBorder="1" applyAlignment="1" applyProtection="1">
      <alignment horizontal="left"/>
      <protection locked="0"/>
    </xf>
    <xf numFmtId="0" fontId="3" fillId="0" borderId="0" xfId="0" applyFont="1" applyBorder="1" applyProtection="1"/>
    <xf numFmtId="164" fontId="0" fillId="0" borderId="22" xfId="0" applyNumberFormat="1" applyBorder="1" applyAlignment="1" applyProtection="1">
      <alignment horizontal="center"/>
    </xf>
    <xf numFmtId="0" fontId="0" fillId="0" borderId="0" xfId="0" applyAlignment="1">
      <alignment vertical="top" wrapText="1"/>
    </xf>
    <xf numFmtId="0" fontId="1" fillId="0" borderId="29" xfId="0" applyFont="1" applyBorder="1" applyAlignment="1">
      <alignment horizontal="center" wrapText="1"/>
    </xf>
    <xf numFmtId="0" fontId="1" fillId="0" borderId="30" xfId="0" applyFont="1" applyBorder="1" applyAlignment="1">
      <alignment horizontal="center" wrapText="1"/>
    </xf>
    <xf numFmtId="0" fontId="0" fillId="0" borderId="32" xfId="0" applyBorder="1" applyAlignment="1">
      <alignment horizontal="center"/>
    </xf>
    <xf numFmtId="0" fontId="0" fillId="0" borderId="21" xfId="0" applyBorder="1" applyAlignment="1">
      <alignment horizontal="center"/>
    </xf>
    <xf numFmtId="0" fontId="0" fillId="0" borderId="23" xfId="0" applyBorder="1" applyAlignment="1">
      <alignment horizontal="center"/>
    </xf>
    <xf numFmtId="164" fontId="10" fillId="0" borderId="25" xfId="0" applyNumberFormat="1" applyFont="1" applyBorder="1" applyAlignment="1" applyProtection="1">
      <alignment vertical="center"/>
    </xf>
    <xf numFmtId="0" fontId="4" fillId="0" borderId="1" xfId="0" applyFont="1" applyBorder="1"/>
    <xf numFmtId="0" fontId="12" fillId="0" borderId="0" xfId="0" applyFont="1" applyFill="1"/>
    <xf numFmtId="0" fontId="12" fillId="0" borderId="0" xfId="0" applyFont="1" applyFill="1" applyBorder="1"/>
    <xf numFmtId="0" fontId="12" fillId="0" borderId="0" xfId="0" applyFont="1" applyFill="1" applyAlignment="1">
      <alignment horizontal="center"/>
    </xf>
    <xf numFmtId="0" fontId="12" fillId="0" borderId="0" xfId="0" applyFont="1"/>
    <xf numFmtId="0" fontId="0" fillId="0" borderId="9" xfId="0" applyFill="1" applyBorder="1" applyAlignment="1">
      <alignment horizontal="center"/>
    </xf>
    <xf numFmtId="0" fontId="4" fillId="7" borderId="8" xfId="0" applyFont="1" applyFill="1" applyBorder="1" applyAlignment="1">
      <alignment horizontal="left" vertical="center"/>
    </xf>
    <xf numFmtId="2" fontId="4" fillId="7" borderId="6" xfId="0" applyNumberFormat="1" applyFont="1" applyFill="1" applyBorder="1" applyAlignment="1">
      <alignment horizontal="center" vertical="center"/>
    </xf>
    <xf numFmtId="0" fontId="4" fillId="7" borderId="4" xfId="0" applyFont="1" applyFill="1" applyBorder="1" applyAlignment="1">
      <alignment horizontal="left" vertical="center"/>
    </xf>
    <xf numFmtId="0" fontId="0" fillId="0" borderId="0" xfId="0" applyBorder="1" applyAlignment="1">
      <alignment horizontal="center"/>
    </xf>
    <xf numFmtId="0" fontId="0" fillId="0" borderId="10" xfId="0" applyBorder="1" applyAlignment="1">
      <alignment horizontal="center"/>
    </xf>
    <xf numFmtId="0" fontId="0" fillId="0" borderId="0" xfId="0" applyAlignment="1">
      <alignment horizontal="center"/>
    </xf>
    <xf numFmtId="0" fontId="10" fillId="0" borderId="37" xfId="0" applyFont="1" applyBorder="1" applyAlignment="1">
      <alignment horizontal="center" vertical="center"/>
    </xf>
    <xf numFmtId="167" fontId="1" fillId="0" borderId="36" xfId="0" applyNumberFormat="1" applyFont="1" applyBorder="1" applyAlignment="1" applyProtection="1">
      <alignment horizontal="center"/>
      <protection locked="0"/>
    </xf>
    <xf numFmtId="0" fontId="1" fillId="0" borderId="39" xfId="0" applyFont="1" applyBorder="1" applyAlignment="1">
      <alignment horizontal="center"/>
    </xf>
    <xf numFmtId="15" fontId="0" fillId="0" borderId="0" xfId="0" applyNumberFormat="1"/>
    <xf numFmtId="0" fontId="0" fillId="0" borderId="24" xfId="0" applyBorder="1" applyAlignment="1">
      <alignment horizontal="center"/>
    </xf>
    <xf numFmtId="0" fontId="10" fillId="0" borderId="0" xfId="0" applyFont="1"/>
    <xf numFmtId="0" fontId="1" fillId="12" borderId="1" xfId="0" applyFont="1" applyFill="1" applyBorder="1" applyAlignment="1">
      <alignment horizontal="center"/>
    </xf>
    <xf numFmtId="0" fontId="1" fillId="12" borderId="1" xfId="0" applyFont="1" applyFill="1" applyBorder="1"/>
    <xf numFmtId="0" fontId="9" fillId="0" borderId="0" xfId="0" applyFont="1"/>
    <xf numFmtId="0" fontId="0" fillId="0" borderId="0" xfId="0" applyFont="1"/>
    <xf numFmtId="0" fontId="0" fillId="3" borderId="1" xfId="0" applyFont="1" applyFill="1" applyBorder="1"/>
    <xf numFmtId="0" fontId="0" fillId="0" borderId="1" xfId="0" applyFont="1" applyBorder="1"/>
    <xf numFmtId="0" fontId="0" fillId="4" borderId="1" xfId="0" applyFont="1" applyFill="1" applyBorder="1"/>
    <xf numFmtId="0" fontId="0" fillId="5" borderId="8" xfId="0" applyFont="1" applyFill="1" applyBorder="1"/>
    <xf numFmtId="0" fontId="0" fillId="5" borderId="9" xfId="0" applyFont="1" applyFill="1" applyBorder="1"/>
    <xf numFmtId="0" fontId="0" fillId="5" borderId="2" xfId="0" applyFont="1" applyFill="1" applyBorder="1" applyAlignment="1">
      <alignment horizontal="left" vertical="center"/>
    </xf>
    <xf numFmtId="0" fontId="0" fillId="5" borderId="12" xfId="0" applyFont="1" applyFill="1" applyBorder="1"/>
    <xf numFmtId="0" fontId="0" fillId="0" borderId="1" xfId="0" applyFont="1" applyBorder="1" applyAlignment="1">
      <alignment vertical="center"/>
    </xf>
    <xf numFmtId="0" fontId="0" fillId="0" borderId="1" xfId="0" applyFont="1" applyBorder="1" applyAlignment="1">
      <alignment vertical="center" wrapText="1"/>
    </xf>
    <xf numFmtId="0" fontId="0" fillId="6" borderId="1" xfId="0" applyFont="1" applyFill="1" applyBorder="1" applyAlignment="1">
      <alignment horizontal="left" vertical="center"/>
    </xf>
    <xf numFmtId="0" fontId="0" fillId="0" borderId="1" xfId="0" applyFont="1" applyBorder="1" applyAlignment="1">
      <alignment wrapText="1"/>
    </xf>
    <xf numFmtId="0" fontId="0" fillId="7" borderId="1" xfId="0" applyFont="1" applyFill="1" applyBorder="1" applyAlignment="1">
      <alignment horizontal="left" vertical="center"/>
    </xf>
    <xf numFmtId="0" fontId="0" fillId="7" borderId="3" xfId="0" applyFont="1" applyFill="1" applyBorder="1" applyAlignment="1">
      <alignment horizontal="left" vertical="center"/>
    </xf>
    <xf numFmtId="0" fontId="0" fillId="5" borderId="1" xfId="0" applyFont="1" applyFill="1" applyBorder="1"/>
    <xf numFmtId="0" fontId="12" fillId="5" borderId="1" xfId="0" applyFont="1" applyFill="1" applyBorder="1"/>
    <xf numFmtId="0" fontId="12" fillId="5" borderId="1" xfId="0" applyFont="1" applyFill="1" applyBorder="1" applyAlignment="1">
      <alignment horizontal="left" vertical="center"/>
    </xf>
    <xf numFmtId="0" fontId="0" fillId="0" borderId="0" xfId="0" applyAlignment="1">
      <alignment horizontal="center"/>
    </xf>
    <xf numFmtId="2" fontId="4" fillId="5" borderId="14" xfId="0" applyNumberFormat="1" applyFont="1" applyFill="1" applyBorder="1" applyAlignment="1">
      <alignment horizontal="center" vertical="center"/>
    </xf>
    <xf numFmtId="2" fontId="4" fillId="5" borderId="3" xfId="0" applyNumberFormat="1" applyFont="1" applyFill="1" applyBorder="1" applyAlignment="1">
      <alignment horizontal="center" vertical="center"/>
    </xf>
    <xf numFmtId="0" fontId="4" fillId="5" borderId="1" xfId="0" applyFont="1" applyFill="1" applyBorder="1"/>
    <xf numFmtId="0" fontId="0" fillId="5" borderId="1" xfId="0" applyFont="1" applyFill="1" applyBorder="1" applyAlignment="1">
      <alignment horizontal="left" vertical="center"/>
    </xf>
    <xf numFmtId="0" fontId="4" fillId="0" borderId="4" xfId="0" applyFont="1" applyFill="1" applyBorder="1"/>
    <xf numFmtId="0" fontId="4" fillId="0" borderId="6" xfId="0" applyFont="1" applyFill="1" applyBorder="1"/>
    <xf numFmtId="0" fontId="4" fillId="3" borderId="8" xfId="0" applyFont="1" applyFill="1" applyBorder="1"/>
    <xf numFmtId="0" fontId="4" fillId="3" borderId="9" xfId="0" applyFont="1" applyFill="1" applyBorder="1"/>
    <xf numFmtId="0" fontId="4" fillId="3" borderId="7" xfId="0" applyFont="1" applyFill="1" applyBorder="1"/>
    <xf numFmtId="0" fontId="4" fillId="3" borderId="10" xfId="0" applyFont="1" applyFill="1" applyBorder="1"/>
    <xf numFmtId="0" fontId="4" fillId="3" borderId="12" xfId="0" applyFont="1" applyFill="1" applyBorder="1"/>
    <xf numFmtId="0" fontId="4" fillId="3" borderId="3" xfId="0" applyFont="1" applyFill="1" applyBorder="1"/>
    <xf numFmtId="0" fontId="4" fillId="5" borderId="10" xfId="0" applyFont="1" applyFill="1" applyBorder="1"/>
    <xf numFmtId="0" fontId="4" fillId="13" borderId="1" xfId="0" applyFont="1" applyFill="1" applyBorder="1" applyAlignment="1">
      <alignment horizontal="left" vertical="center"/>
    </xf>
    <xf numFmtId="0" fontId="6" fillId="13" borderId="4" xfId="0" applyFont="1" applyFill="1" applyBorder="1"/>
    <xf numFmtId="0" fontId="4" fillId="13" borderId="3" xfId="0" applyFont="1" applyFill="1" applyBorder="1" applyAlignment="1">
      <alignment horizontal="left" vertical="center"/>
    </xf>
    <xf numFmtId="0" fontId="4" fillId="13" borderId="11" xfId="0" applyFont="1" applyFill="1" applyBorder="1"/>
    <xf numFmtId="0" fontId="4" fillId="13" borderId="0" xfId="0" applyFont="1" applyFill="1" applyBorder="1"/>
    <xf numFmtId="0" fontId="4" fillId="13" borderId="5" xfId="0" applyFont="1" applyFill="1" applyBorder="1"/>
    <xf numFmtId="2" fontId="4" fillId="13" borderId="2" xfId="0" applyNumberFormat="1" applyFont="1" applyFill="1" applyBorder="1" applyAlignment="1">
      <alignment horizontal="center"/>
    </xf>
    <xf numFmtId="2" fontId="4" fillId="13" borderId="1" xfId="0" applyNumberFormat="1" applyFont="1" applyFill="1" applyBorder="1" applyAlignment="1">
      <alignment horizontal="center" vertical="center"/>
    </xf>
    <xf numFmtId="2" fontId="4" fillId="13" borderId="1" xfId="0" applyNumberFormat="1" applyFont="1" applyFill="1" applyBorder="1" applyAlignment="1">
      <alignment horizontal="center"/>
    </xf>
    <xf numFmtId="0" fontId="4" fillId="7" borderId="4" xfId="0" applyFont="1" applyFill="1" applyBorder="1"/>
    <xf numFmtId="0" fontId="4" fillId="7" borderId="6" xfId="0" applyFont="1" applyFill="1" applyBorder="1"/>
    <xf numFmtId="0" fontId="8" fillId="0" borderId="0" xfId="0" applyFont="1"/>
    <xf numFmtId="0" fontId="14" fillId="0" borderId="0" xfId="0" applyFont="1"/>
    <xf numFmtId="0" fontId="8" fillId="0" borderId="10" xfId="0" applyFont="1" applyBorder="1"/>
    <xf numFmtId="0" fontId="14" fillId="0" borderId="10" xfId="0" applyFont="1" applyBorder="1"/>
    <xf numFmtId="2" fontId="0" fillId="0" borderId="10" xfId="2" applyNumberFormat="1" applyFont="1" applyFill="1" applyBorder="1" applyAlignment="1">
      <alignment horizontal="right" vertical="center"/>
    </xf>
    <xf numFmtId="168" fontId="8" fillId="0" borderId="0" xfId="0" applyNumberFormat="1" applyFont="1"/>
    <xf numFmtId="0" fontId="12" fillId="0" borderId="0" xfId="0" applyFont="1" applyAlignment="1">
      <alignment wrapText="1"/>
    </xf>
    <xf numFmtId="0" fontId="8" fillId="0" borderId="0" xfId="0" applyFont="1" applyAlignment="1">
      <alignment horizontal="right"/>
    </xf>
    <xf numFmtId="0" fontId="8" fillId="0" borderId="0" xfId="0" applyFont="1" applyAlignment="1">
      <alignment horizontal="right" vertical="center"/>
    </xf>
    <xf numFmtId="0" fontId="0" fillId="0" borderId="0" xfId="0" applyFill="1" applyAlignment="1">
      <alignment horizontal="right"/>
    </xf>
    <xf numFmtId="0" fontId="0" fillId="0" borderId="10" xfId="0" applyFill="1" applyBorder="1" applyAlignment="1">
      <alignment horizontal="right"/>
    </xf>
    <xf numFmtId="168" fontId="14" fillId="0" borderId="0" xfId="0" applyNumberFormat="1" applyFont="1" applyAlignment="1">
      <alignment horizontal="right"/>
    </xf>
    <xf numFmtId="0" fontId="14" fillId="0" borderId="0" xfId="0" applyFont="1" applyAlignment="1">
      <alignment horizontal="right"/>
    </xf>
    <xf numFmtId="0" fontId="0" fillId="0" borderId="0" xfId="0" applyAlignment="1">
      <alignment horizontal="right"/>
    </xf>
    <xf numFmtId="169" fontId="14" fillId="0" borderId="0" xfId="0" applyNumberFormat="1" applyFont="1" applyAlignment="1">
      <alignment horizontal="right"/>
    </xf>
    <xf numFmtId="0" fontId="8" fillId="0" borderId="0" xfId="0" applyFont="1" applyBorder="1"/>
    <xf numFmtId="168" fontId="8" fillId="0" borderId="0" xfId="0" applyNumberFormat="1" applyFont="1" applyBorder="1" applyAlignment="1">
      <alignment vertical="center"/>
    </xf>
    <xf numFmtId="0" fontId="12" fillId="0" borderId="0" xfId="0" applyFont="1" applyBorder="1" applyAlignment="1">
      <alignment wrapText="1"/>
    </xf>
    <xf numFmtId="0" fontId="0" fillId="0" borderId="10" xfId="0" applyFill="1" applyBorder="1" applyAlignment="1">
      <alignment horizontal="center"/>
    </xf>
    <xf numFmtId="0" fontId="8" fillId="0" borderId="0" xfId="0" applyFont="1" applyAlignment="1">
      <alignment horizontal="center"/>
    </xf>
    <xf numFmtId="0" fontId="8" fillId="0" borderId="0" xfId="0" applyFont="1" applyAlignment="1">
      <alignment wrapText="1"/>
    </xf>
    <xf numFmtId="169" fontId="8" fillId="0" borderId="0" xfId="0" applyNumberFormat="1" applyFont="1"/>
    <xf numFmtId="168" fontId="0" fillId="0" borderId="0" xfId="0" applyNumberFormat="1" applyAlignment="1">
      <alignment horizontal="right"/>
    </xf>
    <xf numFmtId="168" fontId="0" fillId="0" borderId="0" xfId="0" applyNumberFormat="1"/>
    <xf numFmtId="0" fontId="8" fillId="0" borderId="0" xfId="0" applyFont="1" applyBorder="1" applyAlignment="1">
      <alignment horizontal="left" vertical="center"/>
    </xf>
    <xf numFmtId="0" fontId="0" fillId="0" borderId="0" xfId="0" applyBorder="1" applyAlignment="1">
      <alignment horizontal="left" wrapText="1"/>
    </xf>
    <xf numFmtId="168" fontId="8" fillId="0" borderId="0" xfId="0" applyNumberFormat="1" applyFont="1" applyAlignment="1">
      <alignment wrapText="1"/>
    </xf>
    <xf numFmtId="166" fontId="8" fillId="0" borderId="0" xfId="0" applyNumberFormat="1" applyFont="1"/>
    <xf numFmtId="2" fontId="8" fillId="0" borderId="0" xfId="0" applyNumberFormat="1" applyFont="1"/>
    <xf numFmtId="0" fontId="8" fillId="0" borderId="0" xfId="0" applyFont="1" applyBorder="1" applyAlignment="1">
      <alignment horizontal="center"/>
    </xf>
    <xf numFmtId="168" fontId="8" fillId="0" borderId="0" xfId="0" applyNumberFormat="1" applyFont="1" applyBorder="1"/>
    <xf numFmtId="164" fontId="8" fillId="0" borderId="0" xfId="0" applyNumberFormat="1" applyFont="1"/>
    <xf numFmtId="168" fontId="0" fillId="0" borderId="0" xfId="0" applyNumberFormat="1" applyBorder="1"/>
    <xf numFmtId="0" fontId="0" fillId="0" borderId="0" xfId="0" applyBorder="1" applyAlignment="1">
      <alignment wrapText="1"/>
    </xf>
    <xf numFmtId="0" fontId="1" fillId="0" borderId="9" xfId="0" applyFont="1" applyBorder="1"/>
    <xf numFmtId="0" fontId="0" fillId="0" borderId="9" xfId="0" applyBorder="1" applyAlignment="1">
      <alignment horizontal="left"/>
    </xf>
    <xf numFmtId="170" fontId="0" fillId="0" borderId="10" xfId="0" applyNumberFormat="1" applyBorder="1"/>
    <xf numFmtId="165" fontId="15" fillId="0" borderId="0" xfId="0" applyNumberFormat="1" applyFont="1"/>
    <xf numFmtId="165" fontId="16" fillId="0" borderId="0" xfId="0" applyNumberFormat="1" applyFont="1"/>
    <xf numFmtId="0" fontId="15" fillId="0" borderId="0" xfId="0" applyFont="1"/>
    <xf numFmtId="0" fontId="4" fillId="0" borderId="4" xfId="0" applyFont="1" applyBorder="1" applyAlignment="1"/>
    <xf numFmtId="0" fontId="4" fillId="0" borderId="5" xfId="0" applyFont="1" applyBorder="1" applyAlignment="1"/>
    <xf numFmtId="2" fontId="4" fillId="3" borderId="3" xfId="0" applyNumberFormat="1" applyFont="1" applyFill="1" applyBorder="1" applyAlignment="1">
      <alignment horizontal="center"/>
    </xf>
    <xf numFmtId="2" fontId="4" fillId="3" borderId="10" xfId="0" applyNumberFormat="1" applyFont="1" applyFill="1" applyBorder="1" applyAlignment="1">
      <alignment horizontal="center"/>
    </xf>
    <xf numFmtId="2" fontId="4" fillId="5" borderId="7" xfId="0" applyNumberFormat="1" applyFont="1" applyFill="1" applyBorder="1" applyAlignment="1">
      <alignment horizontal="center"/>
    </xf>
    <xf numFmtId="2" fontId="7" fillId="5" borderId="2" xfId="0" applyNumberFormat="1" applyFont="1" applyFill="1" applyBorder="1" applyAlignment="1">
      <alignment horizontal="center" vertical="center"/>
    </xf>
    <xf numFmtId="2" fontId="4" fillId="13" borderId="3" xfId="0" applyNumberFormat="1" applyFont="1" applyFill="1" applyBorder="1" applyAlignment="1">
      <alignment horizontal="center"/>
    </xf>
    <xf numFmtId="0" fontId="12" fillId="0" borderId="0" xfId="0" applyFont="1" applyAlignment="1">
      <alignment horizontal="center"/>
    </xf>
    <xf numFmtId="165" fontId="12" fillId="0" borderId="0" xfId="0" applyNumberFormat="1" applyFont="1"/>
    <xf numFmtId="165" fontId="17" fillId="0" borderId="0" xfId="0" applyNumberFormat="1" applyFont="1"/>
    <xf numFmtId="0" fontId="1" fillId="0" borderId="1" xfId="0" applyFont="1" applyBorder="1" applyAlignment="1" applyProtection="1">
      <alignment horizontal="center"/>
      <protection locked="0"/>
    </xf>
    <xf numFmtId="0" fontId="4" fillId="7" borderId="8" xfId="0" applyFont="1" applyFill="1" applyBorder="1" applyAlignment="1">
      <alignment horizontal="left" vertical="center"/>
    </xf>
    <xf numFmtId="2" fontId="4" fillId="7" borderId="6" xfId="0" applyNumberFormat="1" applyFont="1" applyFill="1" applyBorder="1" applyAlignment="1">
      <alignment horizontal="center" vertical="center"/>
    </xf>
    <xf numFmtId="0" fontId="4" fillId="7" borderId="4" xfId="0" applyFont="1" applyFill="1" applyBorder="1" applyAlignment="1">
      <alignment horizontal="left" vertical="center"/>
    </xf>
    <xf numFmtId="165" fontId="0" fillId="0" borderId="0" xfId="0" applyNumberFormat="1" applyFill="1"/>
    <xf numFmtId="165" fontId="15" fillId="0" borderId="0" xfId="0" applyNumberFormat="1" applyFont="1" applyFill="1"/>
    <xf numFmtId="165" fontId="15" fillId="0" borderId="10" xfId="0" applyNumberFormat="1" applyFont="1" applyFill="1" applyBorder="1"/>
    <xf numFmtId="165" fontId="0" fillId="0" borderId="10" xfId="0" applyNumberFormat="1" applyFill="1" applyBorder="1"/>
    <xf numFmtId="0" fontId="4" fillId="2" borderId="10" xfId="0" applyFont="1" applyFill="1" applyBorder="1" applyAlignment="1" applyProtection="1">
      <alignment horizontal="center"/>
      <protection locked="0"/>
    </xf>
    <xf numFmtId="0" fontId="4" fillId="2" borderId="0" xfId="0" applyFont="1" applyFill="1" applyAlignment="1" applyProtection="1">
      <alignment horizontal="center"/>
      <protection locked="0"/>
    </xf>
    <xf numFmtId="2" fontId="4" fillId="5" borderId="14" xfId="0" applyNumberFormat="1" applyFont="1" applyFill="1" applyBorder="1" applyAlignment="1">
      <alignment horizontal="center" vertical="center"/>
    </xf>
    <xf numFmtId="2" fontId="4" fillId="5" borderId="3" xfId="0" applyNumberFormat="1" applyFont="1" applyFill="1" applyBorder="1" applyAlignment="1">
      <alignment horizontal="center" vertical="center"/>
    </xf>
    <xf numFmtId="0" fontId="13" fillId="0" borderId="31" xfId="0" applyFont="1" applyBorder="1" applyAlignment="1">
      <alignment horizontal="center" wrapText="1"/>
    </xf>
    <xf numFmtId="9" fontId="12" fillId="0" borderId="33" xfId="3" applyFont="1" applyBorder="1" applyAlignment="1">
      <alignment horizontal="center"/>
    </xf>
    <xf numFmtId="9" fontId="12" fillId="0" borderId="22" xfId="3" applyFont="1" applyBorder="1" applyAlignment="1">
      <alignment horizontal="center"/>
    </xf>
    <xf numFmtId="9" fontId="12" fillId="0" borderId="25" xfId="3" applyFont="1" applyBorder="1" applyAlignment="1">
      <alignment horizontal="center"/>
    </xf>
    <xf numFmtId="0" fontId="0" fillId="0" borderId="34" xfId="0" applyBorder="1" applyAlignment="1" applyProtection="1">
      <alignment horizontal="left" wrapText="1"/>
      <protection locked="0"/>
    </xf>
    <xf numFmtId="0" fontId="1" fillId="0" borderId="32" xfId="0" applyFont="1" applyBorder="1" applyAlignment="1" applyProtection="1">
      <alignment horizontal="center" vertical="center" wrapText="1"/>
    </xf>
    <xf numFmtId="0" fontId="1" fillId="0" borderId="3" xfId="0" applyFont="1" applyBorder="1" applyAlignment="1" applyProtection="1">
      <alignment horizontal="center" vertical="center" wrapText="1"/>
    </xf>
    <xf numFmtId="0" fontId="1" fillId="0" borderId="33" xfId="0" applyFont="1" applyBorder="1" applyAlignment="1" applyProtection="1">
      <alignment horizontal="center" vertical="center" wrapText="1"/>
    </xf>
    <xf numFmtId="0" fontId="4" fillId="0" borderId="11" xfId="0" applyFont="1" applyFill="1" applyBorder="1" applyAlignment="1" applyProtection="1"/>
    <xf numFmtId="0" fontId="1" fillId="0" borderId="21" xfId="0" applyFont="1" applyBorder="1" applyAlignment="1" applyProtection="1">
      <alignment horizontal="center"/>
      <protection locked="0"/>
    </xf>
    <xf numFmtId="0" fontId="1" fillId="0" borderId="22" xfId="0" applyFont="1" applyBorder="1" applyAlignment="1" applyProtection="1">
      <alignment horizontal="center"/>
      <protection locked="0"/>
    </xf>
    <xf numFmtId="0" fontId="0" fillId="0" borderId="21" xfId="0" applyBorder="1" applyAlignment="1" applyProtection="1">
      <alignment horizontal="center"/>
      <protection locked="0"/>
    </xf>
    <xf numFmtId="2" fontId="0" fillId="0" borderId="22" xfId="0" applyNumberFormat="1" applyBorder="1" applyAlignment="1" applyProtection="1">
      <alignment horizontal="center"/>
      <protection locked="0"/>
    </xf>
    <xf numFmtId="0" fontId="0" fillId="0" borderId="23" xfId="0" applyBorder="1" applyAlignment="1" applyProtection="1">
      <alignment horizontal="center"/>
      <protection locked="0"/>
    </xf>
    <xf numFmtId="2" fontId="0" fillId="0" borderId="24" xfId="0" applyNumberFormat="1" applyBorder="1" applyAlignment="1" applyProtection="1">
      <alignment horizontal="center"/>
      <protection locked="0"/>
    </xf>
    <xf numFmtId="2" fontId="0" fillId="0" borderId="25" xfId="0" applyNumberFormat="1" applyBorder="1" applyAlignment="1" applyProtection="1">
      <alignment horizontal="center"/>
      <protection locked="0"/>
    </xf>
    <xf numFmtId="0" fontId="0" fillId="0" borderId="0" xfId="0" applyBorder="1" applyAlignment="1">
      <alignment vertical="top" wrapText="1"/>
    </xf>
    <xf numFmtId="0" fontId="1" fillId="0" borderId="53" xfId="0" applyFont="1" applyBorder="1" applyAlignment="1">
      <alignment horizontal="center"/>
    </xf>
    <xf numFmtId="0" fontId="1" fillId="0" borderId="41" xfId="0" applyFont="1" applyBorder="1" applyAlignment="1">
      <alignment horizontal="center" vertical="center" wrapText="1"/>
    </xf>
    <xf numFmtId="0" fontId="0" fillId="0" borderId="11" xfId="0" applyBorder="1" applyAlignment="1"/>
    <xf numFmtId="0" fontId="0" fillId="0" borderId="5" xfId="0" applyBorder="1" applyAlignment="1"/>
    <xf numFmtId="0" fontId="11" fillId="0" borderId="0" xfId="0" applyFont="1" applyAlignment="1">
      <alignment horizontal="center"/>
    </xf>
    <xf numFmtId="2" fontId="4" fillId="5" borderId="14" xfId="0" applyNumberFormat="1" applyFont="1" applyFill="1" applyBorder="1" applyAlignment="1">
      <alignment horizontal="center" vertical="center"/>
    </xf>
    <xf numFmtId="2" fontId="4" fillId="5" borderId="3" xfId="0" applyNumberFormat="1" applyFont="1" applyFill="1" applyBorder="1" applyAlignment="1">
      <alignment horizontal="center" vertical="center"/>
    </xf>
    <xf numFmtId="0" fontId="1" fillId="0" borderId="19" xfId="0" applyFont="1" applyBorder="1" applyAlignment="1"/>
    <xf numFmtId="0" fontId="0" fillId="0" borderId="6" xfId="0" applyBorder="1" applyAlignment="1" applyProtection="1">
      <alignment horizontal="left"/>
      <protection locked="0"/>
    </xf>
    <xf numFmtId="0" fontId="0" fillId="0" borderId="1" xfId="0" applyBorder="1" applyAlignment="1" applyProtection="1">
      <alignment horizontal="left"/>
      <protection locked="0"/>
    </xf>
    <xf numFmtId="0" fontId="0" fillId="0" borderId="24" xfId="0" applyBorder="1" applyAlignment="1" applyProtection="1">
      <alignment horizontal="left"/>
      <protection locked="0"/>
    </xf>
    <xf numFmtId="0" fontId="0" fillId="0" borderId="40" xfId="0" applyBorder="1" applyAlignment="1" applyProtection="1">
      <alignment horizontal="left"/>
      <protection locked="0"/>
    </xf>
    <xf numFmtId="0" fontId="0" fillId="0" borderId="0" xfId="0" applyBorder="1" applyAlignment="1">
      <alignment horizontal="left" vertical="top" wrapText="1"/>
    </xf>
    <xf numFmtId="0" fontId="11" fillId="0" borderId="0" xfId="0" applyFont="1" applyAlignment="1">
      <alignment horizontal="center"/>
    </xf>
    <xf numFmtId="2" fontId="0" fillId="10" borderId="1" xfId="0" applyNumberFormat="1" applyFill="1" applyBorder="1" applyAlignment="1" applyProtection="1">
      <alignment horizontal="center"/>
      <protection locked="0"/>
    </xf>
    <xf numFmtId="0" fontId="0" fillId="0" borderId="1" xfId="0" applyBorder="1" applyAlignment="1" applyProtection="1">
      <alignment horizontal="center"/>
      <protection locked="0"/>
    </xf>
    <xf numFmtId="0" fontId="20" fillId="0" borderId="55" xfId="0" applyFont="1" applyBorder="1" applyAlignment="1">
      <alignment horizontal="center" vertical="center" wrapText="1"/>
    </xf>
    <xf numFmtId="0" fontId="20" fillId="0" borderId="28" xfId="0" applyFont="1" applyBorder="1" applyAlignment="1">
      <alignment horizontal="center" vertical="center" wrapText="1"/>
    </xf>
    <xf numFmtId="0" fontId="0" fillId="0" borderId="45" xfId="0" applyBorder="1" applyAlignment="1" applyProtection="1">
      <alignment horizontal="left"/>
      <protection locked="0"/>
    </xf>
    <xf numFmtId="0" fontId="0" fillId="0" borderId="46" xfId="0" applyBorder="1" applyAlignment="1" applyProtection="1">
      <alignment horizontal="left"/>
      <protection locked="0"/>
    </xf>
    <xf numFmtId="0" fontId="0" fillId="0" borderId="40" xfId="0" applyBorder="1" applyAlignment="1" applyProtection="1">
      <alignment horizontal="left"/>
      <protection locked="0"/>
    </xf>
    <xf numFmtId="0" fontId="0" fillId="0" borderId="41" xfId="0" applyBorder="1" applyAlignment="1" applyProtection="1">
      <alignment horizontal="left"/>
      <protection locked="0"/>
    </xf>
    <xf numFmtId="0" fontId="10" fillId="11" borderId="27" xfId="0" applyFont="1" applyFill="1" applyBorder="1" applyAlignment="1">
      <alignment horizontal="center"/>
    </xf>
    <xf numFmtId="0" fontId="11" fillId="11" borderId="27" xfId="0" applyFont="1" applyFill="1" applyBorder="1" applyAlignment="1">
      <alignment horizontal="center"/>
    </xf>
    <xf numFmtId="0" fontId="10" fillId="0" borderId="16" xfId="0" applyFont="1" applyBorder="1" applyAlignment="1">
      <alignment horizontal="center"/>
    </xf>
    <xf numFmtId="0" fontId="10" fillId="0" borderId="18" xfId="0" applyFont="1" applyBorder="1" applyAlignment="1">
      <alignment horizontal="center"/>
    </xf>
    <xf numFmtId="0" fontId="10" fillId="0" borderId="26" xfId="0" applyFont="1" applyBorder="1" applyAlignment="1">
      <alignment horizontal="center"/>
    </xf>
    <xf numFmtId="0" fontId="10" fillId="0" borderId="28" xfId="0" applyFont="1" applyBorder="1" applyAlignment="1">
      <alignment horizontal="center"/>
    </xf>
    <xf numFmtId="0" fontId="0" fillId="0" borderId="34" xfId="0" applyBorder="1" applyAlignment="1" applyProtection="1">
      <alignment horizontal="left"/>
      <protection locked="0"/>
    </xf>
    <xf numFmtId="0" fontId="0" fillId="0" borderId="35" xfId="0" applyBorder="1" applyAlignment="1" applyProtection="1">
      <alignment horizontal="left"/>
      <protection locked="0"/>
    </xf>
    <xf numFmtId="0" fontId="0" fillId="0" borderId="36" xfId="0" applyBorder="1" applyAlignment="1" applyProtection="1">
      <alignment horizontal="left"/>
      <protection locked="0"/>
    </xf>
    <xf numFmtId="0" fontId="10" fillId="0" borderId="34" xfId="0" applyFont="1" applyBorder="1" applyAlignment="1">
      <alignment horizontal="center" wrapText="1"/>
    </xf>
    <xf numFmtId="0" fontId="10" fillId="0" borderId="35" xfId="0" applyFont="1" applyBorder="1" applyAlignment="1">
      <alignment horizontal="center"/>
    </xf>
    <xf numFmtId="0" fontId="10" fillId="0" borderId="36" xfId="0" applyFont="1"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0" xfId="0" applyAlignment="1">
      <alignment horizontal="center"/>
    </xf>
    <xf numFmtId="0" fontId="0" fillId="0" borderId="20"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10" fillId="0" borderId="34" xfId="0" applyFont="1" applyBorder="1" applyAlignment="1">
      <alignment horizontal="center"/>
    </xf>
    <xf numFmtId="0" fontId="10" fillId="0" borderId="16" xfId="0" applyFont="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0" fillId="0" borderId="16" xfId="0" applyBorder="1" applyAlignment="1" applyProtection="1">
      <alignment horizontal="left"/>
      <protection locked="0"/>
    </xf>
    <xf numFmtId="0" fontId="0" fillId="0" borderId="17" xfId="0" applyBorder="1" applyAlignment="1" applyProtection="1">
      <alignment horizontal="left"/>
      <protection locked="0"/>
    </xf>
    <xf numFmtId="0" fontId="0" fillId="0" borderId="18" xfId="0" applyBorder="1" applyAlignment="1" applyProtection="1">
      <alignment horizontal="left"/>
      <protection locked="0"/>
    </xf>
    <xf numFmtId="0" fontId="0" fillId="0" borderId="19" xfId="0" applyBorder="1" applyAlignment="1" applyProtection="1">
      <alignment horizontal="left"/>
      <protection locked="0"/>
    </xf>
    <xf numFmtId="0" fontId="0" fillId="0" borderId="0" xfId="0" applyAlignment="1" applyProtection="1">
      <alignment horizontal="left"/>
      <protection locked="0"/>
    </xf>
    <xf numFmtId="0" fontId="0" fillId="0" borderId="27" xfId="0" applyBorder="1" applyAlignment="1" applyProtection="1">
      <alignment horizontal="left"/>
      <protection locked="0"/>
    </xf>
    <xf numFmtId="0" fontId="0" fillId="0" borderId="28" xfId="0" applyBorder="1" applyAlignment="1" applyProtection="1">
      <alignment horizontal="left"/>
      <protection locked="0"/>
    </xf>
    <xf numFmtId="0" fontId="1" fillId="0" borderId="38" xfId="0" applyFont="1" applyBorder="1" applyAlignment="1">
      <alignment horizontal="center"/>
    </xf>
    <xf numFmtId="0" fontId="1" fillId="0" borderId="36" xfId="0" applyFont="1" applyBorder="1" applyAlignment="1">
      <alignment horizontal="center"/>
    </xf>
    <xf numFmtId="0" fontId="1" fillId="0" borderId="34" xfId="0" applyFont="1" applyBorder="1" applyAlignment="1">
      <alignment horizontal="center"/>
    </xf>
    <xf numFmtId="0" fontId="1" fillId="0" borderId="35" xfId="0" applyFont="1" applyBorder="1" applyAlignment="1">
      <alignment horizontal="center"/>
    </xf>
    <xf numFmtId="0" fontId="0" fillId="0" borderId="44" xfId="0" applyBorder="1" applyAlignment="1" applyProtection="1">
      <alignment horizontal="left"/>
      <protection locked="0"/>
    </xf>
    <xf numFmtId="0" fontId="0" fillId="0" borderId="6" xfId="0" applyBorder="1" applyAlignment="1" applyProtection="1">
      <alignment horizontal="left"/>
      <protection locked="0"/>
    </xf>
    <xf numFmtId="0" fontId="0" fillId="0" borderId="1" xfId="0" applyBorder="1" applyAlignment="1" applyProtection="1">
      <alignment horizontal="left"/>
      <protection locked="0"/>
    </xf>
    <xf numFmtId="0" fontId="0" fillId="0" borderId="22" xfId="0" applyBorder="1" applyAlignment="1" applyProtection="1">
      <alignment horizontal="left"/>
      <protection locked="0"/>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0" fillId="0" borderId="42" xfId="0" applyBorder="1" applyAlignment="1" applyProtection="1">
      <alignment horizontal="left"/>
      <protection locked="0"/>
    </xf>
    <xf numFmtId="0" fontId="0" fillId="0" borderId="43" xfId="0" applyBorder="1" applyAlignment="1" applyProtection="1">
      <alignment horizontal="left"/>
      <protection locked="0"/>
    </xf>
    <xf numFmtId="0" fontId="0" fillId="0" borderId="47" xfId="0" applyBorder="1" applyAlignment="1" applyProtection="1">
      <alignment horizontal="left"/>
      <protection locked="0"/>
    </xf>
    <xf numFmtId="0" fontId="0" fillId="0" borderId="48" xfId="0" applyBorder="1" applyAlignment="1" applyProtection="1">
      <alignment horizontal="left"/>
      <protection locked="0"/>
    </xf>
    <xf numFmtId="0" fontId="0" fillId="0" borderId="50" xfId="0" applyBorder="1" applyAlignment="1" applyProtection="1">
      <alignment horizontal="left"/>
      <protection locked="0"/>
    </xf>
    <xf numFmtId="0" fontId="0" fillId="0" borderId="21" xfId="0" applyBorder="1" applyAlignment="1">
      <alignment horizontal="center"/>
    </xf>
    <xf numFmtId="0" fontId="0" fillId="0" borderId="1" xfId="0" applyBorder="1" applyAlignment="1">
      <alignment vertical="center"/>
    </xf>
    <xf numFmtId="0" fontId="0" fillId="0" borderId="22" xfId="0" applyBorder="1" applyAlignment="1">
      <alignment wrapText="1"/>
    </xf>
    <xf numFmtId="0" fontId="1" fillId="0" borderId="40" xfId="0" applyFont="1" applyBorder="1" applyAlignment="1">
      <alignment horizontal="center"/>
    </xf>
    <xf numFmtId="0" fontId="0" fillId="0" borderId="1" xfId="0" applyBorder="1" applyAlignment="1">
      <alignment wrapText="1"/>
    </xf>
    <xf numFmtId="0" fontId="0" fillId="0" borderId="21" xfId="0" applyBorder="1" applyAlignment="1">
      <alignment horizontal="center" vertic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18" xfId="0" applyFont="1" applyBorder="1" applyAlignment="1">
      <alignment horizontal="center"/>
    </xf>
    <xf numFmtId="0" fontId="0" fillId="0" borderId="0" xfId="0" applyAlignment="1">
      <alignment horizontal="left" wrapText="1"/>
    </xf>
    <xf numFmtId="0" fontId="0" fillId="0" borderId="17" xfId="0" applyBorder="1" applyAlignment="1">
      <alignment horizontal="left" wrapText="1"/>
    </xf>
    <xf numFmtId="0" fontId="0" fillId="0" borderId="22" xfId="0" applyBorder="1" applyAlignment="1">
      <alignment vertical="center" wrapText="1"/>
    </xf>
    <xf numFmtId="0" fontId="0" fillId="0" borderId="23" xfId="0" applyBorder="1" applyAlignment="1">
      <alignment horizontal="center" vertical="center"/>
    </xf>
    <xf numFmtId="0" fontId="0" fillId="0" borderId="22" xfId="0" applyBorder="1" applyAlignment="1">
      <alignment vertical="center"/>
    </xf>
    <xf numFmtId="0" fontId="0" fillId="0" borderId="25" xfId="0" applyBorder="1" applyAlignment="1">
      <alignment vertical="center"/>
    </xf>
    <xf numFmtId="0" fontId="0" fillId="0" borderId="24" xfId="0" applyBorder="1" applyAlignment="1">
      <alignment wrapText="1"/>
    </xf>
    <xf numFmtId="0" fontId="4" fillId="0" borderId="0" xfId="0" applyFont="1" applyBorder="1" applyAlignment="1" applyProtection="1">
      <alignment horizontal="left" vertical="top" wrapText="1"/>
    </xf>
    <xf numFmtId="0" fontId="4" fillId="0" borderId="27" xfId="0" applyFont="1" applyBorder="1" applyAlignment="1" applyProtection="1">
      <alignment horizontal="left" vertical="top" wrapText="1"/>
    </xf>
    <xf numFmtId="0" fontId="5" fillId="0" borderId="11" xfId="0" applyFont="1" applyBorder="1" applyAlignment="1" applyProtection="1">
      <alignment horizontal="left" vertical="center"/>
    </xf>
    <xf numFmtId="0" fontId="5" fillId="0" borderId="0" xfId="0" applyFont="1" applyBorder="1" applyAlignment="1" applyProtection="1">
      <alignment horizontal="left" vertical="center"/>
    </xf>
    <xf numFmtId="0" fontId="4" fillId="10" borderId="5" xfId="0" applyFont="1" applyFill="1" applyBorder="1" applyAlignment="1">
      <alignment horizontal="center" vertical="center"/>
    </xf>
    <xf numFmtId="0" fontId="4" fillId="10" borderId="49" xfId="0" applyFont="1" applyFill="1" applyBorder="1" applyAlignment="1">
      <alignment horizontal="center" vertical="center"/>
    </xf>
    <xf numFmtId="0" fontId="4" fillId="9" borderId="47" xfId="0" applyFont="1" applyFill="1" applyBorder="1" applyAlignment="1">
      <alignment horizontal="center"/>
    </xf>
    <xf numFmtId="0" fontId="4" fillId="9" borderId="48" xfId="0" applyFont="1" applyFill="1" applyBorder="1" applyAlignment="1">
      <alignment horizontal="center"/>
    </xf>
    <xf numFmtId="0" fontId="4" fillId="9" borderId="50" xfId="0" applyFont="1" applyFill="1" applyBorder="1" applyAlignment="1">
      <alignment horizontal="center"/>
    </xf>
    <xf numFmtId="0" fontId="3" fillId="0" borderId="34" xfId="0" applyFont="1" applyBorder="1" applyAlignment="1" applyProtection="1">
      <alignment horizontal="center"/>
    </xf>
    <xf numFmtId="0" fontId="3" fillId="0" borderId="35" xfId="0" applyFont="1" applyBorder="1" applyAlignment="1" applyProtection="1">
      <alignment horizontal="center"/>
    </xf>
    <xf numFmtId="0" fontId="3" fillId="0" borderId="36" xfId="0" applyFont="1" applyBorder="1" applyAlignment="1" applyProtection="1">
      <alignment horizontal="center"/>
    </xf>
    <xf numFmtId="0" fontId="11" fillId="0" borderId="0" xfId="0" applyFont="1" applyAlignment="1">
      <alignment horizontal="center"/>
    </xf>
    <xf numFmtId="0" fontId="10" fillId="0" borderId="23" xfId="0" applyFont="1" applyBorder="1" applyAlignment="1">
      <alignment horizontal="right" vertical="center"/>
    </xf>
    <xf numFmtId="0" fontId="10" fillId="0" borderId="24" xfId="0" applyFont="1" applyBorder="1" applyAlignment="1">
      <alignment horizontal="right" vertical="center"/>
    </xf>
    <xf numFmtId="0" fontId="1" fillId="0" borderId="45" xfId="0" applyFont="1" applyBorder="1" applyAlignment="1" applyProtection="1">
      <alignment horizontal="center"/>
      <protection locked="0"/>
    </xf>
    <xf numFmtId="0" fontId="1" fillId="0" borderId="51" xfId="0" applyFont="1" applyBorder="1" applyAlignment="1" applyProtection="1">
      <alignment horizontal="center"/>
      <protection locked="0"/>
    </xf>
    <xf numFmtId="0" fontId="1" fillId="0" borderId="52" xfId="0" applyFont="1" applyBorder="1" applyAlignment="1" applyProtection="1">
      <alignment horizontal="center"/>
      <protection locked="0"/>
    </xf>
    <xf numFmtId="0" fontId="20" fillId="0" borderId="34" xfId="0" applyFont="1" applyBorder="1" applyAlignment="1">
      <alignment horizontal="center" vertical="center" wrapText="1"/>
    </xf>
    <xf numFmtId="0" fontId="20" fillId="0" borderId="35" xfId="0" applyFont="1" applyBorder="1" applyAlignment="1">
      <alignment horizontal="center" vertical="center" wrapText="1"/>
    </xf>
    <xf numFmtId="0" fontId="20" fillId="0" borderId="36" xfId="0" applyFont="1" applyBorder="1" applyAlignment="1">
      <alignment horizontal="center" vertical="center"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0" xfId="0" applyBorder="1" applyAlignment="1">
      <alignment horizontal="left" vertical="top" wrapText="1"/>
    </xf>
    <xf numFmtId="0" fontId="0" fillId="0" borderId="20" xfId="0" applyBorder="1" applyAlignment="1">
      <alignment horizontal="left" vertical="top" wrapText="1"/>
    </xf>
    <xf numFmtId="0" fontId="0" fillId="0" borderId="26" xfId="0" applyBorder="1" applyAlignment="1">
      <alignment horizontal="left" vertical="top" wrapText="1"/>
    </xf>
    <xf numFmtId="0" fontId="0" fillId="0" borderId="27" xfId="0" applyBorder="1" applyAlignment="1">
      <alignment horizontal="left" vertical="top" wrapText="1"/>
    </xf>
    <xf numFmtId="0" fontId="0" fillId="0" borderId="28" xfId="0" applyBorder="1" applyAlignment="1">
      <alignment horizontal="left" vertical="top" wrapText="1"/>
    </xf>
    <xf numFmtId="0" fontId="22" fillId="0" borderId="54" xfId="0" applyFont="1" applyFill="1" applyBorder="1" applyAlignment="1">
      <alignment horizontal="center" vertical="center" wrapText="1"/>
    </xf>
    <xf numFmtId="0" fontId="22" fillId="0" borderId="55" xfId="0" applyFont="1" applyFill="1" applyBorder="1" applyAlignment="1">
      <alignment horizontal="center" vertical="center" wrapText="1"/>
    </xf>
    <xf numFmtId="0" fontId="22" fillId="0" borderId="34" xfId="0" applyFont="1" applyFill="1" applyBorder="1" applyAlignment="1">
      <alignment horizontal="center" vertical="center" wrapText="1"/>
    </xf>
    <xf numFmtId="0" fontId="22" fillId="0" borderId="35" xfId="0" applyFont="1" applyFill="1" applyBorder="1" applyAlignment="1">
      <alignment horizontal="center" vertical="center" wrapText="1"/>
    </xf>
    <xf numFmtId="0" fontId="22" fillId="0" borderId="36" xfId="0" applyFont="1" applyFill="1" applyBorder="1" applyAlignment="1">
      <alignment horizontal="center" vertical="center" wrapText="1"/>
    </xf>
    <xf numFmtId="0" fontId="0" fillId="7" borderId="2" xfId="0" applyFont="1" applyFill="1" applyBorder="1" applyAlignment="1">
      <alignment horizontal="left" vertical="center"/>
    </xf>
    <xf numFmtId="0" fontId="0" fillId="7" borderId="3" xfId="0" applyFont="1" applyFill="1" applyBorder="1" applyAlignment="1">
      <alignment horizontal="left" vertical="center"/>
    </xf>
    <xf numFmtId="0" fontId="0" fillId="3" borderId="2" xfId="0" applyFont="1" applyFill="1" applyBorder="1" applyAlignment="1">
      <alignment horizontal="left" vertical="center"/>
    </xf>
    <xf numFmtId="0" fontId="0" fillId="3" borderId="14" xfId="0" applyFont="1" applyFill="1" applyBorder="1" applyAlignment="1">
      <alignment horizontal="left" vertical="center"/>
    </xf>
    <xf numFmtId="0" fontId="0" fillId="3" borderId="3" xfId="0" applyFont="1" applyFill="1" applyBorder="1" applyAlignment="1">
      <alignment horizontal="left" vertical="center"/>
    </xf>
    <xf numFmtId="0" fontId="0" fillId="4" borderId="2" xfId="0" applyFont="1" applyFill="1" applyBorder="1" applyAlignment="1">
      <alignment horizontal="left" vertical="center"/>
    </xf>
    <xf numFmtId="0" fontId="0" fillId="4" borderId="3" xfId="0" applyFont="1" applyFill="1" applyBorder="1" applyAlignment="1">
      <alignment horizontal="left" vertical="center"/>
    </xf>
    <xf numFmtId="0" fontId="0" fillId="5" borderId="2" xfId="0" applyFont="1" applyFill="1" applyBorder="1" applyAlignment="1">
      <alignment horizontal="left" vertical="center"/>
    </xf>
    <xf numFmtId="0" fontId="0" fillId="5" borderId="14" xfId="0" applyFont="1" applyFill="1" applyBorder="1" applyAlignment="1">
      <alignment horizontal="left" vertical="center"/>
    </xf>
    <xf numFmtId="0" fontId="0" fillId="5" borderId="3" xfId="0" applyFont="1" applyFill="1" applyBorder="1" applyAlignment="1">
      <alignment horizontal="left" vertical="center"/>
    </xf>
    <xf numFmtId="0" fontId="0" fillId="6" borderId="2" xfId="0" applyFont="1" applyFill="1" applyBorder="1" applyAlignment="1">
      <alignment horizontal="left" vertical="center"/>
    </xf>
    <xf numFmtId="0" fontId="0" fillId="6" borderId="14" xfId="0" applyFont="1" applyFill="1" applyBorder="1" applyAlignment="1">
      <alignment horizontal="left" vertical="center"/>
    </xf>
    <xf numFmtId="0" fontId="4" fillId="5" borderId="2" xfId="0" applyFont="1" applyFill="1" applyBorder="1" applyAlignment="1">
      <alignment horizontal="left" vertical="center"/>
    </xf>
    <xf numFmtId="0" fontId="4" fillId="5" borderId="14" xfId="0" applyFont="1" applyFill="1" applyBorder="1" applyAlignment="1">
      <alignment horizontal="left" vertical="center"/>
    </xf>
    <xf numFmtId="0" fontId="4" fillId="5" borderId="3" xfId="0" applyFont="1" applyFill="1" applyBorder="1" applyAlignment="1">
      <alignment horizontal="left" vertical="center"/>
    </xf>
    <xf numFmtId="2" fontId="4" fillId="3" borderId="2" xfId="0" applyNumberFormat="1" applyFont="1" applyFill="1" applyBorder="1" applyAlignment="1">
      <alignment horizontal="center" vertical="center"/>
    </xf>
    <xf numFmtId="2" fontId="4" fillId="3" borderId="14" xfId="0" applyNumberFormat="1" applyFont="1" applyFill="1" applyBorder="1" applyAlignment="1">
      <alignment horizontal="center" vertical="center"/>
    </xf>
    <xf numFmtId="2" fontId="4" fillId="3" borderId="3" xfId="0" applyNumberFormat="1" applyFont="1" applyFill="1" applyBorder="1" applyAlignment="1">
      <alignment horizontal="center" vertical="center"/>
    </xf>
    <xf numFmtId="0" fontId="4" fillId="0" borderId="4" xfId="0" applyFont="1" applyBorder="1" applyAlignment="1">
      <alignment horizontal="left"/>
    </xf>
    <xf numFmtId="0" fontId="4" fillId="0" borderId="6" xfId="0" applyFont="1" applyBorder="1" applyAlignment="1">
      <alignment horizontal="left"/>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4" fillId="13" borderId="2" xfId="0" applyFont="1" applyFill="1" applyBorder="1" applyAlignment="1">
      <alignment horizontal="left" vertical="center"/>
    </xf>
    <xf numFmtId="0" fontId="4" fillId="13" borderId="14" xfId="0" applyFont="1" applyFill="1" applyBorder="1" applyAlignment="1">
      <alignment horizontal="left" vertical="center"/>
    </xf>
    <xf numFmtId="2" fontId="4" fillId="13" borderId="2" xfId="0" applyNumberFormat="1" applyFont="1" applyFill="1" applyBorder="1" applyAlignment="1">
      <alignment horizontal="center" vertical="center"/>
    </xf>
    <xf numFmtId="2" fontId="4" fillId="13" borderId="14" xfId="0" applyNumberFormat="1" applyFont="1" applyFill="1" applyBorder="1" applyAlignment="1">
      <alignment horizontal="center" vertical="center"/>
    </xf>
    <xf numFmtId="0" fontId="4" fillId="0" borderId="1" xfId="0" applyFont="1" applyBorder="1" applyAlignment="1">
      <alignment horizontal="left"/>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4" xfId="0" applyFont="1" applyBorder="1" applyAlignment="1">
      <alignment horizontal="center" vertical="center" wrapText="1"/>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1" xfId="0" applyFont="1" applyBorder="1" applyAlignment="1">
      <alignment horizontal="center"/>
    </xf>
    <xf numFmtId="0" fontId="5" fillId="0" borderId="4" xfId="0" applyFont="1" applyBorder="1" applyAlignment="1">
      <alignment horizontal="center"/>
    </xf>
    <xf numFmtId="0" fontId="5" fillId="0" borderId="5" xfId="0" applyFont="1" applyBorder="1" applyAlignment="1">
      <alignment horizontal="center"/>
    </xf>
    <xf numFmtId="2" fontId="4" fillId="5" borderId="2" xfId="0" applyNumberFormat="1" applyFont="1" applyFill="1" applyBorder="1" applyAlignment="1">
      <alignment horizontal="center" vertical="center"/>
    </xf>
    <xf numFmtId="2" fontId="4" fillId="5" borderId="14" xfId="0" applyNumberFormat="1" applyFont="1" applyFill="1" applyBorder="1" applyAlignment="1">
      <alignment horizontal="center" vertical="center"/>
    </xf>
    <xf numFmtId="2" fontId="4" fillId="5" borderId="10" xfId="0" applyNumberFormat="1" applyFont="1" applyFill="1" applyBorder="1" applyAlignment="1">
      <alignment horizontal="center" vertical="center"/>
    </xf>
    <xf numFmtId="2" fontId="4" fillId="5" borderId="3" xfId="0" applyNumberFormat="1" applyFont="1" applyFill="1" applyBorder="1" applyAlignment="1">
      <alignment horizontal="center" vertical="center"/>
    </xf>
    <xf numFmtId="0" fontId="4" fillId="3" borderId="2" xfId="0" applyFont="1" applyFill="1" applyBorder="1" applyAlignment="1">
      <alignment horizontal="left" vertical="center"/>
    </xf>
    <xf numFmtId="0" fontId="4" fillId="3" borderId="14" xfId="0" applyFont="1" applyFill="1" applyBorder="1" applyAlignment="1">
      <alignment horizontal="left" vertical="center"/>
    </xf>
    <xf numFmtId="2" fontId="4" fillId="0" borderId="1" xfId="0" applyNumberFormat="1" applyFont="1" applyBorder="1" applyAlignment="1">
      <alignment horizontal="center" vertical="center"/>
    </xf>
    <xf numFmtId="2" fontId="4" fillId="5" borderId="7" xfId="0" applyNumberFormat="1" applyFont="1" applyFill="1" applyBorder="1" applyAlignment="1">
      <alignment horizontal="center" vertical="center"/>
    </xf>
    <xf numFmtId="2" fontId="4" fillId="5" borderId="13" xfId="0" applyNumberFormat="1" applyFont="1" applyFill="1" applyBorder="1" applyAlignment="1">
      <alignment horizontal="center" vertical="center"/>
    </xf>
    <xf numFmtId="0" fontId="4" fillId="4" borderId="2" xfId="0" applyFont="1" applyFill="1" applyBorder="1" applyAlignment="1">
      <alignment horizontal="left" vertical="center"/>
    </xf>
    <xf numFmtId="0" fontId="4" fillId="4" borderId="3" xfId="0" applyFont="1" applyFill="1" applyBorder="1" applyAlignment="1">
      <alignment horizontal="left" vertical="center"/>
    </xf>
    <xf numFmtId="0" fontId="4" fillId="4" borderId="14" xfId="0" applyFont="1" applyFill="1" applyBorder="1" applyAlignment="1">
      <alignment horizontal="left" vertical="center"/>
    </xf>
    <xf numFmtId="2" fontId="4" fillId="4" borderId="14" xfId="0" applyNumberFormat="1" applyFont="1" applyFill="1" applyBorder="1" applyAlignment="1">
      <alignment horizontal="center" vertical="center"/>
    </xf>
    <xf numFmtId="2" fontId="4" fillId="4" borderId="2" xfId="0" applyNumberFormat="1" applyFont="1" applyFill="1" applyBorder="1" applyAlignment="1">
      <alignment horizontal="center" vertical="center"/>
    </xf>
    <xf numFmtId="2" fontId="4" fillId="4" borderId="3" xfId="0" applyNumberFormat="1" applyFont="1" applyFill="1" applyBorder="1" applyAlignment="1">
      <alignment horizontal="center" vertical="center"/>
    </xf>
    <xf numFmtId="2" fontId="4" fillId="0" borderId="2" xfId="0" applyNumberFormat="1" applyFont="1" applyBorder="1" applyAlignment="1">
      <alignment horizontal="center" vertical="center" wrapText="1"/>
    </xf>
    <xf numFmtId="2" fontId="4" fillId="0" borderId="3" xfId="0" applyNumberFormat="1" applyFont="1" applyBorder="1" applyAlignment="1">
      <alignment horizontal="center" vertical="center" wrapText="1"/>
    </xf>
    <xf numFmtId="0" fontId="4" fillId="5" borderId="8" xfId="0" applyFont="1" applyFill="1" applyBorder="1" applyAlignment="1">
      <alignment horizontal="left" vertical="center"/>
    </xf>
    <xf numFmtId="0" fontId="4" fillId="5" borderId="12" xfId="0" applyFont="1" applyFill="1" applyBorder="1" applyAlignment="1">
      <alignment horizontal="left" vertical="center"/>
    </xf>
    <xf numFmtId="0" fontId="4" fillId="3" borderId="3" xfId="0" applyFont="1" applyFill="1" applyBorder="1" applyAlignment="1">
      <alignment horizontal="left" vertical="center"/>
    </xf>
    <xf numFmtId="0" fontId="4" fillId="5" borderId="11" xfId="0" applyFont="1" applyFill="1" applyBorder="1" applyAlignment="1">
      <alignment horizontal="left"/>
    </xf>
    <xf numFmtId="0" fontId="4" fillId="5" borderId="13" xfId="0" applyFont="1" applyFill="1" applyBorder="1" applyAlignment="1">
      <alignment horizontal="left"/>
    </xf>
    <xf numFmtId="0" fontId="4" fillId="7" borderId="2" xfId="0" applyFont="1" applyFill="1" applyBorder="1" applyAlignment="1">
      <alignment horizontal="left" vertical="center"/>
    </xf>
    <xf numFmtId="0" fontId="4" fillId="7" borderId="3" xfId="0" applyFont="1" applyFill="1" applyBorder="1" applyAlignment="1">
      <alignment horizontal="left" vertical="center"/>
    </xf>
    <xf numFmtId="2" fontId="4" fillId="5" borderId="6" xfId="0" applyNumberFormat="1" applyFont="1" applyFill="1" applyBorder="1" applyAlignment="1">
      <alignment horizontal="center" vertical="center"/>
    </xf>
    <xf numFmtId="2" fontId="4" fillId="5" borderId="1" xfId="0" applyNumberFormat="1" applyFont="1" applyFill="1" applyBorder="1" applyAlignment="1">
      <alignment horizontal="center" vertical="center"/>
    </xf>
    <xf numFmtId="2" fontId="4" fillId="0" borderId="1" xfId="0" applyNumberFormat="1" applyFont="1" applyBorder="1" applyAlignment="1">
      <alignment horizontal="center" vertical="center" wrapText="1"/>
    </xf>
    <xf numFmtId="2" fontId="4" fillId="7" borderId="1" xfId="0" applyNumberFormat="1" applyFont="1" applyFill="1" applyBorder="1" applyAlignment="1">
      <alignment horizontal="center" vertical="center"/>
    </xf>
    <xf numFmtId="0" fontId="8" fillId="0" borderId="0" xfId="0" applyFont="1" applyFill="1" applyAlignment="1">
      <alignment horizontal="center"/>
    </xf>
    <xf numFmtId="0" fontId="0" fillId="0" borderId="0" xfId="0" applyFill="1" applyBorder="1" applyAlignment="1">
      <alignment horizontal="center"/>
    </xf>
    <xf numFmtId="0" fontId="0" fillId="0" borderId="10" xfId="0" applyFill="1" applyBorder="1" applyAlignment="1">
      <alignment horizontal="center"/>
    </xf>
    <xf numFmtId="0" fontId="8" fillId="0" borderId="0" xfId="0" applyFont="1" applyAlignment="1">
      <alignment horizontal="center"/>
    </xf>
    <xf numFmtId="0" fontId="12" fillId="0" borderId="0" xfId="0" applyFont="1" applyAlignment="1">
      <alignment horizontal="center"/>
    </xf>
    <xf numFmtId="0" fontId="0" fillId="0" borderId="0" xfId="0" applyBorder="1" applyAlignment="1">
      <alignment horizontal="center"/>
    </xf>
  </cellXfs>
  <cellStyles count="4">
    <cellStyle name="40% - Accent1" xfId="2" builtinId="31"/>
    <cellStyle name="Normal" xfId="0" builtinId="0"/>
    <cellStyle name="Normal 2" xfId="1" xr:uid="{00000000-0005-0000-0000-000002000000}"/>
    <cellStyle name="Percent" xfId="3" builtinId="5"/>
  </cellStyles>
  <dxfs count="2229">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2"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Percent</a:t>
            </a:r>
            <a:r>
              <a:rPr lang="en-US" baseline="0"/>
              <a:t> Impervious Cover</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dispRSqr val="0"/>
            <c:dispEq val="1"/>
            <c:trendlineLbl>
              <c:layout>
                <c:manualLayout>
                  <c:x val="0.13899831881942171"/>
                  <c:y val="-0.3508690280639740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'Reference Standards'!#REF!</c:f>
            </c:numRef>
          </c:xVal>
          <c:yVal>
            <c:numRef>
              <c:f>'Reference Standards'!#REF!</c:f>
              <c:numCache>
                <c:formatCode>General</c:formatCode>
                <c:ptCount val="1"/>
                <c:pt idx="0">
                  <c:v>1</c:v>
                </c:pt>
              </c:numCache>
            </c:numRef>
          </c:yVal>
          <c:smooth val="0"/>
          <c:extLst>
            <c:ext xmlns:c16="http://schemas.microsoft.com/office/drawing/2014/chart" uri="{C3380CC4-5D6E-409C-BE32-E72D297353CC}">
              <c16:uniqueId val="{00000000-6D1A-4B46-B753-5EE7BFC8112A}"/>
            </c:ext>
          </c:extLst>
        </c:ser>
        <c:ser>
          <c:idx val="1"/>
          <c:order val="1"/>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1"/>
            <c:trendlineLbl>
              <c:layout>
                <c:manualLayout>
                  <c:x val="-5.9288715306053522E-2"/>
                  <c:y val="-0.18373373776166552"/>
                </c:manualLayout>
              </c:layout>
              <c:numFmt formatCode="#,##0.0000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'Reference Standards'!#REF!</c:f>
            </c:numRef>
          </c:xVal>
          <c:yVal>
            <c:numRef>
              <c:f>'Reference Standards'!#REF!</c:f>
              <c:numCache>
                <c:formatCode>General</c:formatCode>
                <c:ptCount val="1"/>
                <c:pt idx="0">
                  <c:v>1</c:v>
                </c:pt>
              </c:numCache>
            </c:numRef>
          </c:yVal>
          <c:smooth val="0"/>
          <c:extLst>
            <c:ext xmlns:c16="http://schemas.microsoft.com/office/drawing/2014/chart" uri="{C3380CC4-5D6E-409C-BE32-E72D297353CC}">
              <c16:uniqueId val="{00000000-C453-49FD-BCE0-42FA69BC7CEE}"/>
            </c:ext>
          </c:extLst>
        </c:ser>
        <c:dLbls>
          <c:showLegendKey val="0"/>
          <c:showVal val="0"/>
          <c:showCatName val="0"/>
          <c:showSerName val="0"/>
          <c:showPercent val="0"/>
          <c:showBubbleSize val="0"/>
        </c:dLbls>
        <c:axId val="409643520"/>
        <c:axId val="409643912"/>
      </c:scatterChart>
      <c:valAx>
        <c:axId val="409643520"/>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9643912"/>
        <c:crosses val="autoZero"/>
        <c:crossBetween val="midCat"/>
      </c:valAx>
      <c:valAx>
        <c:axId val="409643912"/>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964352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47625</xdr:colOff>
      <xdr:row>19</xdr:row>
      <xdr:rowOff>1</xdr:rowOff>
    </xdr:from>
    <xdr:to>
      <xdr:col>2</xdr:col>
      <xdr:colOff>1984375</xdr:colOff>
      <xdr:row>22</xdr:row>
      <xdr:rowOff>15875</xdr:rowOff>
    </xdr:to>
    <xdr:sp macro="" textlink="">
      <xdr:nvSpPr>
        <xdr:cNvPr id="3" name="TextBox 2">
          <a:extLst>
            <a:ext uri="{FF2B5EF4-FFF2-40B4-BE49-F238E27FC236}">
              <a16:creationId xmlns:a16="http://schemas.microsoft.com/office/drawing/2014/main" id="{F77C9C77-5261-411E-B82D-4C960BC8F36D}"/>
            </a:ext>
          </a:extLst>
        </xdr:cNvPr>
        <xdr:cNvSpPr txBox="1"/>
      </xdr:nvSpPr>
      <xdr:spPr>
        <a:xfrm>
          <a:off x="47625" y="5981701"/>
          <a:ext cx="3451225" cy="587374"/>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b="1"/>
            <a:t>NOTICE: </a:t>
          </a:r>
          <a:r>
            <a:rPr lang="en-US" sz="1100" baseline="0">
              <a:solidFill>
                <a:sysClr val="windowText" lastClr="000000"/>
              </a:solidFill>
            </a:rPr>
            <a:t>If you find errors or problems, please contact Jill Bathke at </a:t>
          </a:r>
          <a:r>
            <a:rPr lang="en-US" sz="1100" b="0" i="0" u="none">
              <a:solidFill>
                <a:sysClr val="windowText" lastClr="000000"/>
              </a:solidFill>
              <a:effectLst/>
              <a:latin typeface="+mn-lt"/>
              <a:ea typeface="+mn-ea"/>
              <a:cs typeface="+mn-cs"/>
            </a:rPr>
            <a:t>Jill.C.Bathke@usace.army.mil</a:t>
          </a:r>
          <a:endParaRPr lang="en-US" sz="1100" u="none" baseline="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517526</xdr:colOff>
      <xdr:row>12</xdr:row>
      <xdr:rowOff>60327</xdr:rowOff>
    </xdr:from>
    <xdr:to>
      <xdr:col>13</xdr:col>
      <xdr:colOff>511272</xdr:colOff>
      <xdr:row>22</xdr:row>
      <xdr:rowOff>142875</xdr:rowOff>
    </xdr:to>
    <xdr:pic>
      <xdr:nvPicPr>
        <xdr:cNvPr id="6" name="Picture 5">
          <a:extLst>
            <a:ext uri="{FF2B5EF4-FFF2-40B4-BE49-F238E27FC236}">
              <a16:creationId xmlns:a16="http://schemas.microsoft.com/office/drawing/2014/main" id="{3F4F1EAD-C02D-400A-957F-7799418385FA}"/>
            </a:ext>
          </a:extLst>
        </xdr:cNvPr>
        <xdr:cNvPicPr>
          <a:picLocks noChangeAspect="1"/>
        </xdr:cNvPicPr>
      </xdr:nvPicPr>
      <xdr:blipFill>
        <a:blip xmlns:r="http://schemas.openxmlformats.org/officeDocument/2006/relationships" r:embed="rId1"/>
        <a:stretch>
          <a:fillRect/>
        </a:stretch>
      </xdr:blipFill>
      <xdr:spPr>
        <a:xfrm>
          <a:off x="10455276" y="2981327"/>
          <a:ext cx="5597621" cy="2305048"/>
        </a:xfrm>
        <a:prstGeom prst="rect">
          <a:avLst/>
        </a:prstGeom>
      </xdr:spPr>
    </xdr:pic>
    <xdr:clientData/>
  </xdr:twoCellAnchor>
  <xdr:oneCellAnchor>
    <xdr:from>
      <xdr:col>12</xdr:col>
      <xdr:colOff>895350</xdr:colOff>
      <xdr:row>2</xdr:row>
      <xdr:rowOff>333374</xdr:rowOff>
    </xdr:from>
    <xdr:ext cx="3257550" cy="1933575"/>
    <xdr:sp macro="" textlink="">
      <xdr:nvSpPr>
        <xdr:cNvPr id="2" name="TextBox 1">
          <a:extLst>
            <a:ext uri="{FF2B5EF4-FFF2-40B4-BE49-F238E27FC236}">
              <a16:creationId xmlns:a16="http://schemas.microsoft.com/office/drawing/2014/main" id="{C7F98988-8345-4D4A-A215-CD991D571823}"/>
            </a:ext>
          </a:extLst>
        </xdr:cNvPr>
        <xdr:cNvSpPr txBox="1"/>
      </xdr:nvSpPr>
      <xdr:spPr>
        <a:xfrm>
          <a:off x="11944350" y="333374"/>
          <a:ext cx="3257550" cy="19335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twoCellAnchor>
    <xdr:from>
      <xdr:col>12</xdr:col>
      <xdr:colOff>104776</xdr:colOff>
      <xdr:row>2</xdr:row>
      <xdr:rowOff>0</xdr:rowOff>
    </xdr:from>
    <xdr:to>
      <xdr:col>13</xdr:col>
      <xdr:colOff>1638301</xdr:colOff>
      <xdr:row>11</xdr:row>
      <xdr:rowOff>114300</xdr:rowOff>
    </xdr:to>
    <xdr:sp macro="" textlink="">
      <xdr:nvSpPr>
        <xdr:cNvPr id="2051" name="Text Box 3">
          <a:extLst>
            <a:ext uri="{FF2B5EF4-FFF2-40B4-BE49-F238E27FC236}">
              <a16:creationId xmlns:a16="http://schemas.microsoft.com/office/drawing/2014/main" id="{2406529C-52FD-46AC-A49B-8C19CC748B34}"/>
            </a:ext>
          </a:extLst>
        </xdr:cNvPr>
        <xdr:cNvSpPr txBox="1">
          <a:spLocks noChangeArrowheads="1"/>
        </xdr:cNvSpPr>
      </xdr:nvSpPr>
      <xdr:spPr bwMode="auto">
        <a:xfrm>
          <a:off x="11153776" y="0"/>
          <a:ext cx="4286250" cy="2486025"/>
        </a:xfrm>
        <a:prstGeom prst="rect">
          <a:avLst/>
        </a:prstGeom>
        <a:solidFill>
          <a:schemeClr val="bg1"/>
        </a:solidFill>
        <a:ln w="19050">
          <a:solidFill>
            <a:srgbClr val="000000"/>
          </a:solidFill>
          <a:miter lim="800000"/>
          <a:headEnd/>
          <a:tailEnd/>
        </a:ln>
      </xdr:spPr>
      <xdr:txBody>
        <a:bodyPr vertOverflow="clip" wrap="square" lIns="27432" tIns="27432" rIns="0" bIns="0" anchor="t" upright="1"/>
        <a:lstStyle/>
        <a:p>
          <a:pPr algn="l" rtl="0">
            <a:defRPr sz="1000"/>
          </a:pPr>
          <a:r>
            <a:rPr lang="en-US" sz="1100" b="1" i="0" u="none" strike="noStrike" baseline="0">
              <a:solidFill>
                <a:srgbClr val="000000"/>
              </a:solidFill>
              <a:latin typeface="Calibri"/>
              <a:cs typeface="Calibri"/>
            </a:rPr>
            <a:t>Proposed Impact Factors and Activity Modeling: </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The graph below represents combined data from modeling individual activities and the impact these actions have on stream resources. The table has established tiers, percent functional loss and the impact factors used to determine debits. The Impact Factors were developed from linear regression equations of modeled impact scenarios using a simplified version of the SQT. Each impact type was described in detail and evaluated for stream functional loss by the proposed activities. Using a simplified SQT, an individual impact factor was developed for each impact type.  These types were grouped based on % functional loss  (in clusters) and graphed in "tiers". A trendline was drawn and the slope of that line became the combined impact factor representing all activities within a given tier.</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29028</xdr:colOff>
      <xdr:row>133</xdr:row>
      <xdr:rowOff>0</xdr:rowOff>
    </xdr:from>
    <xdr:to>
      <xdr:col>4</xdr:col>
      <xdr:colOff>0</xdr:colOff>
      <xdr:row>133</xdr:row>
      <xdr:rowOff>0</xdr:rowOff>
    </xdr:to>
    <xdr:graphicFrame macro="">
      <xdr:nvGraphicFramePr>
        <xdr:cNvPr id="49" name="Chart 48">
          <a:extLst>
            <a:ext uri="{FF2B5EF4-FFF2-40B4-BE49-F238E27FC236}">
              <a16:creationId xmlns:a16="http://schemas.microsoft.com/office/drawing/2014/main" id="{00000000-0008-0000-0400-00003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42"/>
  <sheetViews>
    <sheetView workbookViewId="0">
      <selection sqref="A1:H1"/>
    </sheetView>
  </sheetViews>
  <sheetFormatPr defaultRowHeight="15" x14ac:dyDescent="0.25"/>
  <cols>
    <col min="2" max="2" width="13.5703125" customWidth="1"/>
    <col min="3" max="3" width="45.140625" bestFit="1" customWidth="1"/>
    <col min="10" max="11" width="8.85546875" style="5"/>
  </cols>
  <sheetData>
    <row r="1" spans="1:15" ht="19.5" thickBot="1" x14ac:dyDescent="0.35">
      <c r="A1" s="286" t="s">
        <v>158</v>
      </c>
      <c r="B1" s="287"/>
      <c r="C1" s="287"/>
      <c r="D1" s="287"/>
      <c r="E1" s="287"/>
      <c r="F1" s="287"/>
      <c r="G1" s="287"/>
      <c r="H1" s="287"/>
    </row>
    <row r="2" spans="1:15" ht="19.5" thickBot="1" x14ac:dyDescent="0.35">
      <c r="A2" s="288" t="s">
        <v>141</v>
      </c>
      <c r="B2" s="289"/>
      <c r="C2" s="292"/>
      <c r="D2" s="293"/>
      <c r="E2" s="294"/>
      <c r="F2" s="295" t="s">
        <v>142</v>
      </c>
      <c r="G2" s="296"/>
      <c r="H2" s="297"/>
      <c r="J2"/>
      <c r="K2"/>
    </row>
    <row r="3" spans="1:15" ht="15.75" thickBot="1" x14ac:dyDescent="0.3">
      <c r="A3" s="290"/>
      <c r="B3" s="291"/>
      <c r="C3" s="327"/>
      <c r="D3" s="328"/>
      <c r="E3" s="329"/>
      <c r="F3" s="298">
        <f>'Debit Calculator'!I17</f>
        <v>0</v>
      </c>
      <c r="G3" s="299"/>
      <c r="H3" s="300"/>
      <c r="I3" s="30"/>
      <c r="J3" s="30"/>
      <c r="K3" s="30"/>
      <c r="L3" s="30"/>
      <c r="M3" s="5"/>
      <c r="N3" s="93"/>
      <c r="O3" s="93"/>
    </row>
    <row r="4" spans="1:15" ht="19.5" thickBot="1" x14ac:dyDescent="0.35">
      <c r="A4" s="307" t="s">
        <v>143</v>
      </c>
      <c r="B4" s="297"/>
      <c r="C4" s="292"/>
      <c r="D4" s="293"/>
      <c r="E4" s="294"/>
      <c r="F4" s="301"/>
      <c r="G4" s="302"/>
      <c r="H4" s="303"/>
      <c r="I4" s="30"/>
      <c r="J4" s="30"/>
      <c r="K4" s="30"/>
      <c r="L4" s="30"/>
      <c r="M4" s="5"/>
      <c r="N4" s="94"/>
      <c r="O4" s="95"/>
    </row>
    <row r="5" spans="1:15" ht="36.75" customHeight="1" thickBot="1" x14ac:dyDescent="0.35">
      <c r="A5" s="295" t="s">
        <v>144</v>
      </c>
      <c r="B5" s="296"/>
      <c r="C5" s="251"/>
      <c r="D5" s="134" t="s">
        <v>145</v>
      </c>
      <c r="E5" s="135">
        <v>36892</v>
      </c>
      <c r="F5" s="304"/>
      <c r="G5" s="305"/>
      <c r="H5" s="306"/>
      <c r="I5" s="30"/>
      <c r="J5" s="30"/>
      <c r="K5" s="30"/>
      <c r="L5" s="30"/>
      <c r="M5" s="5"/>
      <c r="N5" s="94"/>
      <c r="O5" s="95"/>
    </row>
    <row r="6" spans="1:15" x14ac:dyDescent="0.25">
      <c r="A6" s="308" t="s">
        <v>146</v>
      </c>
      <c r="B6" s="309"/>
      <c r="C6" s="312"/>
      <c r="D6" s="313"/>
      <c r="E6" s="313"/>
      <c r="F6" s="313"/>
      <c r="G6" s="313"/>
      <c r="H6" s="314"/>
      <c r="I6" s="30"/>
      <c r="J6" s="30"/>
      <c r="K6" s="30"/>
      <c r="L6" s="30"/>
      <c r="M6" s="5"/>
      <c r="N6" s="94"/>
      <c r="O6" s="95"/>
    </row>
    <row r="7" spans="1:15" ht="15.75" thickBot="1" x14ac:dyDescent="0.3">
      <c r="A7" s="310"/>
      <c r="B7" s="311"/>
      <c r="C7" s="315"/>
      <c r="D7" s="316"/>
      <c r="E7" s="316"/>
      <c r="F7" s="317"/>
      <c r="G7" s="317"/>
      <c r="H7" s="318"/>
      <c r="I7" s="30"/>
      <c r="J7" s="30"/>
      <c r="K7" s="30"/>
      <c r="L7" s="30"/>
      <c r="M7" s="5"/>
      <c r="N7" s="94"/>
      <c r="O7" s="95"/>
    </row>
    <row r="8" spans="1:15" ht="15.75" thickBot="1" x14ac:dyDescent="0.3">
      <c r="A8" s="319" t="s">
        <v>147</v>
      </c>
      <c r="B8" s="320"/>
      <c r="C8" s="136" t="s">
        <v>148</v>
      </c>
      <c r="D8" s="321" t="s">
        <v>149</v>
      </c>
      <c r="E8" s="320"/>
      <c r="F8" s="322" t="s">
        <v>150</v>
      </c>
      <c r="G8" s="322"/>
      <c r="H8" s="320"/>
      <c r="I8" s="30"/>
      <c r="J8" s="30"/>
      <c r="K8" s="30"/>
      <c r="L8" s="30"/>
      <c r="M8" s="5"/>
      <c r="N8" s="94"/>
      <c r="O8" s="95"/>
    </row>
    <row r="9" spans="1:15" x14ac:dyDescent="0.25">
      <c r="A9" s="282"/>
      <c r="B9" s="283"/>
      <c r="C9" s="275"/>
      <c r="D9" s="284"/>
      <c r="E9" s="284"/>
      <c r="F9" s="284"/>
      <c r="G9" s="284"/>
      <c r="H9" s="285"/>
      <c r="I9" s="30"/>
      <c r="J9" s="30"/>
      <c r="K9" s="30"/>
      <c r="L9" s="30"/>
      <c r="M9" s="5"/>
      <c r="N9" s="94"/>
      <c r="O9" s="95"/>
    </row>
    <row r="10" spans="1:15" x14ac:dyDescent="0.25">
      <c r="A10" s="323"/>
      <c r="B10" s="324"/>
      <c r="C10" s="273"/>
      <c r="D10" s="325"/>
      <c r="E10" s="325"/>
      <c r="F10" s="325"/>
      <c r="G10" s="325"/>
      <c r="H10" s="326"/>
      <c r="I10" s="30"/>
      <c r="J10" s="30"/>
      <c r="K10" s="30"/>
      <c r="L10" s="30"/>
      <c r="M10" s="5"/>
      <c r="N10" s="94"/>
      <c r="O10" s="95"/>
    </row>
    <row r="11" spans="1:15" x14ac:dyDescent="0.25">
      <c r="A11" s="323"/>
      <c r="B11" s="324"/>
      <c r="C11" s="272"/>
      <c r="D11" s="325"/>
      <c r="E11" s="325"/>
      <c r="F11" s="325"/>
      <c r="G11" s="325"/>
      <c r="H11" s="326"/>
      <c r="I11" s="30"/>
      <c r="J11" s="30"/>
      <c r="K11" s="30"/>
      <c r="L11" s="30"/>
      <c r="M11" s="5"/>
      <c r="N11" s="94"/>
      <c r="O11" s="95"/>
    </row>
    <row r="12" spans="1:15" x14ac:dyDescent="0.25">
      <c r="A12" s="323"/>
      <c r="B12" s="324"/>
      <c r="C12" s="272"/>
      <c r="D12" s="325"/>
      <c r="E12" s="325"/>
      <c r="F12" s="325"/>
      <c r="G12" s="325"/>
      <c r="H12" s="326"/>
      <c r="I12" s="30"/>
      <c r="J12" s="30"/>
      <c r="K12" s="30"/>
      <c r="L12" s="30"/>
      <c r="M12" s="5"/>
      <c r="N12" s="94"/>
      <c r="O12" s="95"/>
    </row>
    <row r="13" spans="1:15" x14ac:dyDescent="0.25">
      <c r="A13" s="323"/>
      <c r="B13" s="324"/>
      <c r="C13" s="272"/>
      <c r="D13" s="325"/>
      <c r="E13" s="325"/>
      <c r="F13" s="325"/>
      <c r="G13" s="325"/>
      <c r="H13" s="326"/>
      <c r="I13" s="30"/>
      <c r="J13" s="30"/>
      <c r="K13" s="30"/>
      <c r="L13" s="30"/>
      <c r="M13" s="5"/>
      <c r="N13" s="94"/>
      <c r="O13" s="95"/>
    </row>
    <row r="14" spans="1:15" x14ac:dyDescent="0.25">
      <c r="A14" s="323"/>
      <c r="B14" s="324"/>
      <c r="C14" s="272"/>
      <c r="D14" s="325"/>
      <c r="E14" s="325"/>
      <c r="F14" s="325"/>
      <c r="G14" s="325"/>
      <c r="H14" s="326"/>
      <c r="I14" s="30"/>
      <c r="J14" s="30"/>
      <c r="K14" s="30"/>
      <c r="L14" s="30"/>
      <c r="M14" s="5"/>
      <c r="N14" s="94"/>
      <c r="O14" s="95"/>
    </row>
    <row r="15" spans="1:15" x14ac:dyDescent="0.25">
      <c r="A15" s="323"/>
      <c r="B15" s="324"/>
      <c r="C15" s="272"/>
      <c r="D15" s="325"/>
      <c r="E15" s="325"/>
      <c r="F15" s="325"/>
      <c r="G15" s="325"/>
      <c r="H15" s="326"/>
      <c r="I15" s="30"/>
      <c r="J15" s="30"/>
      <c r="K15" s="30"/>
      <c r="L15" s="30"/>
      <c r="M15" s="5"/>
      <c r="N15" s="94"/>
      <c r="O15" s="95"/>
    </row>
    <row r="16" spans="1:15" x14ac:dyDescent="0.25">
      <c r="A16" s="323"/>
      <c r="B16" s="324"/>
      <c r="C16" s="272"/>
      <c r="D16" s="325"/>
      <c r="E16" s="325"/>
      <c r="F16" s="325"/>
      <c r="G16" s="325"/>
      <c r="H16" s="326"/>
      <c r="I16" s="30"/>
      <c r="J16" s="30"/>
      <c r="K16" s="30"/>
      <c r="L16" s="30"/>
      <c r="M16" s="5"/>
      <c r="N16" s="94"/>
      <c r="O16" s="95"/>
    </row>
    <row r="17" spans="1:27" x14ac:dyDescent="0.25">
      <c r="A17" s="323"/>
      <c r="B17" s="324"/>
      <c r="C17" s="272"/>
      <c r="D17" s="325"/>
      <c r="E17" s="325"/>
      <c r="F17" s="325"/>
      <c r="G17" s="325"/>
      <c r="H17" s="326"/>
      <c r="I17" s="30"/>
      <c r="J17" s="30"/>
      <c r="K17" s="30"/>
      <c r="L17" s="30"/>
      <c r="M17" s="5"/>
      <c r="N17" s="94"/>
      <c r="O17" s="95"/>
    </row>
    <row r="18" spans="1:27" ht="15.75" thickBot="1" x14ac:dyDescent="0.3">
      <c r="A18" s="330"/>
      <c r="B18" s="331"/>
      <c r="C18" s="274"/>
      <c r="D18" s="332"/>
      <c r="E18" s="331"/>
      <c r="F18" s="332"/>
      <c r="G18" s="333"/>
      <c r="H18" s="334"/>
      <c r="I18" s="30"/>
      <c r="J18" s="30"/>
      <c r="K18" s="30"/>
      <c r="L18" s="30"/>
      <c r="M18" s="5"/>
      <c r="N18" s="94"/>
      <c r="O18" s="95"/>
    </row>
    <row r="19" spans="1:27" x14ac:dyDescent="0.25">
      <c r="B19" s="30"/>
      <c r="C19" s="30"/>
      <c r="D19" s="30"/>
      <c r="E19" s="30"/>
      <c r="F19" s="30"/>
      <c r="G19" s="30"/>
      <c r="H19" s="30"/>
      <c r="I19" s="30"/>
      <c r="J19" s="30"/>
      <c r="K19" s="30"/>
      <c r="L19" s="30"/>
      <c r="M19" s="5"/>
      <c r="N19" s="5"/>
      <c r="O19" s="5"/>
    </row>
    <row r="20" spans="1:27" x14ac:dyDescent="0.25">
      <c r="L20" s="5"/>
      <c r="M20" s="5"/>
      <c r="N20" s="5"/>
      <c r="O20" s="5"/>
      <c r="P20" s="5"/>
      <c r="Q20" s="5"/>
      <c r="R20" s="5"/>
      <c r="S20" s="5"/>
      <c r="T20" s="5"/>
      <c r="U20" s="5"/>
      <c r="V20" s="5"/>
      <c r="W20" s="5"/>
      <c r="X20" s="5"/>
      <c r="Y20" s="5"/>
      <c r="Z20" s="5"/>
      <c r="AA20" s="5"/>
    </row>
    <row r="21" spans="1:27" s="5" customFormat="1" x14ac:dyDescent="0.25"/>
    <row r="22" spans="1:27" s="5" customFormat="1" x14ac:dyDescent="0.25"/>
    <row r="23" spans="1:27" s="5" customFormat="1" x14ac:dyDescent="0.25"/>
    <row r="24" spans="1:27" x14ac:dyDescent="0.25">
      <c r="A24" s="6" t="s">
        <v>159</v>
      </c>
      <c r="B24" s="5"/>
      <c r="C24" s="5"/>
      <c r="D24" s="5"/>
      <c r="E24" s="5"/>
      <c r="F24" s="5"/>
      <c r="G24" s="5"/>
      <c r="H24" s="5"/>
      <c r="I24" s="5"/>
      <c r="L24" s="5"/>
      <c r="M24" s="5"/>
      <c r="N24" s="5"/>
      <c r="O24" s="5"/>
      <c r="P24" s="5"/>
      <c r="Q24" s="5"/>
      <c r="R24" s="5"/>
      <c r="S24" s="5"/>
      <c r="T24" s="5"/>
      <c r="U24" s="5"/>
      <c r="V24" s="5"/>
      <c r="W24" s="5"/>
      <c r="X24" s="5"/>
      <c r="Y24" s="5"/>
      <c r="Z24" s="5"/>
      <c r="AA24" s="5"/>
    </row>
    <row r="25" spans="1:27" s="5" customFormat="1" x14ac:dyDescent="0.25">
      <c r="A25" s="126" t="s">
        <v>151</v>
      </c>
      <c r="B25" s="126"/>
      <c r="C25" s="126"/>
    </row>
    <row r="26" spans="1:27" s="4" customFormat="1" x14ac:dyDescent="0.25">
      <c r="A26" s="6" t="s">
        <v>100</v>
      </c>
      <c r="B26" s="126"/>
      <c r="C26" s="126" t="s">
        <v>101</v>
      </c>
    </row>
    <row r="27" spans="1:27" s="4" customFormat="1" x14ac:dyDescent="0.25">
      <c r="A27" s="5"/>
      <c r="B27" s="126"/>
      <c r="C27" s="126" t="s">
        <v>152</v>
      </c>
    </row>
    <row r="28" spans="1:27" s="4" customFormat="1" x14ac:dyDescent="0.25">
      <c r="A28" s="5"/>
      <c r="B28" s="126"/>
      <c r="C28" s="126" t="s">
        <v>153</v>
      </c>
    </row>
    <row r="29" spans="1:27" s="4" customFormat="1" x14ac:dyDescent="0.25">
      <c r="A29" s="5"/>
      <c r="B29" s="126"/>
      <c r="C29" s="126" t="s">
        <v>154</v>
      </c>
    </row>
    <row r="30" spans="1:27" s="4" customFormat="1" x14ac:dyDescent="0.25">
      <c r="A30" s="5"/>
      <c r="B30" s="126"/>
      <c r="C30" s="126"/>
    </row>
    <row r="31" spans="1:27" s="5" customFormat="1" x14ac:dyDescent="0.25"/>
    <row r="32" spans="1:27" s="4" customFormat="1" x14ac:dyDescent="0.25">
      <c r="A32" s="6" t="s">
        <v>102</v>
      </c>
      <c r="B32" s="5"/>
      <c r="C32" s="5"/>
    </row>
    <row r="33" spans="1:27" x14ac:dyDescent="0.25">
      <c r="A33" s="5" t="s">
        <v>155</v>
      </c>
      <c r="B33" s="5"/>
      <c r="C33" s="5"/>
      <c r="D33" s="5"/>
      <c r="E33" s="5"/>
      <c r="F33" s="5"/>
      <c r="G33" s="5"/>
      <c r="H33" s="5"/>
      <c r="I33" s="5"/>
      <c r="L33" s="5"/>
      <c r="M33" s="5"/>
      <c r="N33" s="5"/>
      <c r="O33" s="5"/>
      <c r="P33" s="5"/>
      <c r="Q33" s="5"/>
      <c r="R33" s="5"/>
      <c r="S33" s="5"/>
      <c r="T33" s="5"/>
      <c r="U33" s="5"/>
      <c r="V33" s="5"/>
      <c r="W33" s="5"/>
      <c r="X33" s="5"/>
      <c r="Y33" s="5"/>
      <c r="Z33" s="5"/>
      <c r="AA33" s="5"/>
    </row>
    <row r="34" spans="1:27" x14ac:dyDescent="0.25">
      <c r="A34" s="126" t="s">
        <v>156</v>
      </c>
      <c r="B34" s="5"/>
      <c r="C34" s="5"/>
      <c r="D34" s="5"/>
      <c r="E34" s="5"/>
      <c r="F34" s="5"/>
      <c r="G34" s="5"/>
      <c r="H34" s="5"/>
      <c r="I34" s="5"/>
      <c r="L34" s="5"/>
      <c r="M34" s="5"/>
      <c r="N34" s="5"/>
      <c r="O34" s="5"/>
      <c r="P34" s="5"/>
      <c r="Q34" s="5"/>
      <c r="R34" s="5"/>
      <c r="S34" s="5"/>
      <c r="T34" s="5"/>
      <c r="U34" s="5"/>
      <c r="V34" s="5"/>
      <c r="W34" s="5"/>
      <c r="X34" s="5"/>
      <c r="Y34" s="5"/>
      <c r="Z34" s="5"/>
      <c r="AA34" s="5"/>
    </row>
    <row r="35" spans="1:27" x14ac:dyDescent="0.25">
      <c r="A35" s="5" t="s">
        <v>157</v>
      </c>
      <c r="B35" s="5"/>
      <c r="C35" s="5"/>
      <c r="D35" s="5"/>
      <c r="E35" s="5"/>
      <c r="F35" s="5"/>
      <c r="G35" s="5"/>
      <c r="H35" s="5"/>
      <c r="I35" s="5"/>
      <c r="L35" s="5"/>
      <c r="M35" s="5"/>
      <c r="N35" s="5"/>
      <c r="O35" s="5"/>
      <c r="P35" s="5"/>
      <c r="Q35" s="5"/>
      <c r="R35" s="5"/>
      <c r="S35" s="5"/>
      <c r="T35" s="5"/>
      <c r="U35" s="5"/>
      <c r="V35" s="5"/>
      <c r="W35" s="5"/>
      <c r="X35" s="5"/>
      <c r="Y35" s="5"/>
      <c r="Z35" s="5"/>
      <c r="AA35" s="5"/>
    </row>
    <row r="36" spans="1:27" x14ac:dyDescent="0.25">
      <c r="A36" s="5"/>
      <c r="B36" s="5"/>
      <c r="C36" s="5"/>
      <c r="D36" s="5"/>
      <c r="E36" s="5"/>
      <c r="F36" s="5"/>
      <c r="G36" s="5"/>
      <c r="H36" s="5"/>
      <c r="I36" s="5"/>
      <c r="L36" s="5"/>
      <c r="M36" s="5"/>
      <c r="N36" s="5"/>
      <c r="O36" s="5"/>
      <c r="P36" s="5"/>
      <c r="Q36" s="5"/>
      <c r="R36" s="5"/>
      <c r="S36" s="5"/>
      <c r="T36" s="5"/>
      <c r="U36" s="5"/>
      <c r="V36" s="5"/>
      <c r="W36" s="5"/>
      <c r="X36" s="5"/>
      <c r="Y36" s="5"/>
      <c r="Z36" s="5"/>
      <c r="AA36" s="5"/>
    </row>
    <row r="37" spans="1:27" x14ac:dyDescent="0.25">
      <c r="A37" s="5" t="s">
        <v>312</v>
      </c>
      <c r="B37" s="5"/>
      <c r="C37" s="5"/>
      <c r="D37" s="5"/>
      <c r="E37" s="5"/>
      <c r="F37" s="5"/>
      <c r="G37" s="5"/>
      <c r="H37" s="5"/>
      <c r="I37" s="5"/>
      <c r="L37" s="5"/>
      <c r="M37" s="5"/>
      <c r="N37" s="5"/>
      <c r="O37" s="5"/>
      <c r="P37" s="5"/>
      <c r="Q37" s="5"/>
      <c r="R37" s="5"/>
      <c r="S37" s="5"/>
      <c r="T37" s="5"/>
      <c r="U37" s="5"/>
      <c r="V37" s="5"/>
      <c r="W37" s="5"/>
      <c r="X37" s="5"/>
      <c r="Y37" s="5"/>
      <c r="Z37" s="5"/>
      <c r="AA37" s="5"/>
    </row>
    <row r="38" spans="1:27" x14ac:dyDescent="0.25">
      <c r="A38" s="5" t="s">
        <v>79</v>
      </c>
      <c r="B38" s="5"/>
      <c r="C38" s="137">
        <v>43677</v>
      </c>
      <c r="D38" s="5"/>
      <c r="E38" s="5"/>
      <c r="F38" s="5"/>
      <c r="G38" s="5"/>
      <c r="H38" s="5"/>
      <c r="I38" s="5"/>
      <c r="L38" s="5"/>
      <c r="M38" s="5"/>
      <c r="N38" s="5"/>
      <c r="O38" s="5"/>
      <c r="P38" s="5"/>
      <c r="Q38" s="5"/>
      <c r="R38" s="5"/>
      <c r="S38" s="5"/>
      <c r="T38" s="5"/>
      <c r="U38" s="5"/>
      <c r="V38" s="5"/>
      <c r="W38" s="5"/>
      <c r="X38" s="5"/>
      <c r="Y38" s="5"/>
      <c r="Z38" s="5"/>
      <c r="AA38" s="5"/>
    </row>
    <row r="39" spans="1:27" x14ac:dyDescent="0.25">
      <c r="C39" s="5"/>
      <c r="D39" s="5"/>
      <c r="E39" s="5"/>
      <c r="F39" s="5"/>
      <c r="G39" s="5"/>
      <c r="H39" s="5"/>
      <c r="I39" s="5"/>
      <c r="L39" s="5"/>
      <c r="M39" s="5"/>
      <c r="N39" s="5"/>
      <c r="O39" s="5"/>
      <c r="P39" s="5"/>
      <c r="Q39" s="5"/>
      <c r="R39" s="5"/>
      <c r="S39" s="5"/>
      <c r="T39" s="5"/>
      <c r="U39" s="5"/>
      <c r="V39" s="5"/>
      <c r="W39" s="5"/>
      <c r="X39" s="5"/>
      <c r="Y39" s="5"/>
      <c r="Z39" s="5"/>
      <c r="AA39" s="5"/>
    </row>
    <row r="40" spans="1:27" x14ac:dyDescent="0.25">
      <c r="C40" s="5"/>
      <c r="D40" s="5"/>
      <c r="E40" s="5"/>
      <c r="F40" s="5"/>
      <c r="G40" s="5"/>
      <c r="H40" s="5"/>
      <c r="I40" s="5"/>
      <c r="L40" s="5"/>
      <c r="M40" s="5"/>
      <c r="N40" s="5"/>
      <c r="O40" s="5"/>
      <c r="P40" s="5"/>
      <c r="Q40" s="5"/>
      <c r="R40" s="5"/>
      <c r="S40" s="5"/>
      <c r="T40" s="5"/>
      <c r="U40" s="5"/>
      <c r="V40" s="5"/>
      <c r="W40" s="5"/>
      <c r="X40" s="5"/>
      <c r="Y40" s="5"/>
      <c r="Z40" s="5"/>
      <c r="AA40" s="5"/>
    </row>
    <row r="41" spans="1:27" x14ac:dyDescent="0.25">
      <c r="C41" s="5"/>
      <c r="D41" s="5"/>
      <c r="E41" s="5"/>
      <c r="F41" s="5"/>
      <c r="G41" s="5"/>
      <c r="H41" s="5"/>
      <c r="I41" s="5"/>
      <c r="L41" s="5"/>
      <c r="M41" s="5"/>
      <c r="N41" s="5"/>
      <c r="O41" s="5"/>
      <c r="P41" s="5"/>
      <c r="Q41" s="5"/>
      <c r="R41" s="5"/>
      <c r="S41" s="5"/>
      <c r="T41" s="5"/>
      <c r="U41" s="5"/>
      <c r="V41" s="5"/>
      <c r="W41" s="5"/>
      <c r="X41" s="5"/>
      <c r="Y41" s="5"/>
      <c r="Z41" s="5"/>
      <c r="AA41" s="5"/>
    </row>
    <row r="42" spans="1:27" x14ac:dyDescent="0.25">
      <c r="C42" s="5"/>
      <c r="D42" s="5"/>
      <c r="E42" s="5"/>
      <c r="F42" s="5"/>
      <c r="G42" s="5"/>
      <c r="H42" s="5"/>
      <c r="I42" s="5"/>
      <c r="L42" s="5"/>
      <c r="M42" s="5"/>
      <c r="N42" s="5"/>
      <c r="O42" s="5"/>
      <c r="P42" s="5"/>
      <c r="Q42" s="5"/>
      <c r="R42" s="5"/>
      <c r="S42" s="5"/>
      <c r="T42" s="5"/>
      <c r="U42" s="5"/>
      <c r="V42" s="5"/>
      <c r="W42" s="5"/>
      <c r="X42" s="5"/>
      <c r="Y42" s="5"/>
      <c r="Z42" s="5"/>
      <c r="AA42" s="5"/>
    </row>
  </sheetData>
  <mergeCells count="44">
    <mergeCell ref="C3:E3"/>
    <mergeCell ref="A18:B18"/>
    <mergeCell ref="D18:E18"/>
    <mergeCell ref="F18:H18"/>
    <mergeCell ref="A16:B16"/>
    <mergeCell ref="D16:E16"/>
    <mergeCell ref="F16:H16"/>
    <mergeCell ref="A17:B17"/>
    <mergeCell ref="D17:E17"/>
    <mergeCell ref="F17:H17"/>
    <mergeCell ref="A14:B14"/>
    <mergeCell ref="D14:E14"/>
    <mergeCell ref="F14:H14"/>
    <mergeCell ref="A15:B15"/>
    <mergeCell ref="D15:E15"/>
    <mergeCell ref="F15:H15"/>
    <mergeCell ref="A12:B12"/>
    <mergeCell ref="D12:E12"/>
    <mergeCell ref="F12:H12"/>
    <mergeCell ref="A13:B13"/>
    <mergeCell ref="D13:E13"/>
    <mergeCell ref="F13:H13"/>
    <mergeCell ref="A10:B10"/>
    <mergeCell ref="D10:E10"/>
    <mergeCell ref="F10:H10"/>
    <mergeCell ref="A11:B11"/>
    <mergeCell ref="D11:E11"/>
    <mergeCell ref="F11:H11"/>
    <mergeCell ref="A9:B9"/>
    <mergeCell ref="D9:E9"/>
    <mergeCell ref="F9:H9"/>
    <mergeCell ref="A1:H1"/>
    <mergeCell ref="A2:B3"/>
    <mergeCell ref="C2:E2"/>
    <mergeCell ref="F2:H2"/>
    <mergeCell ref="F3:H5"/>
    <mergeCell ref="A4:B4"/>
    <mergeCell ref="C4:E4"/>
    <mergeCell ref="A5:B5"/>
    <mergeCell ref="A6:B7"/>
    <mergeCell ref="C6:H7"/>
    <mergeCell ref="A8:B8"/>
    <mergeCell ref="D8:E8"/>
    <mergeCell ref="F8:H8"/>
  </mergeCells>
  <pageMargins left="0.7" right="0.7" top="0.75" bottom="0.75" header="0.3" footer="0.3"/>
  <pageSetup scale="80" orientation="portrait" r:id="rId1"/>
  <colBreaks count="1" manualBreakCount="1">
    <brk id="8"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74"/>
  <sheetViews>
    <sheetView zoomScale="70" zoomScaleNormal="70" workbookViewId="0"/>
  </sheetViews>
  <sheetFormatPr defaultRowHeight="15" x14ac:dyDescent="0.25"/>
  <cols>
    <col min="1" max="1" width="14.85546875" customWidth="1"/>
    <col min="2" max="2" width="34.7109375" bestFit="1" customWidth="1"/>
    <col min="3" max="3" width="17.42578125" style="5" customWidth="1"/>
    <col min="4" max="4" width="10.5703125" bestFit="1" customWidth="1"/>
    <col min="5" max="5" width="12.42578125" customWidth="1"/>
    <col min="6" max="6" width="16.5703125" customWidth="1"/>
    <col min="7" max="7" width="11.85546875" customWidth="1"/>
    <col min="8" max="8" width="14.5703125" customWidth="1"/>
    <col min="9" max="9" width="15.28515625" customWidth="1"/>
    <col min="10" max="10" width="13.42578125" style="5" customWidth="1"/>
    <col min="11" max="12" width="14.7109375" customWidth="1"/>
    <col min="13" max="13" width="41.28515625" customWidth="1"/>
    <col min="14" max="14" width="27" bestFit="1" customWidth="1"/>
    <col min="15" max="15" width="9.85546875" customWidth="1"/>
  </cols>
  <sheetData>
    <row r="1" spans="1:22" s="5" customFormat="1" x14ac:dyDescent="0.25">
      <c r="A1" s="5" t="s">
        <v>275</v>
      </c>
      <c r="B1" s="266"/>
      <c r="C1" s="266"/>
      <c r="D1" s="266"/>
      <c r="E1" s="39"/>
    </row>
    <row r="2" spans="1:22" s="5" customFormat="1" ht="15.75" thickBot="1" x14ac:dyDescent="0.3">
      <c r="A2" s="5" t="s">
        <v>276</v>
      </c>
      <c r="B2" s="267"/>
      <c r="C2" s="267"/>
      <c r="D2" s="267"/>
      <c r="E2" s="39"/>
    </row>
    <row r="3" spans="1:22" ht="30.75" customHeight="1" thickBot="1" x14ac:dyDescent="0.3">
      <c r="A3" s="351" t="s">
        <v>270</v>
      </c>
      <c r="B3" s="353"/>
      <c r="C3" s="353"/>
      <c r="D3" s="255"/>
      <c r="E3" s="11"/>
      <c r="F3" s="355" t="s">
        <v>123</v>
      </c>
      <c r="G3" s="355"/>
      <c r="H3" s="355"/>
      <c r="I3" s="356"/>
      <c r="J3" s="116" t="s">
        <v>114</v>
      </c>
      <c r="K3" s="117" t="s">
        <v>115</v>
      </c>
      <c r="L3" s="247" t="s">
        <v>116</v>
      </c>
      <c r="M3" s="5"/>
      <c r="N3" s="263"/>
      <c r="O3" s="263"/>
      <c r="P3" s="263"/>
      <c r="Q3" s="263"/>
      <c r="R3" s="263"/>
      <c r="S3" s="263"/>
      <c r="T3" s="263"/>
      <c r="U3" s="263"/>
      <c r="V3" s="115"/>
    </row>
    <row r="4" spans="1:22" s="5" customFormat="1" ht="17.25" thickTop="1" thickBot="1" x14ac:dyDescent="0.3">
      <c r="A4" s="352"/>
      <c r="B4" s="354"/>
      <c r="C4" s="354"/>
      <c r="D4" s="82"/>
      <c r="F4" s="357" t="s">
        <v>122</v>
      </c>
      <c r="G4" s="358"/>
      <c r="H4" s="358"/>
      <c r="I4" s="359"/>
      <c r="J4" s="118" t="s">
        <v>113</v>
      </c>
      <c r="K4" s="81">
        <v>1</v>
      </c>
      <c r="L4" s="248">
        <v>0</v>
      </c>
      <c r="N4" s="263"/>
      <c r="O4" s="263"/>
      <c r="P4" s="263"/>
      <c r="Q4" s="263"/>
      <c r="R4" s="263"/>
      <c r="S4" s="263"/>
      <c r="T4" s="263"/>
      <c r="U4" s="263"/>
      <c r="V4" s="115"/>
    </row>
    <row r="5" spans="1:22" s="5" customFormat="1" ht="21.75" customHeight="1" thickBot="1" x14ac:dyDescent="0.4">
      <c r="A5" s="360" t="s">
        <v>134</v>
      </c>
      <c r="B5" s="361"/>
      <c r="C5" s="361"/>
      <c r="D5" s="361"/>
      <c r="E5" s="361"/>
      <c r="F5" s="361"/>
      <c r="G5" s="361"/>
      <c r="H5" s="361"/>
      <c r="I5" s="362"/>
      <c r="J5" s="119" t="s">
        <v>117</v>
      </c>
      <c r="K5" s="110">
        <v>0.84</v>
      </c>
      <c r="L5" s="249">
        <v>0.16</v>
      </c>
      <c r="N5" s="263"/>
      <c r="O5" s="263"/>
      <c r="P5" s="263"/>
      <c r="Q5" s="263"/>
      <c r="R5" s="263"/>
      <c r="S5" s="263"/>
      <c r="T5" s="263"/>
      <c r="U5" s="263"/>
      <c r="V5" s="115"/>
    </row>
    <row r="6" spans="1:22" ht="45" x14ac:dyDescent="0.25">
      <c r="A6" s="252" t="s">
        <v>131</v>
      </c>
      <c r="B6" s="253" t="s">
        <v>130</v>
      </c>
      <c r="C6" s="253" t="s">
        <v>160</v>
      </c>
      <c r="D6" s="253" t="s">
        <v>133</v>
      </c>
      <c r="E6" s="253" t="s">
        <v>127</v>
      </c>
      <c r="F6" s="253" t="s">
        <v>111</v>
      </c>
      <c r="G6" s="253" t="s">
        <v>112</v>
      </c>
      <c r="H6" s="253" t="s">
        <v>128</v>
      </c>
      <c r="I6" s="254" t="s">
        <v>129</v>
      </c>
      <c r="J6" s="119" t="s">
        <v>118</v>
      </c>
      <c r="K6" s="110">
        <v>0.72</v>
      </c>
      <c r="L6" s="249">
        <v>0.28000000000000003</v>
      </c>
      <c r="M6" s="5"/>
      <c r="N6" s="263"/>
      <c r="O6" s="263"/>
      <c r="P6" s="263"/>
      <c r="Q6" s="263"/>
      <c r="R6" s="263"/>
      <c r="S6" s="263"/>
      <c r="T6" s="263"/>
      <c r="U6" s="263"/>
      <c r="V6" s="115"/>
    </row>
    <row r="7" spans="1:22" x14ac:dyDescent="0.25">
      <c r="A7" s="112">
        <f>'Project Assessment'!A9:B9</f>
        <v>0</v>
      </c>
      <c r="B7" s="84">
        <f>'Project Assessment'!C9</f>
        <v>0</v>
      </c>
      <c r="C7" s="85"/>
      <c r="D7" s="84"/>
      <c r="E7" s="278"/>
      <c r="F7" s="84"/>
      <c r="G7" s="85"/>
      <c r="H7" s="83" t="str">
        <f>IF(C7=1,VLOOKUP(A7,C27:D36,2,FALSE),IFERROR(ROUND(E7*VLOOKUP(G7,J$4:K$10,2,FALSE),2),""))</f>
        <v/>
      </c>
      <c r="I7" s="114" t="str">
        <f t="shared" ref="I7:I16" si="0">IFERROR((F7*H7)-(D7*E7),"")</f>
        <v/>
      </c>
      <c r="J7" s="119" t="s">
        <v>119</v>
      </c>
      <c r="K7" s="110">
        <v>0.53</v>
      </c>
      <c r="L7" s="249">
        <v>0.47</v>
      </c>
      <c r="N7" s="263"/>
      <c r="O7" s="263"/>
      <c r="P7" s="263"/>
      <c r="Q7" s="263"/>
      <c r="R7" s="263"/>
      <c r="S7" s="263"/>
      <c r="T7" s="263"/>
      <c r="U7" s="263"/>
      <c r="V7" s="115"/>
    </row>
    <row r="8" spans="1:22" ht="14.45" customHeight="1" x14ac:dyDescent="0.25">
      <c r="A8" s="112">
        <f>'Project Assessment'!A10:B10</f>
        <v>0</v>
      </c>
      <c r="B8" s="84">
        <f>'Project Assessment'!C10</f>
        <v>0</v>
      </c>
      <c r="C8" s="85"/>
      <c r="D8" s="84"/>
      <c r="E8" s="278"/>
      <c r="F8" s="84"/>
      <c r="G8" s="85"/>
      <c r="H8" s="83" t="str">
        <f>IF(C8=1,VLOOKUP(A8,C28:D37,2,FALSE),IFERROR(ROUND(E8*VLOOKUP(G8,J$4:K$10,2,FALSE),2),""))</f>
        <v/>
      </c>
      <c r="I8" s="114" t="str">
        <f t="shared" si="0"/>
        <v/>
      </c>
      <c r="J8" s="119" t="s">
        <v>120</v>
      </c>
      <c r="K8" s="110">
        <v>0.23</v>
      </c>
      <c r="L8" s="249">
        <v>0.77</v>
      </c>
      <c r="N8" s="263"/>
      <c r="O8" s="263"/>
      <c r="P8" s="263"/>
      <c r="Q8" s="263"/>
      <c r="R8" s="263"/>
      <c r="S8" s="263"/>
      <c r="T8" s="263"/>
      <c r="U8" s="263"/>
      <c r="V8" s="115"/>
    </row>
    <row r="9" spans="1:22" ht="14.45" customHeight="1" thickBot="1" x14ac:dyDescent="0.3">
      <c r="A9" s="112">
        <f>'Project Assessment'!A11:B11</f>
        <v>0</v>
      </c>
      <c r="B9" s="84">
        <f>'Project Assessment'!C11</f>
        <v>0</v>
      </c>
      <c r="C9" s="85"/>
      <c r="D9" s="84"/>
      <c r="E9" s="278"/>
      <c r="F9" s="84"/>
      <c r="G9" s="85"/>
      <c r="H9" s="83" t="str">
        <f t="shared" ref="H9:H16" si="1">IFERROR(ROUND(E9*VLOOKUP(G9,J$4:K$10,2,FALSE),2),"")</f>
        <v/>
      </c>
      <c r="I9" s="114" t="str">
        <f t="shared" si="0"/>
        <v/>
      </c>
      <c r="J9" s="120" t="s">
        <v>121</v>
      </c>
      <c r="K9" s="138">
        <v>0</v>
      </c>
      <c r="L9" s="250">
        <v>1</v>
      </c>
      <c r="N9" s="263"/>
      <c r="O9" s="263"/>
      <c r="P9" s="263"/>
      <c r="Q9" s="263"/>
      <c r="R9" s="263"/>
      <c r="S9" s="263"/>
      <c r="T9" s="263"/>
      <c r="U9" s="263"/>
      <c r="V9" s="115"/>
    </row>
    <row r="10" spans="1:22" ht="14.45" customHeight="1" x14ac:dyDescent="0.25">
      <c r="A10" s="112">
        <f>'Project Assessment'!A12:B12</f>
        <v>0</v>
      </c>
      <c r="B10" s="84">
        <f>'Project Assessment'!C12</f>
        <v>0</v>
      </c>
      <c r="C10" s="85"/>
      <c r="D10" s="84"/>
      <c r="E10" s="278"/>
      <c r="F10" s="84"/>
      <c r="G10" s="85"/>
      <c r="H10" s="83" t="str">
        <f t="shared" si="1"/>
        <v/>
      </c>
      <c r="I10" s="114" t="str">
        <f t="shared" si="0"/>
        <v/>
      </c>
      <c r="K10" s="5"/>
      <c r="L10" s="5"/>
      <c r="N10" s="263"/>
      <c r="O10" s="263"/>
      <c r="P10" s="263"/>
      <c r="Q10" s="263"/>
      <c r="R10" s="263"/>
      <c r="S10" s="263"/>
      <c r="T10" s="263"/>
      <c r="U10" s="263"/>
      <c r="V10" s="115"/>
    </row>
    <row r="11" spans="1:22" ht="14.45" customHeight="1" x14ac:dyDescent="0.25">
      <c r="A11" s="112">
        <f>'Project Assessment'!A13:B13</f>
        <v>0</v>
      </c>
      <c r="B11" s="84">
        <f>'Project Assessment'!C13</f>
        <v>0</v>
      </c>
      <c r="C11" s="85"/>
      <c r="D11" s="84"/>
      <c r="E11" s="278"/>
      <c r="F11" s="84"/>
      <c r="G11" s="85"/>
      <c r="H11" s="83" t="str">
        <f t="shared" si="1"/>
        <v/>
      </c>
      <c r="I11" s="114" t="str">
        <f t="shared" si="0"/>
        <v/>
      </c>
      <c r="N11" s="263"/>
      <c r="O11" s="263"/>
      <c r="P11" s="263"/>
      <c r="Q11" s="263"/>
      <c r="R11" s="263"/>
      <c r="S11" s="263"/>
      <c r="T11" s="263"/>
      <c r="U11" s="263"/>
      <c r="V11" s="115"/>
    </row>
    <row r="12" spans="1:22" ht="14.45" customHeight="1" x14ac:dyDescent="0.25">
      <c r="A12" s="112">
        <f>'Project Assessment'!A14:B14</f>
        <v>0</v>
      </c>
      <c r="B12" s="84">
        <f>'Project Assessment'!C14</f>
        <v>0</v>
      </c>
      <c r="C12" s="85"/>
      <c r="D12" s="84"/>
      <c r="E12" s="278"/>
      <c r="F12" s="84"/>
      <c r="G12" s="85"/>
      <c r="H12" s="83" t="str">
        <f t="shared" si="1"/>
        <v/>
      </c>
      <c r="I12" s="114" t="str">
        <f t="shared" si="0"/>
        <v/>
      </c>
      <c r="J12" s="111"/>
      <c r="N12" s="5"/>
      <c r="O12" s="115"/>
      <c r="P12" s="115"/>
      <c r="Q12" s="115"/>
      <c r="R12" s="115"/>
      <c r="S12" s="115"/>
      <c r="T12" s="115"/>
      <c r="U12" s="115"/>
      <c r="V12" s="115"/>
    </row>
    <row r="13" spans="1:22" ht="14.45" customHeight="1" x14ac:dyDescent="0.25">
      <c r="A13" s="112">
        <f>'Project Assessment'!A15:B15</f>
        <v>0</v>
      </c>
      <c r="B13" s="84">
        <f>'Project Assessment'!C15</f>
        <v>0</v>
      </c>
      <c r="C13" s="85"/>
      <c r="D13" s="84"/>
      <c r="E13" s="278"/>
      <c r="F13" s="84"/>
      <c r="G13" s="85"/>
      <c r="H13" s="83" t="str">
        <f t="shared" si="1"/>
        <v/>
      </c>
      <c r="I13" s="114" t="str">
        <f t="shared" si="0"/>
        <v/>
      </c>
      <c r="J13" s="111"/>
      <c r="N13" s="5"/>
      <c r="O13" s="115"/>
      <c r="P13" s="115"/>
      <c r="Q13" s="115"/>
      <c r="R13" s="115"/>
      <c r="S13" s="115"/>
      <c r="T13" s="115"/>
      <c r="U13" s="115"/>
      <c r="V13" s="115"/>
    </row>
    <row r="14" spans="1:22" ht="14.45" customHeight="1" x14ac:dyDescent="0.25">
      <c r="A14" s="112">
        <f>'Project Assessment'!A16:B16</f>
        <v>0</v>
      </c>
      <c r="B14" s="84">
        <f>'Project Assessment'!C16</f>
        <v>0</v>
      </c>
      <c r="C14" s="85"/>
      <c r="D14" s="84"/>
      <c r="E14" s="278"/>
      <c r="F14" s="84"/>
      <c r="G14" s="85"/>
      <c r="H14" s="83" t="str">
        <f t="shared" si="1"/>
        <v/>
      </c>
      <c r="I14" s="114" t="str">
        <f t="shared" si="0"/>
        <v/>
      </c>
      <c r="J14" s="111"/>
      <c r="N14" s="5"/>
      <c r="O14" s="115"/>
      <c r="P14" s="115"/>
      <c r="Q14" s="115"/>
      <c r="R14" s="115"/>
      <c r="S14" s="115"/>
      <c r="T14" s="115"/>
      <c r="U14" s="115"/>
      <c r="V14" s="115"/>
    </row>
    <row r="15" spans="1:22" ht="14.45" customHeight="1" x14ac:dyDescent="0.25">
      <c r="A15" s="112">
        <f>'Project Assessment'!A17:B17</f>
        <v>0</v>
      </c>
      <c r="B15" s="84">
        <f>'Project Assessment'!C17</f>
        <v>0</v>
      </c>
      <c r="C15" s="85"/>
      <c r="D15" s="84"/>
      <c r="E15" s="278"/>
      <c r="F15" s="84"/>
      <c r="G15" s="85"/>
      <c r="H15" s="83" t="str">
        <f t="shared" si="1"/>
        <v/>
      </c>
      <c r="I15" s="114" t="str">
        <f t="shared" si="0"/>
        <v/>
      </c>
      <c r="J15" s="111"/>
      <c r="K15" s="5"/>
      <c r="L15" s="5"/>
      <c r="M15" s="5"/>
      <c r="N15" s="5"/>
      <c r="O15" s="115"/>
      <c r="P15" s="115"/>
      <c r="Q15" s="115"/>
      <c r="R15" s="115"/>
      <c r="S15" s="115"/>
      <c r="T15" s="115"/>
      <c r="U15" s="115"/>
      <c r="V15" s="115"/>
    </row>
    <row r="16" spans="1:22" ht="14.45" customHeight="1" x14ac:dyDescent="0.25">
      <c r="A16" s="112">
        <f>'Project Assessment'!A18:B18</f>
        <v>0</v>
      </c>
      <c r="B16" s="84">
        <f>'Project Assessment'!C18</f>
        <v>0</v>
      </c>
      <c r="C16" s="85"/>
      <c r="D16" s="84"/>
      <c r="E16" s="278"/>
      <c r="F16" s="84"/>
      <c r="G16" s="85"/>
      <c r="H16" s="83" t="str">
        <f t="shared" si="1"/>
        <v/>
      </c>
      <c r="I16" s="114" t="str">
        <f t="shared" si="0"/>
        <v/>
      </c>
      <c r="J16" s="111"/>
      <c r="K16" s="5"/>
      <c r="L16" s="5"/>
      <c r="M16" s="5"/>
      <c r="N16" s="5"/>
      <c r="O16" s="115"/>
      <c r="P16" s="115"/>
      <c r="Q16" s="115"/>
      <c r="R16" s="115"/>
      <c r="S16" s="115"/>
      <c r="T16" s="115"/>
      <c r="U16" s="115"/>
      <c r="V16" s="115"/>
    </row>
    <row r="17" spans="1:22" ht="31.5" customHeight="1" thickBot="1" x14ac:dyDescent="0.3">
      <c r="A17" s="364" t="s">
        <v>135</v>
      </c>
      <c r="B17" s="365"/>
      <c r="C17" s="365"/>
      <c r="D17" s="365"/>
      <c r="E17" s="365"/>
      <c r="F17" s="365"/>
      <c r="G17" s="365"/>
      <c r="H17" s="365"/>
      <c r="I17" s="121">
        <f>SUM(I7:I16)</f>
        <v>0</v>
      </c>
      <c r="J17" s="111"/>
      <c r="K17" s="5"/>
      <c r="L17" s="5"/>
      <c r="M17" s="5"/>
      <c r="N17" s="5"/>
      <c r="O17" s="5"/>
      <c r="P17" s="5"/>
      <c r="Q17" s="5"/>
      <c r="R17" s="5"/>
      <c r="S17" s="5"/>
      <c r="T17" s="5"/>
      <c r="U17" s="5"/>
      <c r="V17" s="5"/>
    </row>
    <row r="18" spans="1:22" ht="14.25" customHeight="1" x14ac:dyDescent="0.35">
      <c r="A18" s="11"/>
      <c r="B18" s="11"/>
      <c r="C18" s="11"/>
      <c r="D18" s="11"/>
      <c r="E18" s="11"/>
      <c r="F18" s="11"/>
      <c r="G18" s="11"/>
      <c r="H18" s="111"/>
      <c r="I18" s="111"/>
      <c r="J18" s="113"/>
      <c r="K18" s="5"/>
      <c r="L18" s="5"/>
      <c r="M18" s="5"/>
      <c r="N18" s="5"/>
      <c r="O18" s="5"/>
      <c r="P18" s="5"/>
      <c r="Q18" s="5"/>
      <c r="R18" s="5"/>
      <c r="S18" s="5"/>
      <c r="T18" s="5"/>
      <c r="U18" s="5"/>
      <c r="V18" s="5"/>
    </row>
    <row r="19" spans="1:22" ht="18.75" x14ac:dyDescent="0.3">
      <c r="A19" s="363" t="str">
        <f>IF(OR(F7&gt;D7,F8&gt;D8,F9&gt;D9,F10&gt;D10,F11&gt;D11,F12&gt;D12,F13&gt;D13,F14&gt;D14,F15&gt;D15,F16&gt;D16,),"**Proposed length should not be greater than existing length.**","")</f>
        <v/>
      </c>
      <c r="B19" s="363"/>
      <c r="C19" s="363"/>
      <c r="D19" s="363"/>
      <c r="E19" s="363"/>
      <c r="F19" s="363"/>
      <c r="G19" s="363"/>
      <c r="H19" s="363"/>
      <c r="I19" s="363"/>
      <c r="J19" s="82"/>
      <c r="K19" s="5"/>
      <c r="L19" s="5"/>
      <c r="M19" s="5"/>
      <c r="N19" s="5"/>
      <c r="O19" s="5"/>
      <c r="P19" s="5"/>
      <c r="Q19" s="5"/>
      <c r="R19" s="5"/>
      <c r="S19" s="5"/>
      <c r="T19" s="5"/>
      <c r="U19" s="5"/>
      <c r="V19" s="5"/>
    </row>
    <row r="20" spans="1:22" s="5" customFormat="1" ht="18.75" x14ac:dyDescent="0.3">
      <c r="A20" s="363" t="str">
        <f>IF(E7="","",IF(E7&lt;0.3,"**The minimum allowable ECS is 0.30.**",IF(E8="","",IF(E8&lt;0.3,"**The minimum allowable ECS is 0.30.**",IF(E9="","",IF(E9&lt;0.3,"**The minimum allowable ECS is 0.30.**",IF(E10="","",IF(E10&lt;0.3,"**The minimum allowable ECS is 0.30.**",IF(E11="","",IF(E11&lt;0.3,"**The minimum allowable ECS is 0.30.**",IF(E12="","",IF(E12&lt;0.3,"**The minimum allowable ECS is 0.30.**",IF(E13="","",IF(E13&lt;0.3,"**The minimum allowable ECS is 0.30.**",IF(E13="","",IF(E13&lt;0.3,"**The minimum allowable ECS is 0.30.**",IF(E14="","",IF(E14&lt;0.3,"**The minimum allowable ECS is 0.30.**",IF(E15="","",IF(E15&lt;0.3,"**The minimum allowable ECS is 0.30.**",IF(E16="","",IF(E16&lt;0.3,"**The minimum allowable ECS is 0.30.**",""))))))))))))))))))))))</f>
        <v/>
      </c>
      <c r="B20" s="363"/>
      <c r="C20" s="363"/>
      <c r="D20" s="363"/>
      <c r="E20" s="363"/>
      <c r="F20" s="363"/>
      <c r="G20" s="363"/>
      <c r="H20" s="363"/>
      <c r="I20" s="363"/>
      <c r="J20" s="82"/>
    </row>
    <row r="21" spans="1:22" s="5" customFormat="1" ht="18.75" x14ac:dyDescent="0.3">
      <c r="A21" s="277"/>
      <c r="B21" s="277"/>
      <c r="C21" s="277"/>
      <c r="D21" s="277"/>
      <c r="E21" s="277"/>
      <c r="F21" s="277"/>
      <c r="G21" s="277"/>
      <c r="H21" s="277"/>
      <c r="I21" s="277"/>
      <c r="J21" s="82"/>
    </row>
    <row r="22" spans="1:22" s="5" customFormat="1" ht="18.75" x14ac:dyDescent="0.3">
      <c r="A22" s="277"/>
      <c r="B22" s="277"/>
      <c r="C22" s="277"/>
      <c r="D22" s="277"/>
      <c r="E22" s="277"/>
      <c r="F22" s="277"/>
      <c r="G22" s="277"/>
      <c r="H22" s="277"/>
      <c r="I22" s="277"/>
      <c r="J22" s="82"/>
    </row>
    <row r="23" spans="1:22" s="5" customFormat="1" ht="18.75" x14ac:dyDescent="0.3">
      <c r="A23" s="277"/>
      <c r="B23" s="277"/>
      <c r="C23" s="277"/>
      <c r="D23" s="277"/>
      <c r="E23" s="277"/>
      <c r="F23" s="277"/>
      <c r="G23" s="277"/>
      <c r="H23" s="277"/>
      <c r="I23" s="277"/>
      <c r="J23" s="82"/>
    </row>
    <row r="24" spans="1:22" ht="15" customHeight="1" thickBot="1" x14ac:dyDescent="0.35">
      <c r="E24" s="268"/>
      <c r="F24" s="268"/>
      <c r="G24" s="268"/>
      <c r="H24" s="268"/>
      <c r="J24" s="82"/>
      <c r="K24" s="5"/>
      <c r="L24" s="5"/>
      <c r="M24" s="5"/>
      <c r="N24" s="5"/>
      <c r="O24" s="5"/>
      <c r="P24" s="5"/>
      <c r="Q24" s="13"/>
    </row>
    <row r="25" spans="1:22" ht="15" customHeight="1" x14ac:dyDescent="0.25">
      <c r="A25" s="366" t="s">
        <v>265</v>
      </c>
      <c r="B25" s="367"/>
      <c r="C25" s="367"/>
      <c r="D25" s="368"/>
      <c r="F25" s="264" t="s">
        <v>269</v>
      </c>
      <c r="G25" s="338" t="s">
        <v>110</v>
      </c>
      <c r="H25" s="338"/>
      <c r="I25" s="265" t="s">
        <v>280</v>
      </c>
      <c r="J25" s="82"/>
      <c r="K25" s="5"/>
      <c r="L25" s="5"/>
      <c r="M25" s="5"/>
      <c r="N25" s="5"/>
      <c r="O25" s="5"/>
      <c r="P25" s="5"/>
      <c r="Q25" s="13"/>
      <c r="R25" s="13"/>
    </row>
    <row r="26" spans="1:22" ht="15" customHeight="1" x14ac:dyDescent="0.25">
      <c r="A26" s="256" t="s">
        <v>289</v>
      </c>
      <c r="B26" s="235" t="s">
        <v>110</v>
      </c>
      <c r="C26" s="235" t="s">
        <v>290</v>
      </c>
      <c r="D26" s="257" t="s">
        <v>264</v>
      </c>
      <c r="F26" s="335">
        <v>1</v>
      </c>
      <c r="G26" s="336" t="s">
        <v>271</v>
      </c>
      <c r="H26" s="336"/>
      <c r="I26" s="337" t="s">
        <v>279</v>
      </c>
      <c r="J26" s="82"/>
      <c r="K26" s="5"/>
      <c r="L26" s="5"/>
      <c r="M26" s="5"/>
      <c r="N26" s="5"/>
      <c r="O26" s="5"/>
      <c r="P26" s="5"/>
      <c r="Q26" s="13"/>
      <c r="R26" s="13"/>
    </row>
    <row r="27" spans="1:22" ht="15" customHeight="1" x14ac:dyDescent="0.25">
      <c r="A27" s="258">
        <f>'Existing Conditions'!B2</f>
        <v>0</v>
      </c>
      <c r="B27" s="108">
        <f>IF('Existing Conditions'!J9&lt;0.3,0.3,'Existing Conditions'!J9)</f>
        <v>0.8</v>
      </c>
      <c r="C27" s="110">
        <f>'Proposed Conditions'!B2</f>
        <v>0</v>
      </c>
      <c r="D27" s="259">
        <f>'Proposed Conditions'!J9</f>
        <v>0.8</v>
      </c>
      <c r="F27" s="335"/>
      <c r="G27" s="336"/>
      <c r="H27" s="336"/>
      <c r="I27" s="337"/>
      <c r="J27" s="82"/>
      <c r="K27" s="5"/>
      <c r="L27" s="5"/>
      <c r="M27" s="5"/>
      <c r="N27" s="5"/>
      <c r="O27" s="5"/>
      <c r="P27" s="5"/>
      <c r="Q27" s="13"/>
      <c r="R27" s="13"/>
    </row>
    <row r="28" spans="1:22" x14ac:dyDescent="0.25">
      <c r="A28" s="258" t="str">
        <f>'Existing Conditions'!B36</f>
        <v>STRM 1 R2</v>
      </c>
      <c r="B28" s="108">
        <f>IF('Existing Conditions'!J43&lt;0.3,0.3,'Existing Conditions'!J43)</f>
        <v>0.8</v>
      </c>
      <c r="C28" s="110">
        <f>'Proposed Conditions'!B36</f>
        <v>0</v>
      </c>
      <c r="D28" s="259">
        <f>'Proposed Conditions'!J43</f>
        <v>0.76</v>
      </c>
      <c r="F28" s="340">
        <v>2</v>
      </c>
      <c r="G28" s="339" t="s">
        <v>284</v>
      </c>
      <c r="H28" s="339"/>
      <c r="I28" s="346" t="s">
        <v>272</v>
      </c>
      <c r="J28" s="82"/>
      <c r="K28" s="5"/>
      <c r="L28" s="5"/>
      <c r="M28" s="5"/>
      <c r="N28" s="5"/>
      <c r="O28" s="5"/>
      <c r="P28" s="5"/>
      <c r="Q28" s="13"/>
      <c r="R28" s="13"/>
    </row>
    <row r="29" spans="1:22" ht="15" customHeight="1" x14ac:dyDescent="0.25">
      <c r="A29" s="258">
        <f>'Existing Conditions'!B70</f>
        <v>0</v>
      </c>
      <c r="B29" s="108">
        <f>IF('Existing Conditions'!J77&lt;0.3,0.3,'Existing Conditions'!J77)</f>
        <v>0.8</v>
      </c>
      <c r="C29" s="110">
        <f>'Proposed Conditions'!B70</f>
        <v>0</v>
      </c>
      <c r="D29" s="259">
        <f>'Proposed Conditions'!J77</f>
        <v>0.8</v>
      </c>
      <c r="F29" s="340"/>
      <c r="G29" s="339"/>
      <c r="H29" s="339"/>
      <c r="I29" s="346"/>
      <c r="J29" s="82"/>
      <c r="K29" s="5"/>
      <c r="L29" s="5"/>
      <c r="M29" s="5"/>
      <c r="N29" s="5"/>
      <c r="O29" s="5"/>
      <c r="P29" s="5"/>
      <c r="Q29" s="13"/>
      <c r="R29" s="13"/>
    </row>
    <row r="30" spans="1:22" ht="15" customHeight="1" thickBot="1" x14ac:dyDescent="0.3">
      <c r="A30" s="258">
        <f>'Existing Conditions'!B104</f>
        <v>0</v>
      </c>
      <c r="B30" s="108">
        <f>IF('Existing Conditions'!J111&lt;0.3,0.3,'Existing Conditions'!J111)</f>
        <v>0.8</v>
      </c>
      <c r="C30" s="110">
        <f>'Proposed Conditions'!B104</f>
        <v>0</v>
      </c>
      <c r="D30" s="259">
        <f>'Proposed Conditions'!J111</f>
        <v>0.8</v>
      </c>
      <c r="F30" s="340"/>
      <c r="G30" s="339"/>
      <c r="H30" s="339"/>
      <c r="I30" s="346"/>
      <c r="O30" s="13"/>
      <c r="P30" s="13"/>
    </row>
    <row r="31" spans="1:22" ht="14.25" customHeight="1" thickBot="1" x14ac:dyDescent="0.3">
      <c r="A31" s="258">
        <f>'Existing Conditions'!B138</f>
        <v>0</v>
      </c>
      <c r="B31" s="108">
        <f>IF('Existing Conditions'!J145&lt;0.3,0.3,'Existing Conditions'!J145)</f>
        <v>0.8</v>
      </c>
      <c r="C31" s="110">
        <f>'Proposed Conditions'!B138</f>
        <v>0</v>
      </c>
      <c r="D31" s="259">
        <f>'Proposed Conditions'!J145</f>
        <v>0.8</v>
      </c>
      <c r="F31" s="340"/>
      <c r="G31" s="339"/>
      <c r="H31" s="339"/>
      <c r="I31" s="346"/>
      <c r="J31"/>
      <c r="K31" s="341" t="s">
        <v>132</v>
      </c>
      <c r="L31" s="342"/>
      <c r="M31" s="342"/>
      <c r="N31" s="343"/>
      <c r="O31" s="271"/>
      <c r="P31" s="12"/>
    </row>
    <row r="32" spans="1:22" ht="15" customHeight="1" x14ac:dyDescent="0.25">
      <c r="A32" s="258">
        <f>'Existing Conditions'!B172</f>
        <v>0</v>
      </c>
      <c r="B32" s="108">
        <f>IF('Existing Conditions'!J179&lt;0.3,0.3,'Existing Conditions'!J179)</f>
        <v>0.8</v>
      </c>
      <c r="C32" s="110">
        <f>'Proposed Conditions'!B172</f>
        <v>0</v>
      </c>
      <c r="D32" s="259">
        <f>'Proposed Conditions'!J179</f>
        <v>0.8</v>
      </c>
      <c r="F32" s="340"/>
      <c r="G32" s="339"/>
      <c r="H32" s="339"/>
      <c r="I32" s="346"/>
      <c r="J32"/>
      <c r="K32" s="372" t="s">
        <v>309</v>
      </c>
      <c r="L32" s="373"/>
      <c r="M32" s="373"/>
      <c r="N32" s="374"/>
      <c r="O32" s="263"/>
      <c r="P32" s="263"/>
    </row>
    <row r="33" spans="1:16" ht="17.25" customHeight="1" x14ac:dyDescent="0.25">
      <c r="A33" s="258">
        <f>'Existing Conditions'!B206</f>
        <v>0</v>
      </c>
      <c r="B33" s="108">
        <f>IF('Existing Conditions'!J213&lt;0.3,0.3,'Existing Conditions'!J213)</f>
        <v>0.8</v>
      </c>
      <c r="C33" s="110">
        <f>'Proposed Conditions'!B1206</f>
        <v>0</v>
      </c>
      <c r="D33" s="259">
        <f>'Proposed Conditions'!J213</f>
        <v>0.8</v>
      </c>
      <c r="F33" s="340"/>
      <c r="G33" s="339"/>
      <c r="H33" s="339"/>
      <c r="I33" s="346"/>
      <c r="J33"/>
      <c r="K33" s="375"/>
      <c r="L33" s="376"/>
      <c r="M33" s="376"/>
      <c r="N33" s="377"/>
      <c r="O33" s="263"/>
      <c r="P33" s="263"/>
    </row>
    <row r="34" spans="1:16" ht="16.5" customHeight="1" x14ac:dyDescent="0.25">
      <c r="A34" s="258">
        <f>'Existing Conditions'!B240</f>
        <v>0</v>
      </c>
      <c r="B34" s="108">
        <f>IF('Existing Conditions'!J247&lt;0.3,0.3,'Existing Conditions'!J247)</f>
        <v>0.8</v>
      </c>
      <c r="C34" s="110">
        <f>'Proposed Conditions'!B240</f>
        <v>0</v>
      </c>
      <c r="D34" s="259">
        <f>'Proposed Conditions'!J247</f>
        <v>0.8</v>
      </c>
      <c r="F34" s="340">
        <v>3</v>
      </c>
      <c r="G34" s="339" t="s">
        <v>274</v>
      </c>
      <c r="H34" s="339"/>
      <c r="I34" s="348" t="s">
        <v>273</v>
      </c>
      <c r="J34"/>
      <c r="K34" s="375"/>
      <c r="L34" s="376"/>
      <c r="M34" s="376"/>
      <c r="N34" s="377"/>
      <c r="O34" s="263"/>
      <c r="P34" s="263"/>
    </row>
    <row r="35" spans="1:16" ht="15" customHeight="1" x14ac:dyDescent="0.25">
      <c r="A35" s="258">
        <f>'Existing Conditions'!B274</f>
        <v>0</v>
      </c>
      <c r="B35" s="108">
        <f>IF('Existing Conditions'!J281&lt;0.3,0.3,'Existing Conditions'!J281)</f>
        <v>0.8</v>
      </c>
      <c r="C35" s="110">
        <f>'Proposed Conditions'!B274</f>
        <v>0</v>
      </c>
      <c r="D35" s="259">
        <f>'Proposed Conditions'!J281</f>
        <v>0.8</v>
      </c>
      <c r="F35" s="340"/>
      <c r="G35" s="339"/>
      <c r="H35" s="339"/>
      <c r="I35" s="348"/>
      <c r="J35"/>
      <c r="K35" s="375"/>
      <c r="L35" s="376"/>
      <c r="M35" s="376"/>
      <c r="N35" s="377"/>
      <c r="O35" s="263"/>
      <c r="P35" s="263"/>
    </row>
    <row r="36" spans="1:16" ht="18" customHeight="1" thickBot="1" x14ac:dyDescent="0.3">
      <c r="A36" s="260">
        <f>'Existing Conditions'!B308</f>
        <v>0</v>
      </c>
      <c r="B36" s="261">
        <f>IF('Existing Conditions'!J315&lt;0.3,0.3,'Existing Conditions'!J315)</f>
        <v>0.8</v>
      </c>
      <c r="C36" s="138">
        <f>'Proposed Conditions'!B308</f>
        <v>0</v>
      </c>
      <c r="D36" s="262">
        <f>'Proposed Conditions'!J315</f>
        <v>0.8</v>
      </c>
      <c r="F36" s="340"/>
      <c r="G36" s="339"/>
      <c r="H36" s="339"/>
      <c r="I36" s="348"/>
      <c r="J36"/>
      <c r="K36" s="375"/>
      <c r="L36" s="376"/>
      <c r="M36" s="376"/>
      <c r="N36" s="377"/>
      <c r="O36" s="263"/>
      <c r="P36" s="263"/>
    </row>
    <row r="37" spans="1:16" ht="16.5" customHeight="1" thickBot="1" x14ac:dyDescent="0.3">
      <c r="A37" s="100"/>
      <c r="B37" s="100"/>
      <c r="D37" s="5"/>
      <c r="F37" s="347"/>
      <c r="G37" s="350"/>
      <c r="H37" s="350"/>
      <c r="I37" s="349"/>
      <c r="J37"/>
      <c r="K37" s="375"/>
      <c r="L37" s="376"/>
      <c r="M37" s="376"/>
      <c r="N37" s="377"/>
      <c r="O37" s="263"/>
      <c r="P37" s="263"/>
    </row>
    <row r="38" spans="1:16" ht="30" customHeight="1" x14ac:dyDescent="0.25">
      <c r="A38" s="372" t="s">
        <v>283</v>
      </c>
      <c r="B38" s="373"/>
      <c r="C38" s="374"/>
      <c r="D38" s="276"/>
      <c r="F38" s="345" t="s">
        <v>281</v>
      </c>
      <c r="G38" s="345"/>
      <c r="H38" s="345"/>
      <c r="I38" s="345"/>
      <c r="J38"/>
      <c r="K38" s="375"/>
      <c r="L38" s="376"/>
      <c r="M38" s="376"/>
      <c r="N38" s="377"/>
      <c r="O38" s="263"/>
      <c r="P38" s="263"/>
    </row>
    <row r="39" spans="1:16" ht="47.25" customHeight="1" x14ac:dyDescent="0.25">
      <c r="A39" s="375"/>
      <c r="B39" s="376"/>
      <c r="C39" s="377"/>
      <c r="D39" s="276"/>
      <c r="F39" s="344" t="s">
        <v>282</v>
      </c>
      <c r="G39" s="344"/>
      <c r="H39" s="344"/>
      <c r="I39" s="344"/>
      <c r="J39"/>
      <c r="K39" s="375"/>
      <c r="L39" s="376"/>
      <c r="M39" s="376"/>
      <c r="N39" s="377"/>
      <c r="O39" s="263"/>
      <c r="P39" s="263"/>
    </row>
    <row r="40" spans="1:16" ht="22.5" customHeight="1" thickBot="1" x14ac:dyDescent="0.3">
      <c r="A40" s="378"/>
      <c r="B40" s="379"/>
      <c r="C40" s="380"/>
      <c r="D40" s="276"/>
      <c r="J40"/>
      <c r="K40" s="375"/>
      <c r="L40" s="376"/>
      <c r="M40" s="376"/>
      <c r="N40" s="377"/>
      <c r="O40" s="263"/>
      <c r="P40" s="263"/>
    </row>
    <row r="41" spans="1:16" ht="17.25" customHeight="1" x14ac:dyDescent="0.25">
      <c r="A41" s="263"/>
      <c r="B41" s="263"/>
      <c r="C41" s="263"/>
      <c r="D41" s="263"/>
      <c r="E41" s="109"/>
      <c r="G41" s="102"/>
      <c r="H41" s="102"/>
      <c r="J41"/>
      <c r="K41" s="375"/>
      <c r="L41" s="376"/>
      <c r="M41" s="376"/>
      <c r="N41" s="377"/>
      <c r="O41" s="263"/>
      <c r="P41" s="263"/>
    </row>
    <row r="42" spans="1:16" ht="15" customHeight="1" thickBot="1" x14ac:dyDescent="0.3">
      <c r="D42" s="5"/>
      <c r="F42" s="102"/>
      <c r="G42" s="102"/>
      <c r="H42" s="102"/>
      <c r="J42"/>
      <c r="K42" s="375"/>
      <c r="L42" s="376"/>
      <c r="M42" s="376"/>
      <c r="N42" s="377"/>
      <c r="O42" s="263"/>
      <c r="P42" s="263"/>
    </row>
    <row r="43" spans="1:16" ht="26.25" customHeight="1" thickBot="1" x14ac:dyDescent="0.3">
      <c r="A43" s="381" t="s">
        <v>292</v>
      </c>
      <c r="B43" s="381" t="s">
        <v>306</v>
      </c>
      <c r="C43" s="383" t="s">
        <v>293</v>
      </c>
      <c r="D43" s="384"/>
      <c r="E43" s="385"/>
      <c r="J43"/>
      <c r="K43" s="375"/>
      <c r="L43" s="376"/>
      <c r="M43" s="376"/>
      <c r="N43" s="377"/>
      <c r="O43" s="263"/>
      <c r="P43" s="263"/>
    </row>
    <row r="44" spans="1:16" ht="24" customHeight="1" thickBot="1" x14ac:dyDescent="0.3">
      <c r="A44" s="382"/>
      <c r="B44" s="382"/>
      <c r="C44" s="383"/>
      <c r="D44" s="384"/>
      <c r="E44" s="385"/>
      <c r="J44"/>
      <c r="K44" s="375"/>
      <c r="L44" s="376"/>
      <c r="M44" s="376"/>
      <c r="N44" s="377"/>
      <c r="O44" s="263"/>
      <c r="P44" s="263"/>
    </row>
    <row r="45" spans="1:16" ht="29.25" thickBot="1" x14ac:dyDescent="0.3">
      <c r="A45" s="280">
        <v>0</v>
      </c>
      <c r="B45" s="281" t="s">
        <v>294</v>
      </c>
      <c r="C45" s="369" t="s">
        <v>295</v>
      </c>
      <c r="D45" s="370"/>
      <c r="E45" s="371"/>
      <c r="J45"/>
      <c r="K45" s="375"/>
      <c r="L45" s="376"/>
      <c r="M45" s="376"/>
      <c r="N45" s="377"/>
      <c r="O45" s="263"/>
      <c r="P45" s="263"/>
    </row>
    <row r="46" spans="1:16" ht="57" customHeight="1" thickBot="1" x14ac:dyDescent="0.3">
      <c r="A46" s="280">
        <v>1</v>
      </c>
      <c r="B46" s="281" t="s">
        <v>296</v>
      </c>
      <c r="C46" s="369" t="s">
        <v>297</v>
      </c>
      <c r="D46" s="370"/>
      <c r="E46" s="371"/>
      <c r="F46" s="5"/>
      <c r="G46" s="5"/>
      <c r="H46" s="5"/>
      <c r="I46" s="5"/>
      <c r="J46"/>
      <c r="K46" s="375"/>
      <c r="L46" s="376"/>
      <c r="M46" s="376"/>
      <c r="N46" s="377"/>
      <c r="O46" s="263"/>
      <c r="P46" s="263"/>
    </row>
    <row r="47" spans="1:16" ht="43.5" thickBot="1" x14ac:dyDescent="0.3">
      <c r="A47" s="280">
        <v>2</v>
      </c>
      <c r="B47" s="281" t="s">
        <v>298</v>
      </c>
      <c r="C47" s="369" t="s">
        <v>299</v>
      </c>
      <c r="D47" s="370"/>
      <c r="E47" s="371"/>
      <c r="J47"/>
      <c r="K47" s="378"/>
      <c r="L47" s="379"/>
      <c r="M47" s="379"/>
      <c r="N47" s="380"/>
      <c r="O47" s="263"/>
      <c r="P47" s="263"/>
    </row>
    <row r="48" spans="1:16" ht="43.5" thickBot="1" x14ac:dyDescent="0.3">
      <c r="A48" s="280">
        <v>3</v>
      </c>
      <c r="B48" s="281" t="s">
        <v>300</v>
      </c>
      <c r="C48" s="369" t="s">
        <v>301</v>
      </c>
      <c r="D48" s="370"/>
      <c r="E48" s="371"/>
      <c r="J48"/>
      <c r="K48" s="263"/>
      <c r="L48" s="263"/>
      <c r="M48" s="263"/>
      <c r="N48" s="263"/>
      <c r="O48" s="263"/>
      <c r="P48" s="263"/>
    </row>
    <row r="49" spans="1:16" ht="100.5" thickBot="1" x14ac:dyDescent="0.3">
      <c r="A49" s="280">
        <v>4</v>
      </c>
      <c r="B49" s="281" t="s">
        <v>302</v>
      </c>
      <c r="C49" s="369" t="s">
        <v>303</v>
      </c>
      <c r="D49" s="370"/>
      <c r="E49" s="371"/>
      <c r="J49"/>
      <c r="K49" s="263"/>
      <c r="L49" s="263"/>
      <c r="M49" s="263"/>
      <c r="N49" s="263"/>
      <c r="O49" s="263"/>
      <c r="P49" s="263"/>
    </row>
    <row r="50" spans="1:16" ht="72" customHeight="1" thickBot="1" x14ac:dyDescent="0.3">
      <c r="A50" s="280">
        <v>5</v>
      </c>
      <c r="B50" s="281" t="s">
        <v>304</v>
      </c>
      <c r="C50" s="369" t="s">
        <v>305</v>
      </c>
      <c r="D50" s="370"/>
      <c r="E50" s="371"/>
      <c r="J50"/>
      <c r="K50" s="263"/>
      <c r="L50" s="263"/>
      <c r="M50" s="263"/>
      <c r="N50" s="263"/>
      <c r="O50" s="263"/>
      <c r="P50" s="263"/>
    </row>
    <row r="51" spans="1:16" x14ac:dyDescent="0.25">
      <c r="A51" s="100"/>
      <c r="B51" s="100"/>
      <c r="K51" s="263"/>
      <c r="L51" s="263"/>
      <c r="M51" s="263"/>
      <c r="N51" s="263"/>
    </row>
    <row r="52" spans="1:16" x14ac:dyDescent="0.25">
      <c r="A52" s="100"/>
      <c r="B52" s="100"/>
      <c r="K52" s="5"/>
    </row>
    <row r="53" spans="1:16" x14ac:dyDescent="0.25">
      <c r="A53" s="100"/>
      <c r="B53" s="100"/>
      <c r="J53"/>
      <c r="K53" s="5"/>
    </row>
    <row r="54" spans="1:16" x14ac:dyDescent="0.25">
      <c r="A54" s="100"/>
      <c r="B54" s="100"/>
    </row>
    <row r="55" spans="1:16" x14ac:dyDescent="0.25">
      <c r="A55" s="100"/>
      <c r="B55" s="100"/>
    </row>
    <row r="56" spans="1:16" x14ac:dyDescent="0.25">
      <c r="A56" s="100"/>
      <c r="B56" s="100"/>
    </row>
    <row r="57" spans="1:16" x14ac:dyDescent="0.25">
      <c r="A57" s="100"/>
      <c r="B57" s="100"/>
    </row>
    <row r="68" spans="5:10" x14ac:dyDescent="0.25">
      <c r="E68" s="5"/>
      <c r="F68" s="5"/>
      <c r="G68" s="5"/>
      <c r="H68" s="5"/>
      <c r="I68" s="5"/>
    </row>
    <row r="74" spans="5:10" x14ac:dyDescent="0.25">
      <c r="J74" s="102"/>
    </row>
  </sheetData>
  <sheetProtection password="9A39" sheet="1" objects="1" scenarios="1"/>
  <mergeCells count="34">
    <mergeCell ref="C50:E50"/>
    <mergeCell ref="K32:N47"/>
    <mergeCell ref="C45:E45"/>
    <mergeCell ref="C46:E46"/>
    <mergeCell ref="C47:E47"/>
    <mergeCell ref="C48:E48"/>
    <mergeCell ref="C49:E49"/>
    <mergeCell ref="A38:C40"/>
    <mergeCell ref="A43:A44"/>
    <mergeCell ref="B43:B44"/>
    <mergeCell ref="C43:E44"/>
    <mergeCell ref="A5:I5"/>
    <mergeCell ref="A19:I19"/>
    <mergeCell ref="A17:H17"/>
    <mergeCell ref="A20:I20"/>
    <mergeCell ref="A25:D25"/>
    <mergeCell ref="A3:A4"/>
    <mergeCell ref="B3:C3"/>
    <mergeCell ref="B4:C4"/>
    <mergeCell ref="F3:I3"/>
    <mergeCell ref="F4:I4"/>
    <mergeCell ref="K31:N31"/>
    <mergeCell ref="F39:I39"/>
    <mergeCell ref="F38:I38"/>
    <mergeCell ref="I28:I33"/>
    <mergeCell ref="F34:F37"/>
    <mergeCell ref="I34:I37"/>
    <mergeCell ref="G34:H37"/>
    <mergeCell ref="F26:F27"/>
    <mergeCell ref="G26:H27"/>
    <mergeCell ref="I26:I27"/>
    <mergeCell ref="G25:H25"/>
    <mergeCell ref="G28:H33"/>
    <mergeCell ref="F28:F33"/>
  </mergeCells>
  <conditionalFormatting sqref="F4">
    <cfRule type="beginsWith" dxfId="2228" priority="36" stopIfTrue="1" operator="beginsWith" text="Functioning At Risk">
      <formula>LEFT(F4,LEN("Functioning At Risk"))="Functioning At Risk"</formula>
    </cfRule>
    <cfRule type="beginsWith" dxfId="2227" priority="37" stopIfTrue="1" operator="beginsWith" text="Not Functioning">
      <formula>LEFT(F4,LEN("Not Functioning"))="Not Functioning"</formula>
    </cfRule>
    <cfRule type="containsText" dxfId="2226" priority="38" operator="containsText" text="Functioning">
      <formula>NOT(ISERROR(SEARCH("Functioning",F4)))</formula>
    </cfRule>
  </conditionalFormatting>
  <conditionalFormatting sqref="F3">
    <cfRule type="beginsWith" dxfId="2225" priority="39" stopIfTrue="1" operator="beginsWith" text="Functioning At Risk">
      <formula>LEFT(F3,LEN("Functioning At Risk"))="Functioning At Risk"</formula>
    </cfRule>
    <cfRule type="beginsWith" dxfId="2224" priority="40" stopIfTrue="1" operator="beginsWith" text="Not Functioning">
      <formula>LEFT(F3,LEN("Not Functioning"))="Not Functioning"</formula>
    </cfRule>
    <cfRule type="containsText" dxfId="2223" priority="41" operator="containsText" text="Functioning">
      <formula>NOT(ISERROR(SEARCH("Functioning",F3)))</formula>
    </cfRule>
  </conditionalFormatting>
  <conditionalFormatting sqref="F7">
    <cfRule type="expression" dxfId="2222" priority="35">
      <formula>F7&gt;D7</formula>
    </cfRule>
  </conditionalFormatting>
  <conditionalFormatting sqref="F8">
    <cfRule type="expression" dxfId="2221" priority="34">
      <formula>F8&gt;D8</formula>
    </cfRule>
  </conditionalFormatting>
  <conditionalFormatting sqref="F9">
    <cfRule type="expression" dxfId="2220" priority="33">
      <formula>F9&gt;D9</formula>
    </cfRule>
  </conditionalFormatting>
  <conditionalFormatting sqref="F10">
    <cfRule type="expression" dxfId="2219" priority="32">
      <formula>F10&gt;D10</formula>
    </cfRule>
  </conditionalFormatting>
  <conditionalFormatting sqref="F11">
    <cfRule type="expression" dxfId="2218" priority="31">
      <formula>F11&gt;D11</formula>
    </cfRule>
  </conditionalFormatting>
  <conditionalFormatting sqref="F13">
    <cfRule type="expression" dxfId="2217" priority="29">
      <formula>F13&gt;D13</formula>
    </cfRule>
  </conditionalFormatting>
  <conditionalFormatting sqref="F14">
    <cfRule type="expression" dxfId="2216" priority="28">
      <formula>F14&gt;D14</formula>
    </cfRule>
  </conditionalFormatting>
  <conditionalFormatting sqref="F15">
    <cfRule type="expression" dxfId="2215" priority="27">
      <formula>F15&gt;D15</formula>
    </cfRule>
  </conditionalFormatting>
  <conditionalFormatting sqref="F16">
    <cfRule type="expression" dxfId="2214" priority="26">
      <formula>F16&gt;D16</formula>
    </cfRule>
  </conditionalFormatting>
  <conditionalFormatting sqref="F12">
    <cfRule type="expression" dxfId="2213" priority="30">
      <formula>F12&gt;D12</formula>
    </cfRule>
  </conditionalFormatting>
  <conditionalFormatting sqref="E7:E16">
    <cfRule type="containsBlanks" dxfId="2212" priority="43">
      <formula>LEN(TRIM(E7))=0</formula>
    </cfRule>
    <cfRule type="cellIs" dxfId="2211" priority="44" operator="between">
      <formula>0</formula>
      <formula>0.29</formula>
    </cfRule>
  </conditionalFormatting>
  <conditionalFormatting sqref="A19">
    <cfRule type="expression" dxfId="2210" priority="6620">
      <formula>OR(F7&gt;D7,F8&gt;D8,F9&gt;D9,F10&gt;D10,F11&gt;D11,F12&gt;D12,F13&gt;D13,F14&gt;D14,F15&gt;D15,F16&gt;D16,#REF!&gt;#REF!,#REF!&gt;#REF!,#REF!&gt;#REF!,#REF!&gt;#REF!,#REF!&gt;#REF!,#REF!&gt;#REF!,#REF!&gt;#REF!,#REF!&gt;#REF!,#REF!&gt;#REF!,#REF!&gt;#REF!,#REF!&gt;#REF!,#REF!&gt;#REF!,#REF!&gt;#REF!,#REF!&gt;#REF!,#REF!&gt;#REF!,#REF!&gt;#REF!)</formula>
    </cfRule>
  </conditionalFormatting>
  <conditionalFormatting sqref="A20:A22">
    <cfRule type="expression" dxfId="2209" priority="6621">
      <formula>OR(F8&gt;D8,F9&gt;D9,F10&gt;D10,F11&gt;D11,F12&gt;D12,F13&gt;D13,F14&gt;D14,F15&gt;D15,F16&gt;D16,#REF!&gt;#REF!,#REF!&gt;#REF!,#REF!&gt;#REF!,#REF!&gt;#REF!,#REF!&gt;#REF!,#REF!&gt;#REF!,#REF!&gt;#REF!,#REF!&gt;#REF!,#REF!&gt;#REF!,#REF!&gt;#REF!,#REF!&gt;#REF!,F17&gt;D17,#REF!&gt;#REF!,#REF!&gt;#REF!,#REF!&gt;#REF!,#REF!&gt;#REF!,#REF!&gt;#REF!)</formula>
    </cfRule>
  </conditionalFormatting>
  <conditionalFormatting sqref="A23">
    <cfRule type="expression" dxfId="2208" priority="6623">
      <formula>OR(F9&gt;D9,F10&gt;D10,F11&gt;D11,F12&gt;D12,F13&gt;D13,F14&gt;D14,F15&gt;D15,F16&gt;D16,F17&gt;D17,#REF!&gt;#REF!,#REF!&gt;#REF!,#REF!&gt;#REF!,#REF!&gt;#REF!,#REF!&gt;#REF!,#REF!&gt;#REF!,#REF!&gt;#REF!,#REF!&gt;#REF!,#REF!&gt;#REF!,#REF!&gt;#REF!,#REF!&gt;#REF!,F18&gt;D18,#REF!&gt;#REF!,#REF!&gt;#REF!,#REF!&gt;#REF!,#REF!&gt;#REF!,#REF!&gt;#REF!)</formula>
    </cfRule>
  </conditionalFormatting>
  <dataValidations xWindow="456" yWindow="444" count="1">
    <dataValidation type="list" allowBlank="1" showInputMessage="1" showErrorMessage="1" sqref="G7:G16" xr:uid="{00000000-0002-0000-0100-000001000000}">
      <formula1>$J$4:$J$10</formula1>
    </dataValidation>
  </dataValidations>
  <pageMargins left="0.7" right="0.7" top="0.75" bottom="0.75" header="0.3" footer="0.3"/>
  <pageSetup scale="83" orientation="landscape" horizontalDpi="4294967292" verticalDpi="1200" r:id="rId1"/>
  <headerFooter>
    <oddHeader>&amp;C&amp;"-,Bold"&amp;14MN SQT DEBIT TOOL v1.0</oddHeader>
  </headerFooter>
  <colBreaks count="1" manualBreakCount="1">
    <brk id="9" max="22" man="1"/>
  </colBreaks>
  <drawing r:id="rId2"/>
  <extLst>
    <ext xmlns:x14="http://schemas.microsoft.com/office/spreadsheetml/2009/9/main" uri="{CCE6A557-97BC-4b89-ADB6-D9C93CAAB3DF}">
      <x14:dataValidations xmlns:xm="http://schemas.microsoft.com/office/excel/2006/main" xWindow="456" yWindow="444" count="1">
        <x14:dataValidation type="list" showErrorMessage="1" xr:uid="{C0C5BB8B-FCB1-4369-9674-029F2BEC1BF2}">
          <x14:formula1>
            <xm:f>'Pull Down Notes'!$B$102:$B$105</xm:f>
          </x14:formula1>
          <xm:sqref>C7:C16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6EE97D-1AE3-4DF3-87DB-59267D449250}">
  <sheetPr>
    <pageSetUpPr fitToPage="1"/>
  </sheetPr>
  <dimension ref="A1:D32"/>
  <sheetViews>
    <sheetView workbookViewId="0"/>
  </sheetViews>
  <sheetFormatPr defaultRowHeight="15" x14ac:dyDescent="0.25"/>
  <cols>
    <col min="1" max="1" width="28" style="143" customWidth="1"/>
    <col min="2" max="2" width="35" style="143" bestFit="1" customWidth="1"/>
    <col min="3" max="3" width="39.5703125" style="143" bestFit="1" customWidth="1"/>
    <col min="4" max="4" width="65.85546875" style="143" bestFit="1" customWidth="1"/>
    <col min="5" max="16384" width="9.140625" style="143"/>
  </cols>
  <sheetData>
    <row r="1" spans="1:4" ht="18.75" x14ac:dyDescent="0.3">
      <c r="A1" s="139" t="s">
        <v>285</v>
      </c>
    </row>
    <row r="2" spans="1:4" x14ac:dyDescent="0.25">
      <c r="A2" s="143" t="s">
        <v>286</v>
      </c>
    </row>
    <row r="3" spans="1:4" x14ac:dyDescent="0.25">
      <c r="A3" s="143" t="s">
        <v>307</v>
      </c>
    </row>
    <row r="4" spans="1:4" x14ac:dyDescent="0.25">
      <c r="A4" s="143" t="s">
        <v>308</v>
      </c>
    </row>
    <row r="6" spans="1:4" x14ac:dyDescent="0.25">
      <c r="A6" s="140" t="s">
        <v>1</v>
      </c>
      <c r="B6" s="140" t="s">
        <v>2</v>
      </c>
      <c r="C6" s="140" t="s">
        <v>175</v>
      </c>
      <c r="D6" s="141" t="s">
        <v>161</v>
      </c>
    </row>
    <row r="7" spans="1:4" x14ac:dyDescent="0.25">
      <c r="A7" s="388" t="s">
        <v>51</v>
      </c>
      <c r="B7" s="388" t="s">
        <v>78</v>
      </c>
      <c r="C7" s="144" t="s">
        <v>162</v>
      </c>
      <c r="D7" s="145" t="s">
        <v>163</v>
      </c>
    </row>
    <row r="8" spans="1:4" x14ac:dyDescent="0.25">
      <c r="A8" s="389"/>
      <c r="B8" s="389"/>
      <c r="C8" s="144" t="s">
        <v>164</v>
      </c>
      <c r="D8" s="145" t="s">
        <v>165</v>
      </c>
    </row>
    <row r="9" spans="1:4" x14ac:dyDescent="0.25">
      <c r="A9" s="390"/>
      <c r="B9" s="390"/>
      <c r="C9" s="144" t="s">
        <v>166</v>
      </c>
      <c r="D9" s="145" t="s">
        <v>163</v>
      </c>
    </row>
    <row r="10" spans="1:4" x14ac:dyDescent="0.25">
      <c r="A10" s="391" t="s">
        <v>4</v>
      </c>
      <c r="B10" s="391" t="s">
        <v>5</v>
      </c>
      <c r="C10" s="146" t="s">
        <v>6</v>
      </c>
      <c r="D10" s="145" t="s">
        <v>167</v>
      </c>
    </row>
    <row r="11" spans="1:4" x14ac:dyDescent="0.25">
      <c r="A11" s="392"/>
      <c r="B11" s="392"/>
      <c r="C11" s="146" t="s">
        <v>7</v>
      </c>
      <c r="D11" s="145" t="s">
        <v>185</v>
      </c>
    </row>
    <row r="12" spans="1:4" x14ac:dyDescent="0.25">
      <c r="A12" s="393" t="s">
        <v>21</v>
      </c>
      <c r="B12" s="393" t="s">
        <v>22</v>
      </c>
      <c r="C12" s="147" t="s">
        <v>20</v>
      </c>
      <c r="D12" s="145" t="s">
        <v>287</v>
      </c>
    </row>
    <row r="13" spans="1:4" x14ac:dyDescent="0.25">
      <c r="A13" s="394"/>
      <c r="B13" s="394"/>
      <c r="C13" s="157" t="s">
        <v>181</v>
      </c>
      <c r="D13" s="145" t="s">
        <v>287</v>
      </c>
    </row>
    <row r="14" spans="1:4" x14ac:dyDescent="0.25">
      <c r="A14" s="394"/>
      <c r="B14" s="393" t="s">
        <v>126</v>
      </c>
      <c r="C14" s="148" t="s">
        <v>43</v>
      </c>
      <c r="D14" s="145" t="s">
        <v>167</v>
      </c>
    </row>
    <row r="15" spans="1:4" x14ac:dyDescent="0.25">
      <c r="A15" s="394"/>
      <c r="B15" s="394"/>
      <c r="C15" s="158" t="s">
        <v>57</v>
      </c>
      <c r="D15" s="145" t="s">
        <v>167</v>
      </c>
    </row>
    <row r="16" spans="1:4" ht="28.5" customHeight="1" x14ac:dyDescent="0.25">
      <c r="A16" s="394"/>
      <c r="B16" s="395"/>
      <c r="C16" s="159" t="s">
        <v>125</v>
      </c>
      <c r="D16" s="152" t="s">
        <v>266</v>
      </c>
    </row>
    <row r="17" spans="1:4" x14ac:dyDescent="0.25">
      <c r="A17" s="394"/>
      <c r="B17" s="149" t="s">
        <v>70</v>
      </c>
      <c r="C17" s="150" t="s">
        <v>80</v>
      </c>
      <c r="D17" s="151" t="s">
        <v>168</v>
      </c>
    </row>
    <row r="18" spans="1:4" ht="15.75" x14ac:dyDescent="0.25">
      <c r="A18" s="394"/>
      <c r="B18" s="393" t="s">
        <v>45</v>
      </c>
      <c r="C18" s="163" t="s">
        <v>46</v>
      </c>
      <c r="D18" s="145" t="s">
        <v>167</v>
      </c>
    </row>
    <row r="19" spans="1:4" ht="15.75" x14ac:dyDescent="0.25">
      <c r="A19" s="394"/>
      <c r="B19" s="394"/>
      <c r="C19" s="163" t="s">
        <v>47</v>
      </c>
      <c r="D19" s="145" t="s">
        <v>167</v>
      </c>
    </row>
    <row r="20" spans="1:4" ht="15.75" x14ac:dyDescent="0.25">
      <c r="A20" s="394"/>
      <c r="B20" s="394"/>
      <c r="C20" s="163" t="s">
        <v>104</v>
      </c>
      <c r="D20" s="145" t="s">
        <v>167</v>
      </c>
    </row>
    <row r="21" spans="1:4" ht="15.75" x14ac:dyDescent="0.25">
      <c r="A21" s="394"/>
      <c r="B21" s="395"/>
      <c r="C21" s="163" t="s">
        <v>88</v>
      </c>
      <c r="D21" s="145" t="s">
        <v>167</v>
      </c>
    </row>
    <row r="22" spans="1:4" ht="15.75" x14ac:dyDescent="0.25">
      <c r="A22" s="394"/>
      <c r="B22" s="393" t="s">
        <v>44</v>
      </c>
      <c r="C22" s="163" t="s">
        <v>182</v>
      </c>
      <c r="D22" s="145" t="s">
        <v>167</v>
      </c>
    </row>
    <row r="23" spans="1:4" ht="15.75" x14ac:dyDescent="0.25">
      <c r="A23" s="394"/>
      <c r="B23" s="394"/>
      <c r="C23" s="163" t="s">
        <v>183</v>
      </c>
      <c r="D23" s="145" t="s">
        <v>167</v>
      </c>
    </row>
    <row r="24" spans="1:4" ht="15.75" x14ac:dyDescent="0.25">
      <c r="A24" s="394"/>
      <c r="B24" s="394"/>
      <c r="C24" s="163" t="s">
        <v>184</v>
      </c>
      <c r="D24" s="145" t="s">
        <v>167</v>
      </c>
    </row>
    <row r="25" spans="1:4" ht="30" x14ac:dyDescent="0.25">
      <c r="A25" s="395"/>
      <c r="B25" s="394"/>
      <c r="C25" s="164" t="s">
        <v>277</v>
      </c>
      <c r="D25" s="154" t="s">
        <v>186</v>
      </c>
    </row>
    <row r="26" spans="1:4" x14ac:dyDescent="0.25">
      <c r="A26" s="396" t="s">
        <v>49</v>
      </c>
      <c r="B26" s="153" t="s">
        <v>169</v>
      </c>
      <c r="C26" s="153" t="s">
        <v>176</v>
      </c>
      <c r="D26" s="152" t="s">
        <v>288</v>
      </c>
    </row>
    <row r="27" spans="1:4" ht="30" x14ac:dyDescent="0.25">
      <c r="A27" s="397"/>
      <c r="B27" s="153" t="s">
        <v>170</v>
      </c>
      <c r="C27" s="153" t="s">
        <v>177</v>
      </c>
      <c r="D27" s="152" t="s">
        <v>171</v>
      </c>
    </row>
    <row r="28" spans="1:4" ht="30" x14ac:dyDescent="0.25">
      <c r="A28" s="397"/>
      <c r="B28" s="153" t="s">
        <v>172</v>
      </c>
      <c r="C28" s="153" t="s">
        <v>178</v>
      </c>
      <c r="D28" s="154" t="s">
        <v>268</v>
      </c>
    </row>
    <row r="29" spans="1:4" ht="30" x14ac:dyDescent="0.25">
      <c r="A29" s="386" t="s">
        <v>50</v>
      </c>
      <c r="B29" s="155" t="s">
        <v>105</v>
      </c>
      <c r="C29" s="155" t="s">
        <v>179</v>
      </c>
      <c r="D29" s="152" t="s">
        <v>173</v>
      </c>
    </row>
    <row r="30" spans="1:4" ht="30" x14ac:dyDescent="0.25">
      <c r="A30" s="387"/>
      <c r="B30" s="156" t="s">
        <v>54</v>
      </c>
      <c r="C30" s="156" t="s">
        <v>180</v>
      </c>
      <c r="D30" s="152" t="s">
        <v>173</v>
      </c>
    </row>
    <row r="32" spans="1:4" x14ac:dyDescent="0.25">
      <c r="A32" s="142" t="s">
        <v>174</v>
      </c>
    </row>
  </sheetData>
  <mergeCells count="11">
    <mergeCell ref="A29:A30"/>
    <mergeCell ref="B7:B9"/>
    <mergeCell ref="B10:B11"/>
    <mergeCell ref="B12:B13"/>
    <mergeCell ref="B14:B16"/>
    <mergeCell ref="B18:B21"/>
    <mergeCell ref="B22:B25"/>
    <mergeCell ref="A12:A25"/>
    <mergeCell ref="A7:A9"/>
    <mergeCell ref="A10:A11"/>
    <mergeCell ref="A26:A28"/>
  </mergeCells>
  <conditionalFormatting sqref="A6:B6 A29:B29 A12:B12 B30 B27:B28 A10 B18 B22">
    <cfRule type="beginsWith" dxfId="2207" priority="25" stopIfTrue="1" operator="beginsWith" text="Functioning At Risk">
      <formula>LEFT(A6,LEN("Functioning At Risk"))="Functioning At Risk"</formula>
    </cfRule>
    <cfRule type="beginsWith" dxfId="2206" priority="26" stopIfTrue="1" operator="beginsWith" text="Not Functioning">
      <formula>LEFT(A6,LEN("Not Functioning"))="Not Functioning"</formula>
    </cfRule>
    <cfRule type="containsText" dxfId="2205" priority="27" operator="containsText" text="Functioning">
      <formula>NOT(ISERROR(SEARCH("Functioning",A6)))</formula>
    </cfRule>
  </conditionalFormatting>
  <conditionalFormatting sqref="B14">
    <cfRule type="beginsWith" dxfId="2204" priority="22" stopIfTrue="1" operator="beginsWith" text="Functioning At Risk">
      <formula>LEFT(B14,LEN("Functioning At Risk"))="Functioning At Risk"</formula>
    </cfRule>
    <cfRule type="beginsWith" dxfId="2203" priority="23" stopIfTrue="1" operator="beginsWith" text="Not Functioning">
      <formula>LEFT(B14,LEN("Not Functioning"))="Not Functioning"</formula>
    </cfRule>
    <cfRule type="containsText" dxfId="2202" priority="24" operator="containsText" text="Functioning">
      <formula>NOT(ISERROR(SEARCH("Functioning",B14)))</formula>
    </cfRule>
  </conditionalFormatting>
  <conditionalFormatting sqref="B26">
    <cfRule type="beginsWith" dxfId="2201" priority="19" stopIfTrue="1" operator="beginsWith" text="Functioning At Risk">
      <formula>LEFT(B26,LEN("Functioning At Risk"))="Functioning At Risk"</formula>
    </cfRule>
    <cfRule type="beginsWith" dxfId="2200" priority="20" stopIfTrue="1" operator="beginsWith" text="Not Functioning">
      <formula>LEFT(B26,LEN("Not Functioning"))="Not Functioning"</formula>
    </cfRule>
    <cfRule type="containsText" dxfId="2199" priority="21" operator="containsText" text="Functioning">
      <formula>NOT(ISERROR(SEARCH("Functioning",B26)))</formula>
    </cfRule>
  </conditionalFormatting>
  <conditionalFormatting sqref="A26">
    <cfRule type="beginsWith" dxfId="2198" priority="16" stopIfTrue="1" operator="beginsWith" text="Functioning At Risk">
      <formula>LEFT(A26,LEN("Functioning At Risk"))="Functioning At Risk"</formula>
    </cfRule>
    <cfRule type="beginsWith" dxfId="2197" priority="17" stopIfTrue="1" operator="beginsWith" text="Not Functioning">
      <formula>LEFT(A26,LEN("Not Functioning"))="Not Functioning"</formula>
    </cfRule>
    <cfRule type="containsText" dxfId="2196" priority="18" operator="containsText" text="Functioning">
      <formula>NOT(ISERROR(SEARCH("Functioning",A26)))</formula>
    </cfRule>
  </conditionalFormatting>
  <conditionalFormatting sqref="B17">
    <cfRule type="beginsWith" dxfId="2195" priority="13" stopIfTrue="1" operator="beginsWith" text="Functioning At Risk">
      <formula>LEFT(B17,LEN("Functioning At Risk"))="Functioning At Risk"</formula>
    </cfRule>
    <cfRule type="beginsWith" dxfId="2194" priority="14" stopIfTrue="1" operator="beginsWith" text="Not Functioning">
      <formula>LEFT(B17,LEN("Not Functioning"))="Not Functioning"</formula>
    </cfRule>
    <cfRule type="containsText" dxfId="2193" priority="15" operator="containsText" text="Functioning">
      <formula>NOT(ISERROR(SEARCH("Functioning",B17)))</formula>
    </cfRule>
  </conditionalFormatting>
  <conditionalFormatting sqref="C6 C27:C30 C25">
    <cfRule type="beginsWith" dxfId="2192" priority="10" stopIfTrue="1" operator="beginsWith" text="Functioning At Risk">
      <formula>LEFT(C6,LEN("Functioning At Risk"))="Functioning At Risk"</formula>
    </cfRule>
    <cfRule type="beginsWith" dxfId="2191" priority="11" stopIfTrue="1" operator="beginsWith" text="Not Functioning">
      <formula>LEFT(C6,LEN("Not Functioning"))="Not Functioning"</formula>
    </cfRule>
    <cfRule type="containsText" dxfId="2190" priority="12" operator="containsText" text="Functioning">
      <formula>NOT(ISERROR(SEARCH("Functioning",C6)))</formula>
    </cfRule>
  </conditionalFormatting>
  <conditionalFormatting sqref="C26">
    <cfRule type="beginsWith" dxfId="2189" priority="4" stopIfTrue="1" operator="beginsWith" text="Functioning At Risk">
      <formula>LEFT(C26,LEN("Functioning At Risk"))="Functioning At Risk"</formula>
    </cfRule>
    <cfRule type="beginsWith" dxfId="2188" priority="5" stopIfTrue="1" operator="beginsWith" text="Not Functioning">
      <formula>LEFT(C26,LEN("Not Functioning"))="Not Functioning"</formula>
    </cfRule>
    <cfRule type="containsText" dxfId="2187" priority="6" operator="containsText" text="Functioning">
      <formula>NOT(ISERROR(SEARCH("Functioning",C26)))</formula>
    </cfRule>
  </conditionalFormatting>
  <pageMargins left="0.7" right="0.7" top="0.75" bottom="0.75" header="0.3" footer="0.3"/>
  <pageSetup scale="73" fitToHeight="0"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339"/>
  <sheetViews>
    <sheetView workbookViewId="0">
      <selection sqref="A1:J1"/>
    </sheetView>
  </sheetViews>
  <sheetFormatPr defaultRowHeight="15" x14ac:dyDescent="0.25"/>
  <cols>
    <col min="1" max="2" width="30.85546875" customWidth="1"/>
    <col min="3" max="3" width="28" customWidth="1"/>
    <col min="4" max="4" width="23.28515625" style="5" customWidth="1"/>
    <col min="5" max="5" width="14.42578125" customWidth="1"/>
    <col min="6" max="6" width="14.7109375" customWidth="1"/>
    <col min="7" max="7" width="18.85546875" style="5" customWidth="1"/>
    <col min="8" max="8" width="12.7109375" customWidth="1"/>
    <col min="9" max="9" width="17.28515625" style="102" customWidth="1"/>
    <col min="10" max="10" width="16.140625" customWidth="1"/>
    <col min="11" max="11" width="18.5703125" customWidth="1"/>
    <col min="12" max="12" width="13.7109375" customWidth="1"/>
  </cols>
  <sheetData>
    <row r="1" spans="1:14" ht="21" customHeight="1" x14ac:dyDescent="0.25">
      <c r="A1" s="406" t="s">
        <v>310</v>
      </c>
      <c r="B1" s="407"/>
      <c r="C1" s="407"/>
      <c r="D1" s="407"/>
      <c r="E1" s="407"/>
      <c r="F1" s="407"/>
      <c r="G1" s="407"/>
      <c r="H1" s="407"/>
      <c r="I1" s="407"/>
      <c r="J1" s="408"/>
    </row>
    <row r="2" spans="1:14" s="5" customFormat="1" ht="16.149999999999999" customHeight="1" x14ac:dyDescent="0.25">
      <c r="A2" s="14" t="s">
        <v>68</v>
      </c>
      <c r="B2" s="279"/>
      <c r="C2" s="14" t="s">
        <v>195</v>
      </c>
      <c r="D2" s="48"/>
      <c r="E2" s="165" t="s">
        <v>226</v>
      </c>
      <c r="F2" s="166"/>
      <c r="G2" s="48"/>
      <c r="H2" s="404" t="s">
        <v>137</v>
      </c>
      <c r="I2" s="405"/>
      <c r="J2" s="101"/>
    </row>
    <row r="3" spans="1:14" s="5" customFormat="1" ht="16.149999999999999" customHeight="1" x14ac:dyDescent="0.25">
      <c r="A3" s="14" t="s">
        <v>69</v>
      </c>
      <c r="B3" s="48"/>
      <c r="C3" s="14" t="s">
        <v>205</v>
      </c>
      <c r="D3" s="48"/>
      <c r="E3" s="413" t="s">
        <v>92</v>
      </c>
      <c r="F3" s="413"/>
      <c r="G3" s="48"/>
      <c r="H3" s="404" t="s">
        <v>138</v>
      </c>
      <c r="I3" s="405"/>
      <c r="J3" s="101"/>
    </row>
    <row r="4" spans="1:14" s="5" customFormat="1" ht="16.149999999999999" customHeight="1" x14ac:dyDescent="0.35">
      <c r="A4" s="14" t="s">
        <v>136</v>
      </c>
      <c r="B4" s="48"/>
      <c r="C4" s="14" t="s">
        <v>206</v>
      </c>
      <c r="D4" s="48"/>
      <c r="E4" s="413" t="s">
        <v>267</v>
      </c>
      <c r="F4" s="413"/>
      <c r="G4" s="48"/>
      <c r="H4" s="404" t="s">
        <v>139</v>
      </c>
      <c r="I4" s="405"/>
      <c r="J4" s="101"/>
      <c r="K4" s="38"/>
    </row>
    <row r="5" spans="1:14" ht="16.149999999999999" customHeight="1" x14ac:dyDescent="0.25">
      <c r="A5" s="106" t="s">
        <v>261</v>
      </c>
      <c r="B5" s="48"/>
      <c r="C5" s="14" t="s">
        <v>207</v>
      </c>
      <c r="D5" s="48"/>
      <c r="E5" s="225" t="s">
        <v>260</v>
      </c>
      <c r="F5" s="226"/>
      <c r="G5" s="48"/>
      <c r="H5" s="404" t="s">
        <v>140</v>
      </c>
      <c r="I5" s="405"/>
      <c r="J5" s="101"/>
      <c r="K5" s="55"/>
    </row>
    <row r="6" spans="1:14" s="5" customFormat="1" ht="9.6" customHeight="1" x14ac:dyDescent="0.25">
      <c r="A6" s="107"/>
      <c r="B6" s="107"/>
      <c r="C6" s="107"/>
      <c r="D6" s="107"/>
      <c r="E6" s="107"/>
      <c r="F6" s="107"/>
      <c r="G6" s="107"/>
      <c r="H6" s="107"/>
      <c r="I6" s="103"/>
      <c r="J6" s="11"/>
      <c r="K6" s="55"/>
    </row>
    <row r="7" spans="1:14" ht="19.899999999999999" customHeight="1" x14ac:dyDescent="0.35">
      <c r="A7" s="420" t="s">
        <v>48</v>
      </c>
      <c r="B7" s="420"/>
      <c r="C7" s="420"/>
      <c r="D7" s="420"/>
      <c r="E7" s="420"/>
      <c r="F7" s="420"/>
      <c r="G7" s="420" t="s">
        <v>14</v>
      </c>
      <c r="H7" s="420"/>
      <c r="I7" s="420"/>
      <c r="J7" s="420"/>
      <c r="K7" s="11"/>
      <c r="M7" s="5"/>
      <c r="N7" s="5"/>
    </row>
    <row r="8" spans="1:14" ht="15.75" x14ac:dyDescent="0.25">
      <c r="A8" s="15" t="s">
        <v>1</v>
      </c>
      <c r="B8" s="15" t="s">
        <v>2</v>
      </c>
      <c r="C8" s="421" t="s">
        <v>3</v>
      </c>
      <c r="D8" s="422"/>
      <c r="E8" s="46" t="s">
        <v>12</v>
      </c>
      <c r="F8" s="45" t="s">
        <v>13</v>
      </c>
      <c r="G8" s="15" t="s">
        <v>15</v>
      </c>
      <c r="H8" s="15" t="s">
        <v>16</v>
      </c>
      <c r="I8" s="105" t="s">
        <v>16</v>
      </c>
      <c r="J8" s="15" t="s">
        <v>110</v>
      </c>
      <c r="K8" s="11"/>
      <c r="M8" s="5"/>
      <c r="N8" s="5"/>
    </row>
    <row r="9" spans="1:14" ht="15.75" x14ac:dyDescent="0.25">
      <c r="A9" s="427" t="s">
        <v>51</v>
      </c>
      <c r="B9" s="427" t="s">
        <v>78</v>
      </c>
      <c r="C9" s="167" t="s">
        <v>162</v>
      </c>
      <c r="D9" s="169"/>
      <c r="E9" s="44"/>
      <c r="F9" s="28">
        <f>IF(G5="Yes","",(IF(G4="",0.8,(IF(AND(E9="",G4="Yes"),0.9,(IF(AND(E9="",G4="No"),0.8,IF(E9&gt;=80,0,IF(E9&lt;=40,1,IF(E9&gt;=68,ROUND(E9*'Reference Standards'!$B$4+'Reference Standards'!$B$5,2),ROUND(E9*'Reference Standards'!$C$4+'Reference Standards'!$C$5,2)))))))))))</f>
        <v>0.8</v>
      </c>
      <c r="G9" s="401">
        <f>IFERROR(AVERAGE(F9:F11),"")</f>
        <v>0.8</v>
      </c>
      <c r="H9" s="401">
        <f>IFERROR(ROUND(AVERAGE(G9:G11),2),"")</f>
        <v>0.8</v>
      </c>
      <c r="I9" s="414" t="str">
        <f>IF(H9="","",IF(H9&gt;0.69,"Functioning",IF(H9&gt;0.29,"Functioning At Risk",IF(H9&gt;-1,"Not Functioning"))))</f>
        <v>Functioning</v>
      </c>
      <c r="J9" s="429">
        <f>IF(AND(H9="",H12="",H14="",H28="",H31=""),"",ROUND((IF(H9="",0,H9)*0.2)+(IF(H12="",0,H12)*0.2)+(IF(H14="",0,H14)*0.2)+(IF(H28="",0,H28)*0.2)+(IF(H31="",0,H31)*0.2),2))</f>
        <v>0.8</v>
      </c>
      <c r="K9" s="11"/>
      <c r="M9" s="10"/>
      <c r="N9" s="5"/>
    </row>
    <row r="10" spans="1:14" s="5" customFormat="1" ht="15.75" x14ac:dyDescent="0.25">
      <c r="A10" s="428"/>
      <c r="B10" s="428"/>
      <c r="C10" s="168" t="s">
        <v>164</v>
      </c>
      <c r="D10" s="170"/>
      <c r="E10" s="49"/>
      <c r="F10" s="228" t="str">
        <f>IF(G5="No","",IF(E10="","",  IF(E10&gt;0.95,0,IF(E10&lt;=0.02,1,ROUND(IF(E10&gt;0.26,'Reference Standards'!$B$10*E10+'Reference Standards'!$B$11, IF(E10&lt;0.05, 'Reference Standards'!$D$10*E10+'Reference Standards'!$D$11, 'Reference Standards'!$C$10*E10+'Reference Standards'!$C$11)),2))) ))</f>
        <v/>
      </c>
      <c r="G10" s="402"/>
      <c r="H10" s="402"/>
      <c r="I10" s="414"/>
      <c r="J10" s="429"/>
      <c r="K10" s="11"/>
      <c r="M10" s="10"/>
    </row>
    <row r="11" spans="1:14" s="5" customFormat="1" ht="15.75" x14ac:dyDescent="0.25">
      <c r="A11" s="428"/>
      <c r="B11" s="442"/>
      <c r="C11" s="171" t="s">
        <v>166</v>
      </c>
      <c r="D11" s="172"/>
      <c r="E11" s="49"/>
      <c r="F11" s="227">
        <f>IF(G5="Yes","",(IF(G4="",0.8,(IF(AND(E11="",G4="Yes"),0.9,(IF(AND(E11="",G4="No"),0.8,IF(E11&gt;3.22,0,IF(E11&lt;0,"",ROUND('Reference Standards'!$B$15*E11+'Reference Standards'!$B$16,2))))))))))</f>
        <v>0.8</v>
      </c>
      <c r="G11" s="403"/>
      <c r="H11" s="403"/>
      <c r="I11" s="414"/>
      <c r="J11" s="429"/>
      <c r="K11" s="11"/>
      <c r="M11" s="10"/>
    </row>
    <row r="12" spans="1:14" s="5" customFormat="1" ht="15.75" x14ac:dyDescent="0.25">
      <c r="A12" s="432" t="s">
        <v>4</v>
      </c>
      <c r="B12" s="434" t="s">
        <v>5</v>
      </c>
      <c r="C12" s="17" t="s">
        <v>6</v>
      </c>
      <c r="D12" s="17"/>
      <c r="E12" s="44"/>
      <c r="F12" s="96">
        <f>IF(G4="",0.8,(IF(AND(E12="",G4="Yes"),0.9,(IF(AND(E12="",G4="No"),0.8,ROUND(IF(E12&gt;1.6,0,IF(E12&lt;=1,1,E12^2*'Reference Standards'!$F$2+E12*'Reference Standards'!$F$3+'Reference Standards'!$F$4)),2))))))</f>
        <v>0.8</v>
      </c>
      <c r="G12" s="435">
        <f>IFERROR(AVERAGE(F12:F13),"")</f>
        <v>0.8</v>
      </c>
      <c r="H12" s="436">
        <f>IFERROR(ROUND(AVERAGE(G12),2),"")</f>
        <v>0.8</v>
      </c>
      <c r="I12" s="438" t="str">
        <f>IF(H12="","",IF(H12&gt;0.69,"Functioning",IF(H12&gt;0.29,"Functioning At Risk",IF(H12&gt;-1,"Not Functioning"))))</f>
        <v>Functioning</v>
      </c>
      <c r="J12" s="429"/>
      <c r="K12" s="11"/>
      <c r="M12" s="10"/>
      <c r="N12" s="10"/>
    </row>
    <row r="13" spans="1:14" s="5" customFormat="1" ht="15.75" x14ac:dyDescent="0.25">
      <c r="A13" s="433"/>
      <c r="B13" s="434"/>
      <c r="C13" s="17" t="s">
        <v>7</v>
      </c>
      <c r="D13" s="17"/>
      <c r="E13" s="50"/>
      <c r="F13" s="96">
        <f>IF(G4="",0.8,(IF(AND(E13="",G4="Yes"),0.9,(IF(AND(E13="",G4="No"),0.8,(IF(OR(B4="A",B4="B",B4="Bc",B4="Ba"),IF(E13&lt;1.2,0,IF(E13&gt;=2.2,1,ROUND(IF(E13&lt;1.4,E13*'Reference Standards'!$F$13+'Reference Standards'!$F$14,E13*'Reference Standards'!$G$13+'Reference Standards'!$G$14),2))),IF(OR(B4="C",B4="Cb",B4="E"),IF(E13&lt;2,0,IF(E13&gt;=5,1,ROUND(IF(E13&lt;2.4,E13*'Reference Standards'!$G$8+'Reference Standards'!$G$9,E13*'Reference Standards'!$F$8+'Reference Standards'!$F$9),2)))))))))))</f>
        <v>0.8</v>
      </c>
      <c r="G13" s="435"/>
      <c r="H13" s="437"/>
      <c r="I13" s="439"/>
      <c r="J13" s="429"/>
      <c r="K13" s="11"/>
      <c r="M13" s="10"/>
      <c r="N13" s="10"/>
    </row>
    <row r="14" spans="1:14" s="5" customFormat="1" ht="15.75" x14ac:dyDescent="0.25">
      <c r="A14" s="398" t="s">
        <v>21</v>
      </c>
      <c r="B14" s="440" t="s">
        <v>22</v>
      </c>
      <c r="C14" s="21" t="s">
        <v>103</v>
      </c>
      <c r="D14" s="69"/>
      <c r="E14" s="44"/>
      <c r="F14" s="229" t="str">
        <f>IF(E14="","",IF(E14&gt;=660,1,IF(E14&lt;=430,ROUND('Reference Standards'!$I$4*E14+'Reference Standards'!$I$5,2),ROUND('Reference Standards'!$J$4*E14+'Reference Standards'!$J$5,2))))</f>
        <v/>
      </c>
      <c r="G14" s="423">
        <f>IFERROR(AVERAGE(F14:F15),"")</f>
        <v>0.8</v>
      </c>
      <c r="H14" s="447">
        <f>IFERROR(ROUND(AVERAGE(G14:G27),2),"")</f>
        <v>0.8</v>
      </c>
      <c r="I14" s="449" t="str">
        <f>IF(H14="","",IF(H14&gt;0.69,"Functioning",IF(H14&gt;0.29,"Functioning At Risk",IF(H14&gt;-1,"Not Functioning"))))</f>
        <v>Functioning</v>
      </c>
      <c r="J14" s="429"/>
      <c r="K14" s="11"/>
      <c r="M14" s="10"/>
      <c r="N14" s="10"/>
    </row>
    <row r="15" spans="1:14" s="5" customFormat="1" ht="15.75" x14ac:dyDescent="0.25">
      <c r="A15" s="399"/>
      <c r="B15" s="441"/>
      <c r="C15" s="24" t="s">
        <v>99</v>
      </c>
      <c r="D15" s="70"/>
      <c r="E15" s="50"/>
      <c r="F15" s="98">
        <f>IF(ISNUMBER(E14),"",IF(G4="",0.8,(IF(AND(E15="",G4="Yes"),0.9,(IF(AND(E15="",G4="No"),0.8,IF(E15&gt;=28,1,ROUND(IF(E15&lt;=13,'Reference Standards'!$I$9*E15,'Reference Standards'!$J$9*E15+'Reference Standards'!$J$10),2))))))))</f>
        <v>0.8</v>
      </c>
      <c r="G15" s="426"/>
      <c r="H15" s="447"/>
      <c r="I15" s="449"/>
      <c r="J15" s="429"/>
      <c r="K15" s="11"/>
      <c r="M15" s="10"/>
      <c r="N15" s="10"/>
    </row>
    <row r="16" spans="1:14" s="5" customFormat="1" ht="15.75" x14ac:dyDescent="0.25">
      <c r="A16" s="399"/>
      <c r="B16" s="399" t="s">
        <v>126</v>
      </c>
      <c r="C16" s="19" t="s">
        <v>43</v>
      </c>
      <c r="D16" s="19"/>
      <c r="E16" s="49"/>
      <c r="F16" s="29">
        <f>IF(G4="",0.8,(IF(AND(E16="",G4="Yes"),0.9,(IF(AND(E16="",G4="No"),0.8,IF(OR(E16="Ex/Ex",E16="Ex/VH",E16="Ex/H",E16="Ex/M",E16="VH/Ex",E16="VH/VH", E16="H/Ex",E16="H/VH"),0, IF(OR(E16="M/Ex"),0.1,IF(OR(E16="VH/H",E16="VH/M",E16="H/H",E16="H/M", E16="M/VH"),0.2, IF(OR(E16="Ex/VL",E16="Ex/L", E16="M/H"),0.3, IF(OR(E16="VH/L",E16="H/L"),0.4, IF(OR(E16="VH/VL",E16="H/VL",E16="M/M"),0.5, IF(OR(E16="M/L",E16="L/Ex"),0.6, IF(OR(E16="M/VL",E16="L/VH", E16="L/H",E16="L/M",E16="L/L",E16="L/VL",LEFT(E16)="V"),1)))))))))))))</f>
        <v>0.8</v>
      </c>
      <c r="G16" s="423">
        <f>IFERROR(AVERAGE(F16:F18),"")</f>
        <v>0.80000000000000016</v>
      </c>
      <c r="H16" s="448"/>
      <c r="I16" s="449"/>
      <c r="J16" s="429"/>
      <c r="K16" s="11"/>
      <c r="M16" s="10"/>
      <c r="N16" s="10"/>
    </row>
    <row r="17" spans="1:14" s="5" customFormat="1" ht="15.75" x14ac:dyDescent="0.25">
      <c r="A17" s="399"/>
      <c r="B17" s="399"/>
      <c r="C17" s="20" t="s">
        <v>57</v>
      </c>
      <c r="D17" s="173"/>
      <c r="E17" s="243"/>
      <c r="F17" s="29">
        <f>IF(G4="",0.8,(IF(AND(E17="",G4="Yes"),0.9,(IF(AND(E17="",G4="No"),0.8,ROUND(IF(E17&gt;=75,0,IF(E17&lt;=5,1,IF(E17&gt;10,E17*'Reference Standards'!$I$14+'Reference Standards'!$I$15,'Reference Standards'!$J$14*E17+'Reference Standards'!$J$15))),2))))))</f>
        <v>0.8</v>
      </c>
      <c r="G17" s="424"/>
      <c r="H17" s="448"/>
      <c r="I17" s="449"/>
      <c r="J17" s="429"/>
      <c r="K17" s="11"/>
      <c r="M17" s="10"/>
      <c r="N17" s="10"/>
    </row>
    <row r="18" spans="1:14" s="5" customFormat="1" ht="15.75" x14ac:dyDescent="0.25">
      <c r="A18" s="399"/>
      <c r="B18" s="400"/>
      <c r="C18" s="20" t="s">
        <v>125</v>
      </c>
      <c r="D18" s="20"/>
      <c r="E18" s="50"/>
      <c r="F18" s="98">
        <f>IF(G4="",0.8,(IF(AND(E18="",G4="Yes"),0.9,(IF(AND(E18="",G4="No"),0.8,IF(E18&gt;=50,0,ROUND(E18*'Reference Standards'!$I$18+'Reference Standards'!$I$19,2)))))))</f>
        <v>0.8</v>
      </c>
      <c r="G18" s="426"/>
      <c r="H18" s="448"/>
      <c r="I18" s="449"/>
      <c r="J18" s="429"/>
      <c r="K18" s="11"/>
      <c r="M18" s="10"/>
      <c r="N18" s="10"/>
    </row>
    <row r="19" spans="1:14" s="5" customFormat="1" ht="15.75" x14ac:dyDescent="0.25">
      <c r="A19" s="399"/>
      <c r="B19" s="18" t="s">
        <v>70</v>
      </c>
      <c r="C19" s="26" t="s">
        <v>80</v>
      </c>
      <c r="D19" s="68"/>
      <c r="E19" s="50"/>
      <c r="F19" s="27" t="str">
        <f>IF(E19="","",IF(E19&gt;=50,0,ROUND(E19*'Reference Standards'!$I$22+'Reference Standards'!$I$23,2)))</f>
        <v/>
      </c>
      <c r="G19" s="27" t="str">
        <f>IFERROR(AVERAGE(F19),"")</f>
        <v/>
      </c>
      <c r="H19" s="448"/>
      <c r="I19" s="449"/>
      <c r="J19" s="429"/>
      <c r="K19" s="11"/>
      <c r="M19" s="10"/>
      <c r="N19" s="10"/>
    </row>
    <row r="20" spans="1:14" s="5" customFormat="1" ht="15.75" x14ac:dyDescent="0.25">
      <c r="A20" s="399"/>
      <c r="B20" s="398" t="s">
        <v>45</v>
      </c>
      <c r="C20" s="25" t="s">
        <v>46</v>
      </c>
      <c r="D20" s="25"/>
      <c r="E20" s="53"/>
      <c r="F20" s="230">
        <f>IF(G4="",0.8,(IF(AND(E20="",G4="Yes"),0.9,(IF(AND(E20="",G4="No"),0.8,ROUND( IF(OR(LEFT(B4)="C",B4="E"), IF(OR(E20&lt;=1,E20&gt;=9),0,IF(AND(E20&gt;=3.5,E20&lt;=6),1,IF(E20&lt;3.5, E20*'Reference Standards'!$I$37+'Reference Standards'!$I$38, E20*'Reference Standards'!$J$37+'Reference Standards'!$J$38))),   IF(OR(B4="A",(B4)="B", (B4)="Ba"), IF(E20&gt;=6.5,0, IF(E20&lt;=4, 1, E20^2*'Reference Standards'!$I$26+E20*'Reference Standards'!$I$27+'Reference Standards'!$I$28)), IF(B4="Bc",  IF(E20&gt;=8,0, IF(E20&lt;=5, 1, E20^2*'Reference Standards'!$I$31+E20*'Reference Standards'!$I$32+'Reference Standards'!$I$33))))),2))))))</f>
        <v>0.8</v>
      </c>
      <c r="G20" s="430">
        <f>IFERROR(AVERAGE(F20:F23),"")</f>
        <v>0.80000000000000016</v>
      </c>
      <c r="H20" s="448"/>
      <c r="I20" s="449"/>
      <c r="J20" s="429"/>
      <c r="K20" s="11"/>
      <c r="M20" s="10"/>
      <c r="N20" s="10"/>
    </row>
    <row r="21" spans="1:14" s="5" customFormat="1" ht="15.75" x14ac:dyDescent="0.25">
      <c r="A21" s="399"/>
      <c r="B21" s="399"/>
      <c r="C21" s="19" t="s">
        <v>47</v>
      </c>
      <c r="D21" s="19"/>
      <c r="E21" s="52"/>
      <c r="F21" s="29">
        <f>IF(G4="",0.8,(IF(AND(E21="",G4="Yes"),0.9,(IF(AND(E21="",G4="No"),0.8,ROUND(  IF(E21&lt;=1.1,0, IF(E21&gt;=3,1, IF(E21&lt;2, E21^2*'Reference Standards'!$I$42+  E21*'Reference Standards'!$I$43 + 'Reference Standards'!$I$44,      E21*'Reference Standards'!$J$43+'Reference Standards'!$J$44))),2))))))</f>
        <v>0.8</v>
      </c>
      <c r="G21" s="425"/>
      <c r="H21" s="448"/>
      <c r="I21" s="449"/>
      <c r="J21" s="429"/>
      <c r="K21" s="11"/>
      <c r="M21" s="10"/>
      <c r="N21" s="10"/>
    </row>
    <row r="22" spans="1:14" s="5" customFormat="1" ht="15.75" x14ac:dyDescent="0.25">
      <c r="A22" s="399"/>
      <c r="B22" s="399"/>
      <c r="C22" s="19" t="s">
        <v>104</v>
      </c>
      <c r="D22" s="19"/>
      <c r="E22" s="52"/>
      <c r="F22" s="161">
        <f>IF(G4="",0.8,(IF(AND(E22="",G4="Yes"),0.9,(IF(AND(E22="",G4="No"),0.8,IF(OR(B4="A",LEFT(B4,1)="B"),IF(OR(E22&lt;=20,E22&gt;=90),0,IF(AND(E22&gt;=50,E22&lt;=60),1,IF(E22&lt;50,ROUND(E22*'Reference Standards'!$I$48+'Reference Standards'!$I$49,2),ROUND(E22*'Reference Standards'!$J$48+'Reference Standards'!$J$49,2)))),IF(OR(LEFT(B4)="C",B4="E"),IF(OR(E22&lt;=20,E22&gt;=85),0,IF(AND(E22&lt;=65,E22&gt;=45),1,IF(E22&lt;45,ROUND(E22*'Reference Standards'!$I$53+'Reference Standards'!$I$54,2),ROUND(E22*'Reference Standards'!$J$53+'Reference Standards'!$J$54,2)))))))))))</f>
        <v>0.8</v>
      </c>
      <c r="G22" s="425"/>
      <c r="H22" s="448"/>
      <c r="I22" s="449"/>
      <c r="J22" s="429"/>
      <c r="K22" s="11"/>
      <c r="M22" s="10"/>
      <c r="N22" s="10"/>
    </row>
    <row r="23" spans="1:14" s="5" customFormat="1" ht="15.75" x14ac:dyDescent="0.25">
      <c r="A23" s="399"/>
      <c r="B23" s="400"/>
      <c r="C23" s="23" t="s">
        <v>88</v>
      </c>
      <c r="D23" s="19"/>
      <c r="E23" s="54"/>
      <c r="F23" s="162" t="str">
        <f>IF(E23="","",IF(E23&gt;=1.6,0,IF(E23&lt;=1,1,ROUND('Reference Standards'!$I$57*E23^3+'Reference Standards'!$I$58*E23^2+'Reference Standards'!$I$59*E23+'Reference Standards'!$I$60,2))))</f>
        <v/>
      </c>
      <c r="G23" s="431"/>
      <c r="H23" s="448"/>
      <c r="I23" s="449"/>
      <c r="J23" s="429"/>
      <c r="K23" s="11"/>
      <c r="M23" s="10"/>
      <c r="N23" s="10"/>
    </row>
    <row r="24" spans="1:14" s="5" customFormat="1" ht="15.75" x14ac:dyDescent="0.25">
      <c r="A24" s="399"/>
      <c r="B24" s="399" t="s">
        <v>44</v>
      </c>
      <c r="C24" s="21" t="s">
        <v>182</v>
      </c>
      <c r="D24" s="69"/>
      <c r="E24" s="22"/>
      <c r="F24" s="97">
        <f>IF(G4="",0.8,(IF(AND(E24="",G4="Yes"),0.9,(IF(AND(E24="",G4="No"),0.8,IF(G3="Unconfined Alluvial",IF(E24&gt;=100,1,IF(E24&lt;30,0,ROUND('Reference Standards'!$I$64*E24+'Reference Standards'!$I$65,2))),IF(OR(G3="Confined Alluvial",G3="Colluvial/V-Shaped"),(IF(E24&gt;=100,1,IF(E24&lt;60,0,ROUND('Reference Standards'!$J$64*E24+'Reference Standards'!$J$65,2)))))))))))</f>
        <v>0.8</v>
      </c>
      <c r="G24" s="423">
        <f>IFERROR(AVERAGE(F24:F27),"")</f>
        <v>0.80000000000000016</v>
      </c>
      <c r="H24" s="448"/>
      <c r="I24" s="449"/>
      <c r="J24" s="429"/>
      <c r="K24" s="11"/>
      <c r="M24" s="10"/>
      <c r="N24" s="10"/>
    </row>
    <row r="25" spans="1:14" s="5" customFormat="1" ht="15.75" x14ac:dyDescent="0.25">
      <c r="A25" s="399"/>
      <c r="B25" s="399"/>
      <c r="C25" s="23" t="s">
        <v>183</v>
      </c>
      <c r="D25" s="173"/>
      <c r="E25" s="244"/>
      <c r="F25" s="29">
        <f>IF(G4="",0.8,(IF(AND(E25="",G4="Yes"),0.9,(IF(AND(E25="",G4="No"),0.8,IF(B5="Yes",IF(E25&lt;=50,0,IF(E25&gt;=80,1,ROUND('Reference Standards'!$I$69*E25+'Reference Standards'!$I$70,2))),IF(B5="No",IF(E25&gt;=80,0,IF(E25&lt;=50,1,ROUND(E25*'Reference Standards'!$J$69+'Reference Standards'!$J$70,2))))))))))</f>
        <v>0.8</v>
      </c>
      <c r="G25" s="424"/>
      <c r="H25" s="448"/>
      <c r="I25" s="449"/>
      <c r="J25" s="429"/>
      <c r="K25" s="11"/>
      <c r="M25" s="10"/>
      <c r="N25" s="10"/>
    </row>
    <row r="26" spans="1:14" s="5" customFormat="1" ht="15.75" x14ac:dyDescent="0.25">
      <c r="A26" s="399"/>
      <c r="B26" s="399"/>
      <c r="C26" s="23" t="s">
        <v>184</v>
      </c>
      <c r="D26" s="173"/>
      <c r="E26" s="244"/>
      <c r="F26" s="29">
        <f>IF(G4="",0.8,(IF(AND(E26="",G4="Yes"),0.9,(IF(AND(E26="",G4="No"),0.8,IF(E26&lt;=50,0,IF(E26&gt;=80,1, ROUND(E26*'Reference Standards'!$I$73+'Reference Standards'!$I$74,2))))))))</f>
        <v>0.8</v>
      </c>
      <c r="G26" s="425"/>
      <c r="H26" s="448"/>
      <c r="I26" s="449"/>
      <c r="J26" s="429"/>
      <c r="K26" s="11"/>
      <c r="M26" s="10"/>
      <c r="N26" s="10"/>
    </row>
    <row r="27" spans="1:14" s="5" customFormat="1" ht="15.75" x14ac:dyDescent="0.25">
      <c r="A27" s="400"/>
      <c r="B27" s="399"/>
      <c r="C27" s="443" t="s">
        <v>277</v>
      </c>
      <c r="D27" s="444"/>
      <c r="E27" s="16"/>
      <c r="F27" s="98" t="str">
        <f>IF(OR(B5="",B5="No"),"",IF(AND(E27="",B5="Yes",G4="Yes"),0.9,IF(OR(G4="No",G4=""),0.8,IF(E27&lt;=9,0,IF(E27&gt;=14,1,ROUND('Reference Standards'!$I$77*E27+'Reference Standards'!$I$78,2))))))</f>
        <v/>
      </c>
      <c r="G27" s="426"/>
      <c r="H27" s="448"/>
      <c r="I27" s="449"/>
      <c r="J27" s="429"/>
      <c r="K27" s="11"/>
      <c r="M27" s="10"/>
      <c r="N27" s="10"/>
    </row>
    <row r="28" spans="1:14" ht="15.75" x14ac:dyDescent="0.25">
      <c r="A28" s="409" t="s">
        <v>49</v>
      </c>
      <c r="B28" s="174" t="s">
        <v>169</v>
      </c>
      <c r="C28" s="175" t="s">
        <v>176</v>
      </c>
      <c r="D28" s="177"/>
      <c r="E28" s="101"/>
      <c r="F28" s="182">
        <f>IF(G4="",0.8,(IF(AND(E28="",G4="Yes"),0.9,IF(E28&gt;=25,0,IF(E28&lt;=10,1,ROUND(IF(E28&gt;18,'Reference Standards'!$L$4*E28+'Reference Standards'!$L$5,IF(E28&lt;12,'Reference Standards'!$N$4*E28+'Reference Standards'!$N$5,'Reference Standards'!$M$4*E28+'Reference Standards'!$M$5)),2))))))</f>
        <v>0.8</v>
      </c>
      <c r="G28" s="180">
        <f>IFERROR(AVERAGE(F28),"")</f>
        <v>0.8</v>
      </c>
      <c r="H28" s="411">
        <f>IFERROR(ROUND(AVERAGE(G28:G30),2),"")</f>
        <v>0.8</v>
      </c>
      <c r="I28" s="415" t="str">
        <f>IF(H28="","",IF(H28&gt;0.69,"Functioning",IF(H28&gt;0.29,"Functioning At Risk",IF(H28&gt;-1,"Not Functioning"))))</f>
        <v>Functioning</v>
      </c>
      <c r="J28" s="429"/>
      <c r="K28" s="11"/>
      <c r="N28" s="10"/>
    </row>
    <row r="29" spans="1:14" s="5" customFormat="1" ht="15.75" x14ac:dyDescent="0.25">
      <c r="A29" s="410"/>
      <c r="B29" s="176" t="s">
        <v>170</v>
      </c>
      <c r="C29" s="175" t="s">
        <v>177</v>
      </c>
      <c r="D29" s="178"/>
      <c r="E29" s="49"/>
      <c r="F29" s="231">
        <f>IF(G4="",0.8,(IF(AND(E29="",G4="Yes"),0.9,IF(D2="2A",IF(E29&lt;=5.3,0,IF(E29&gt;=8.79,1,ROUND(E29*'Reference Standards'!$L$9+'Reference Standards'!$L$10,2))),IF(D2=7,IF(E29&lt;=0.8,0,IF(E29&gt;=1.25,1,ROUND(E29*'Reference Standards'!$N$9+'Reference Standards'!$N$10,2))),IF(OR(D2="2B", D2="2Bd",D2="2C"),IF(E29&lt;=3.8,0,(IF(E29&gt;=6.3,1,ROUND(E29*'Reference Standards'!$M$9+'Reference Standards'!$M$10,2))))))))))</f>
        <v>0.8</v>
      </c>
      <c r="G29" s="181">
        <f>IFERROR(AVERAGE(F29),"")</f>
        <v>0.8</v>
      </c>
      <c r="H29" s="412"/>
      <c r="I29" s="416"/>
      <c r="J29" s="429"/>
      <c r="K29" s="11"/>
      <c r="N29" s="10"/>
    </row>
    <row r="30" spans="1:14" ht="15.75" x14ac:dyDescent="0.25">
      <c r="A30" s="410"/>
      <c r="B30" s="174" t="s">
        <v>172</v>
      </c>
      <c r="C30" s="175" t="s">
        <v>178</v>
      </c>
      <c r="D30" s="179"/>
      <c r="E30" s="101"/>
      <c r="F30" s="182">
        <f>IF(G4="",0.8,(IF(AND(E30="",G4="Yes"),0.9,IF(D2="2A",IF(E30&gt;=12.5,0,IF(E30&lt;=7.5,1,ROUND(E30*'Reference Standards'!$L$15+'Reference Standards'!$L$16,2))),IF(OR(D2="2B",D2="2Bd",D2="2C"),IF(D3="North",IF(E30&gt;=18.8,0,IF(E30&lt;=11.3,1,ROUND(E30*'Reference Standards'!$M$15+'Reference Standards'!$M$16,2))),IF(D3="Central",(IF(E30&gt;=37.5,0,IF(E30&lt;=22.5,1,ROUND(E30*'Reference Standards'!$N$15+'Reference Standards'!$N$16,2)))),IF(E30&gt;=81.2,0,(IF(E30&lt;=48.7,1,ROUND(E30*'Reference Standards'!$O$15+'Reference Standards'!$O$16,2)))))))))))</f>
        <v>0.8</v>
      </c>
      <c r="G30" s="182">
        <f>IFERROR(AVERAGE(F30),"")</f>
        <v>0.8</v>
      </c>
      <c r="H30" s="412"/>
      <c r="I30" s="416"/>
      <c r="J30" s="429"/>
      <c r="K30" s="11"/>
      <c r="M30" s="5"/>
      <c r="N30" s="10"/>
    </row>
    <row r="31" spans="1:14" ht="15.75" x14ac:dyDescent="0.25">
      <c r="A31" s="445" t="s">
        <v>50</v>
      </c>
      <c r="B31" s="128" t="s">
        <v>105</v>
      </c>
      <c r="C31" s="40" t="s">
        <v>179</v>
      </c>
      <c r="D31" s="41"/>
      <c r="E31" s="44"/>
      <c r="F31" s="99">
        <f>IF(G4="",0.8,(IF(AND(E30="",G4="Yes"),0.9,IF(D5="Northern Forest Rivers",IF(E31&lt;=38.2,0,IF(E31&gt;=77,1,ROUND(IF(E31&lt;49, 'Reference Standards'!$Q$5*E31+'Reference Standards'!$Q$6, IF(E31&lt;59.8, 'Reference Standards'!$R$5*E31+'Reference Standards'!$R$6, 'Reference Standards'!$S$5*E31+'Reference Standards'!$S$6)),2))),   IF(D5="Northern Forest Streams Riffle-run",IF(E31&lt;40.4,0,IF(E31&gt;=82,1,ROUND(IF(E31&lt;53, 'Reference Standards'!$T$5*E31+'Reference Standards'!$T$6, IF(E31&lt;59.8, 'Reference Standards'!$U$5*E31+'Reference Standards'!$U$6, 'Reference Standards'!$V$5*E31+'Reference Standards'!$V$6) ),2))), IF(D5="Northern Forest Streams Glide-pool",IF(E31&lt;=37,0,IF(E31&gt;=76,1,ROUND(IF(E31&lt;51, 'Reference Standards'!$W$5*E31+'Reference Standards'!$W$6, IF(E31&lt;65.6, 'Reference Standards'!$X$5*E31+'Reference Standards'!$X$6, 'Reference Standards'!$Y$5*E31+'Reference Standards'!$Y$6) ),2))), IF(D5="Northern Coldwater",IF(E31&lt;19.6,0,IF(E31&gt;=52,1,ROUND(IF(E31&lt;32, 'Reference Standards'!$Z$5*E31+'Reference Standards'!$Z$6, IF(E31&lt;44.4,'Reference Standards'!$AA$5*E31+'Reference Standards'!$AA$6, 'Reference Standards'!$AB$5*E31+'Reference Standards'!$AB$6) ),2))), IF(D5="Southern Forest Streams Riffle-run", IF(E31&lt;24,0,IF(E31&gt;=62,1,ROUND(IF(E31&lt;37, 'Reference Standards'!$Q$11*E31+'Reference Standards'!$Q$12, IF(E31&lt;49.6,'Reference Standards'!$R$11*E31+'Reference Standards'!$R$12,'Reference Standards'!$S$11*E31+'Reference Standards'!$S$12)),2))), IF(D5="Southern Forest Streams Glide-pool", IF(E31&lt;29.4,0,IF(E31&gt;=65,1,ROUND(IF(E31&lt;43,'Reference Standards'!$T$11*E31+'Reference Standards'!$T$12, IF(E31&lt;56.6, 'Reference Standards'!$U$11*E31+'Reference Standards'!$U$12,'Reference Standards'!$V$11*E31+'Reference Standards'!$V$12)),2))), IF(D5="Southern Coldwater", IF(E31&lt;29.2,0,IF(E31&gt;=72,1,ROUND(IF(E31&lt;43, 'Reference Standards'!$W$11*E31+'Reference Standards'!$W$12, IF(E31&lt;56.8,'Reference Standards'!$X$11*E31+'Reference Standards'!$X$12, 'Reference Standards'!$Y$11*E31+'Reference Standards'!$Y$12)),2))), IF(D5="Prairie Forest Rivers", IF(E31&lt;20.2,0,IF(E31&gt;=62,1,ROUND(IF(E31&lt;31,'Reference Standards'!$Q$17*E31+'Reference Standards'!$Q$18, IF(E31&lt;41.8,'Reference Standards'!$R$17*E31+'Reference Standards'!$R$18,'Reference Standards'!$S$17*E31+'Reference Standards'!$S$18)),2))), IF(D5="Prairie Streams Glide-Pool", IF(E31&lt;27.4,0,IF(E31&gt;=69,1,ROUND(IF(E31&lt;41,'Reference Standards'!$T$17*E31+'Reference Standards'!$T$18, IF(E31&lt;54.6,'Reference Standards'!$U$17*E31+'Reference Standards'!$U$18, 'Reference Standards'!$V$17*E31+'Reference Standards'!$V$18)),2))) ))))))))))))</f>
        <v>0.8</v>
      </c>
      <c r="G31" s="129">
        <f>IFERROR(AVERAGE(F31),"")</f>
        <v>0.8</v>
      </c>
      <c r="H31" s="450">
        <f>IFERROR(ROUND(AVERAGE(G31:G32),2),"")</f>
        <v>0.8</v>
      </c>
      <c r="I31" s="414" t="str">
        <f>IF(H31="","",IF(H31&gt;0.69,"Functioning",IF(H31&gt;0.29,"Functioning At Risk",IF(H31&gt;-1,"Not Functioning"))))</f>
        <v>Functioning</v>
      </c>
      <c r="J31" s="429"/>
      <c r="K31" s="11"/>
      <c r="M31" s="5"/>
      <c r="N31" s="10"/>
    </row>
    <row r="32" spans="1:14" s="5" customFormat="1" ht="15.75" x14ac:dyDescent="0.25">
      <c r="A32" s="446"/>
      <c r="B32" s="130" t="s">
        <v>54</v>
      </c>
      <c r="C32" s="183" t="s">
        <v>180</v>
      </c>
      <c r="D32" s="184"/>
      <c r="E32" s="101"/>
      <c r="F32" s="99">
        <f>IF(G4="",0.8,(IF(AND(E32="",G4="Yes"),0.9,IF(G2="Northern Rivers",IF(E32&lt;29,0,IF(E32&gt;=66,1,ROUND(IF(E32&lt;38, 'Reference Standards'!$Q$23*E32+'Reference Standards'!$Q$24, IF(E32&lt;47, 'Reference Standards'!$R$23*E32+'Reference Standards'!$R$24, 'Reference Standards'!$S$23*E32+'Reference Standards'!$S$24)),2))),   IF(G2="Northern Streams",IF(E32&lt;35,0,IF(E32&gt;=61,1,ROUND(IF(E32&lt;47, 'Reference Standards'!$T$23*E32+'Reference Standards'!$T$24, IF(E32&lt;56, 'Reference Standards'!$U$23*E32+'Reference Standards'!$U$24, 'Reference Standards'!$V$23*E32+'Reference Standards'!$V$24) ),2))), IF(G2="Northern Headwaters",IF(E32&lt;23,0,IF(E32&gt;=68,1,ROUND(IF(E32&lt;42, 'Reference Standards'!$W$23*E32+'Reference Standards'!$W$24, IF(E32&lt;56, 'Reference Standards'!$X$23*E32+'Reference Standards'!$X$24, 'Reference Standards'!$Y$23*E32+'Reference Standards'!$Y$24) ),2))), IF(G2="Northern Coldwater",IF(E32&lt;25,0,IF(E32&gt;=60,1,ROUND(IF(E32&lt;35, 'Reference Standards'!$Z$23*E32+'Reference Standards'!$Z$24, IF(E32&lt;45, 'Reference Standards'!$AA$23*E32+'Reference Standards'!$AA$24, 'Reference Standards'!$AB$23*E32+'Reference Standards'!$AB$24) ),2))), IF(G2="Southern River", IF(E32&lt;38,0,IF(E32&gt;=71,1,ROUND(IF(E32&lt;49, 'Reference Standards'!$Q$29*E32+'Reference Standards'!$Q$30, IF(E32&lt;60,'Reference Standards'!$R$29*E32+'Reference Standards'!$R$30, 'Reference Standards'!$S$29*E32+'Reference Standards'!$S$30)),2))), IF(G2="Southern Streams", IF(E32&lt;35,0,IF(E32&gt;=66,1,ROUND(IF(E32&lt;50,'Reference Standards'!$T$29*E32+'Reference Standards'!$T$30, IF(E32&lt;59, 'Reference Standards'!$U$29*E32+'Reference Standards'!$U$30, 'Reference Standards'!$V$29*E32+'Reference Standards'!$V$30)),2))), IF(G2="Southern Headwaters", IF(E32&lt;33,0,IF(E32&gt;=74,1,ROUND(IF(E32&lt;55, 'Reference Standards'!$W$29*E32+'Reference Standards'!$W$30, IF(E32&lt;62, 'Reference Standards'!$X$29*E32+'Reference Standards'!$X$30, 'Reference Standards'!$Y$29*E32+'Reference Standards'!$Y$30)),2))), IF(G2="Southern Coldwater", IF(E32&lt;37,0,IF(E32&gt;=82,1,ROUND(IF(E32&lt;50, 'Reference Standards'!$Z$29*E32+'Reference Standards'!$Z$30, IF(E32&lt;63,'Reference Standards'!$AA$29*E32+'Reference Standards'!$AA$30,'Reference Standards'!$AB$29*E32+'Reference Standards'!$AB$30)),2))), IF(G2="Low Gradient", IF(E32&lt;15,0,IF(E32&gt;=70,1,ROUND(IF(E32&lt;42, 'Reference Standards'!$Q$34*E32+'Reference Standards'!$Q$35, IF(E32&lt;52, 'Reference Standards'!$R$34*E32+'Reference Standards'!$R$35, 'Reference Standards'!$S$34*E32+'Reference Standards'!$S$35)),2))) ))))))))))))</f>
        <v>0.8</v>
      </c>
      <c r="G32" s="129">
        <f>IFERROR(AVERAGE(F32),"")</f>
        <v>0.8</v>
      </c>
      <c r="H32" s="450"/>
      <c r="I32" s="414"/>
      <c r="J32" s="429"/>
      <c r="K32" s="11"/>
      <c r="N32" s="10"/>
    </row>
    <row r="33" spans="1:11" ht="4.1500000000000004" customHeight="1" x14ac:dyDescent="0.25">
      <c r="J33" s="4"/>
      <c r="K33" s="11"/>
    </row>
    <row r="34" spans="1:11" ht="4.1500000000000004" customHeight="1" x14ac:dyDescent="0.25">
      <c r="H34" s="5"/>
      <c r="J34" s="5"/>
      <c r="K34" s="11"/>
    </row>
    <row r="35" spans="1:11" ht="21" customHeight="1" x14ac:dyDescent="0.25">
      <c r="A35" s="406" t="s">
        <v>310</v>
      </c>
      <c r="B35" s="407"/>
      <c r="C35" s="407"/>
      <c r="D35" s="407"/>
      <c r="E35" s="407"/>
      <c r="F35" s="407"/>
      <c r="G35" s="407"/>
      <c r="H35" s="407"/>
      <c r="I35" s="407"/>
      <c r="J35" s="408"/>
    </row>
    <row r="36" spans="1:11" ht="15.6" customHeight="1" x14ac:dyDescent="0.25">
      <c r="A36" s="122" t="s">
        <v>68</v>
      </c>
      <c r="B36" s="101" t="s">
        <v>291</v>
      </c>
      <c r="C36" s="122" t="s">
        <v>195</v>
      </c>
      <c r="D36" s="48"/>
      <c r="E36" s="165" t="s">
        <v>226</v>
      </c>
      <c r="F36" s="166"/>
      <c r="G36" s="48"/>
      <c r="H36" s="404" t="s">
        <v>137</v>
      </c>
      <c r="I36" s="405"/>
      <c r="J36" s="101"/>
    </row>
    <row r="37" spans="1:11" ht="15.6" customHeight="1" x14ac:dyDescent="0.25">
      <c r="A37" s="122" t="s">
        <v>69</v>
      </c>
      <c r="B37" s="48"/>
      <c r="C37" s="122" t="s">
        <v>205</v>
      </c>
      <c r="D37" s="48"/>
      <c r="E37" s="413" t="s">
        <v>92</v>
      </c>
      <c r="F37" s="413"/>
      <c r="G37" s="48"/>
      <c r="H37" s="404" t="s">
        <v>138</v>
      </c>
      <c r="I37" s="405"/>
      <c r="J37" s="101"/>
    </row>
    <row r="38" spans="1:11" ht="15.75" x14ac:dyDescent="0.25">
      <c r="A38" s="122" t="s">
        <v>136</v>
      </c>
      <c r="B38" s="48"/>
      <c r="C38" s="122" t="s">
        <v>206</v>
      </c>
      <c r="D38" s="48"/>
      <c r="E38" s="413" t="s">
        <v>267</v>
      </c>
      <c r="F38" s="413"/>
      <c r="G38" s="48"/>
      <c r="H38" s="404" t="s">
        <v>139</v>
      </c>
      <c r="I38" s="405"/>
      <c r="J38" s="101"/>
    </row>
    <row r="39" spans="1:11" ht="15.75" x14ac:dyDescent="0.25">
      <c r="A39" s="106" t="s">
        <v>261</v>
      </c>
      <c r="B39" s="48"/>
      <c r="C39" s="122" t="s">
        <v>207</v>
      </c>
      <c r="D39" s="48"/>
      <c r="E39" s="225" t="s">
        <v>260</v>
      </c>
      <c r="F39" s="226"/>
      <c r="G39" s="48"/>
      <c r="H39" s="404" t="s">
        <v>140</v>
      </c>
      <c r="I39" s="405"/>
      <c r="J39" s="101"/>
    </row>
    <row r="40" spans="1:11" ht="7.9" customHeight="1" x14ac:dyDescent="0.25">
      <c r="A40" s="1"/>
      <c r="B40" s="4"/>
      <c r="C40" s="4"/>
      <c r="D40" s="4"/>
      <c r="E40" s="4"/>
      <c r="F40" s="4"/>
      <c r="G40" s="4"/>
      <c r="H40" s="12"/>
      <c r="I40" s="104"/>
      <c r="J40" s="12"/>
    </row>
    <row r="41" spans="1:11" ht="21" x14ac:dyDescent="0.35">
      <c r="A41" s="417" t="s">
        <v>48</v>
      </c>
      <c r="B41" s="418"/>
      <c r="C41" s="418"/>
      <c r="D41" s="418"/>
      <c r="E41" s="418"/>
      <c r="F41" s="419"/>
      <c r="G41" s="420" t="s">
        <v>14</v>
      </c>
      <c r="H41" s="420"/>
      <c r="I41" s="420"/>
      <c r="J41" s="420"/>
    </row>
    <row r="42" spans="1:11" ht="15.75" x14ac:dyDescent="0.25">
      <c r="A42" s="46" t="s">
        <v>1</v>
      </c>
      <c r="B42" s="46" t="s">
        <v>2</v>
      </c>
      <c r="C42" s="421" t="s">
        <v>3</v>
      </c>
      <c r="D42" s="422"/>
      <c r="E42" s="46" t="s">
        <v>12</v>
      </c>
      <c r="F42" s="45" t="s">
        <v>13</v>
      </c>
      <c r="G42" s="46" t="s">
        <v>15</v>
      </c>
      <c r="H42" s="46" t="s">
        <v>16</v>
      </c>
      <c r="I42" s="105" t="s">
        <v>16</v>
      </c>
      <c r="J42" s="46" t="s">
        <v>110</v>
      </c>
    </row>
    <row r="43" spans="1:11" s="5" customFormat="1" ht="15.75" x14ac:dyDescent="0.25">
      <c r="A43" s="427" t="s">
        <v>51</v>
      </c>
      <c r="B43" s="427" t="s">
        <v>78</v>
      </c>
      <c r="C43" s="167" t="s">
        <v>162</v>
      </c>
      <c r="D43" s="169"/>
      <c r="E43" s="44"/>
      <c r="F43" s="28">
        <f>IF(G39="Yes","",(IF(G38="",0.8,(IF(AND(E43="",G38="Yes"),0.9,(IF(AND(E43="",G38="No"),0.8,IF(E43&gt;=80,0,IF(E43&lt;=40,1,IF(E43&gt;=68,ROUND(E43*'Reference Standards'!$B$4+'Reference Standards'!$B$5,2),ROUND(E43*'Reference Standards'!$C$4+'Reference Standards'!$C$5,2)))))))))))</f>
        <v>0.8</v>
      </c>
      <c r="G43" s="401">
        <f>IFERROR(AVERAGE(F43:F45),"")</f>
        <v>0.8</v>
      </c>
      <c r="H43" s="401">
        <f>IFERROR(ROUND(AVERAGE(G43:G45),2),"")</f>
        <v>0.8</v>
      </c>
      <c r="I43" s="414" t="str">
        <f>IF(H43="","",IF(H43&gt;0.69,"Functioning",IF(H43&gt;0.29,"Functioning At Risk",IF(H43&gt;-1,"Not Functioning"))))</f>
        <v>Functioning</v>
      </c>
      <c r="J43" s="429">
        <f>IF(AND(H43="",H46="",H48="",H62="",H65=""),"",ROUND((IF(H43="",0,H43)*0.2)+(IF(H46="",0,H46)*0.2)+(IF(H48="",0,H48)*0.2)+(IF(H62="",0,H62)*0.2)+(IF(H65="",0,H65)*0.2),2))</f>
        <v>0.8</v>
      </c>
    </row>
    <row r="44" spans="1:11" ht="15.75" customHeight="1" x14ac:dyDescent="0.25">
      <c r="A44" s="428"/>
      <c r="B44" s="428"/>
      <c r="C44" s="168" t="s">
        <v>164</v>
      </c>
      <c r="D44" s="170"/>
      <c r="E44" s="49"/>
      <c r="F44" s="228" t="str">
        <f>IF(G39="No","",IF(E44="","",  IF(E44&gt;0.95,0,IF(E44&lt;=0.02,1,ROUND(IF(E44&gt;0.26,'Reference Standards'!$B$10*E44+'Reference Standards'!$B$11, IF(E44&lt;0.05, 'Reference Standards'!$D$10*E44+'Reference Standards'!$D$11, 'Reference Standards'!$C$10*E44+'Reference Standards'!$C$11)),2))) ))</f>
        <v/>
      </c>
      <c r="G44" s="402"/>
      <c r="H44" s="402"/>
      <c r="I44" s="414"/>
      <c r="J44" s="429"/>
    </row>
    <row r="45" spans="1:11" ht="15.75" x14ac:dyDescent="0.25">
      <c r="A45" s="428"/>
      <c r="B45" s="442"/>
      <c r="C45" s="171" t="s">
        <v>166</v>
      </c>
      <c r="D45" s="172"/>
      <c r="E45" s="49"/>
      <c r="F45" s="227">
        <f>IF(G39="Yes","",(IF(G38="",0.8,(IF(AND(E45="",G38="Yes"),0.9,(IF(AND(E45="",G38="No"),0.8,IF(E45&gt;3.22,0,IF(E45&lt;0,"",ROUND('Reference Standards'!$B$15*E45+'Reference Standards'!$B$16,2))))))))))</f>
        <v>0.8</v>
      </c>
      <c r="G45" s="403"/>
      <c r="H45" s="403"/>
      <c r="I45" s="414"/>
      <c r="J45" s="429"/>
    </row>
    <row r="46" spans="1:11" ht="15.75" x14ac:dyDescent="0.25">
      <c r="A46" s="432" t="s">
        <v>4</v>
      </c>
      <c r="B46" s="434" t="s">
        <v>5</v>
      </c>
      <c r="C46" s="17" t="s">
        <v>6</v>
      </c>
      <c r="D46" s="17"/>
      <c r="E46" s="44"/>
      <c r="F46" s="96">
        <f>IF(G38="",0.8,(IF(AND(E46="",G38="Yes"),0.9,(IF(AND(E46="",G38="No"),0.8,ROUND(IF(E46&gt;1.6,0,IF(E46&lt;=1,1,E46^2*'Reference Standards'!$F$2+E46*'Reference Standards'!$F$3+'Reference Standards'!$F$4)),2))))))</f>
        <v>0.8</v>
      </c>
      <c r="G46" s="435">
        <f>IFERROR(AVERAGE(F46:F47),"")</f>
        <v>0.8</v>
      </c>
      <c r="H46" s="436">
        <f>IFERROR(ROUND(AVERAGE(G46),2),"")</f>
        <v>0.8</v>
      </c>
      <c r="I46" s="438" t="str">
        <f>IF(H46="","",IF(H46&gt;0.69,"Functioning",IF(H46&gt;0.29,"Functioning At Risk",IF(H46&gt;-1,"Not Functioning"))))</f>
        <v>Functioning</v>
      </c>
      <c r="J46" s="429"/>
    </row>
    <row r="47" spans="1:11" ht="15.75" x14ac:dyDescent="0.25">
      <c r="A47" s="433"/>
      <c r="B47" s="434"/>
      <c r="C47" s="17" t="s">
        <v>7</v>
      </c>
      <c r="D47" s="17"/>
      <c r="E47" s="50"/>
      <c r="F47" s="96">
        <f>IF(G38="",0.8,(IF(AND(E47="",G38="Yes"),0.9,(IF(AND(E47="",G38="No"),0.8,(IF(OR(B38="A",B38="B",B38="Bc",B38="Ba"),IF(E47&lt;1.2,0,IF(E47&gt;=2.2,1,ROUND(IF(E47&lt;1.4,E47*'Reference Standards'!$F$13+'Reference Standards'!$F$14,E47*'Reference Standards'!$G$13+'Reference Standards'!$G$14),2))),IF(OR(B38="C",B38="Cb",B38="E"),IF(E47&lt;2,0,IF(E47&gt;=5,1,ROUND(IF(E47&lt;2.4,E47*'Reference Standards'!$G$8+'Reference Standards'!$G$9,E47*'Reference Standards'!$F$8+'Reference Standards'!$F$9),2)))))))))))</f>
        <v>0.8</v>
      </c>
      <c r="G47" s="435"/>
      <c r="H47" s="437"/>
      <c r="I47" s="439"/>
      <c r="J47" s="429"/>
    </row>
    <row r="48" spans="1:11" ht="15.75" x14ac:dyDescent="0.25">
      <c r="A48" s="398" t="s">
        <v>21</v>
      </c>
      <c r="B48" s="440" t="s">
        <v>22</v>
      </c>
      <c r="C48" s="21" t="s">
        <v>103</v>
      </c>
      <c r="D48" s="69"/>
      <c r="E48" s="44"/>
      <c r="F48" s="229" t="str">
        <f>IF(E48="","",IF(E48&gt;=660,1,IF(E48&lt;=430,ROUND('Reference Standards'!$I$4*E48+'Reference Standards'!$I$5,2),ROUND('Reference Standards'!$J$4*E48+'Reference Standards'!$J$5,2))))</f>
        <v/>
      </c>
      <c r="G48" s="423">
        <f>IFERROR(AVERAGE(F48:F49),"")</f>
        <v>0.8</v>
      </c>
      <c r="H48" s="447">
        <f>IFERROR(ROUND(AVERAGE(G48:G61),2),"")</f>
        <v>0.8</v>
      </c>
      <c r="I48" s="449" t="str">
        <f>IF(H48="","",IF(H48&gt;0.69,"Functioning",IF(H48&gt;0.29,"Functioning At Risk",IF(H48&gt;-1,"Not Functioning"))))</f>
        <v>Functioning</v>
      </c>
      <c r="J48" s="429"/>
    </row>
    <row r="49" spans="1:10" ht="15.75" x14ac:dyDescent="0.25">
      <c r="A49" s="399"/>
      <c r="B49" s="441"/>
      <c r="C49" s="24" t="s">
        <v>99</v>
      </c>
      <c r="D49" s="70"/>
      <c r="E49" s="50"/>
      <c r="F49" s="98">
        <f>IF(ISNUMBER(E48),"",IF(G38="",0.8,(IF(AND(E49="",G38="Yes"),0.9,(IF(AND(E49="",G38="No"),0.8,IF(E49&gt;=28,1,ROUND(IF(E49&lt;=13,'Reference Standards'!$I$9*E49,'Reference Standards'!$J$9*E49+'Reference Standards'!$J$10),2))))))))</f>
        <v>0.8</v>
      </c>
      <c r="G49" s="426"/>
      <c r="H49" s="447"/>
      <c r="I49" s="449"/>
      <c r="J49" s="429"/>
    </row>
    <row r="50" spans="1:10" ht="15.75" x14ac:dyDescent="0.25">
      <c r="A50" s="399"/>
      <c r="B50" s="399" t="s">
        <v>126</v>
      </c>
      <c r="C50" s="19" t="s">
        <v>43</v>
      </c>
      <c r="D50" s="19"/>
      <c r="E50" s="49"/>
      <c r="F50" s="29">
        <f>IF(G38="",0.8,(IF(AND(E50="",G38="Yes"),0.9,(IF(AND(E50="",G38="No"),0.8,IF(OR(E50="Ex/Ex",E50="Ex/VH",E50="Ex/H",E50="Ex/M",E50="VH/Ex",E50="VH/VH", E50="H/Ex",E50="H/VH"),0, IF(OR(E50="M/Ex"),0.1,IF(OR(E50="VH/H",E50="VH/M",E50="H/H",E50="H/M", E50="M/VH"),0.2, IF(OR(E50="Ex/VL",E50="Ex/L", E50="M/H"),0.3, IF(OR(E50="VH/L",E50="H/L"),0.4, IF(OR(E50="VH/VL",E50="H/VL",E50="M/M"),0.5, IF(OR(E50="M/L",E50="L/Ex"),0.6, IF(OR(E50="M/VL",E50="L/VH", E50="L/H",E50="L/M",E50="L/L",E50="L/VL",LEFT(E50)="V"),1)))))))))))))</f>
        <v>0.8</v>
      </c>
      <c r="G50" s="423">
        <f>IFERROR(AVERAGE(F50:F52),"")</f>
        <v>0.80000000000000016</v>
      </c>
      <c r="H50" s="448"/>
      <c r="I50" s="449"/>
      <c r="J50" s="429"/>
    </row>
    <row r="51" spans="1:10" s="5" customFormat="1" ht="15.75" x14ac:dyDescent="0.25">
      <c r="A51" s="399"/>
      <c r="B51" s="399"/>
      <c r="C51" s="20" t="s">
        <v>57</v>
      </c>
      <c r="D51" s="173"/>
      <c r="E51" s="243"/>
      <c r="F51" s="29">
        <f>IF(G38="",0.8,(IF(AND(E51="",G38="Yes"),0.9,(IF(AND(E51="",G38="No"),0.8,ROUND(IF(E51&gt;=75,0,IF(E51&lt;=5,1,IF(E51&gt;10,E51*'Reference Standards'!$I$14+'Reference Standards'!$I$15,'Reference Standards'!$J$14*E51+'Reference Standards'!$J$15))),2))))))</f>
        <v>0.8</v>
      </c>
      <c r="G51" s="424"/>
      <c r="H51" s="448"/>
      <c r="I51" s="449"/>
      <c r="J51" s="429"/>
    </row>
    <row r="52" spans="1:10" ht="15.75" x14ac:dyDescent="0.25">
      <c r="A52" s="399"/>
      <c r="B52" s="400"/>
      <c r="C52" s="20" t="s">
        <v>125</v>
      </c>
      <c r="D52" s="20"/>
      <c r="E52" s="50"/>
      <c r="F52" s="98">
        <f>IF(G38="",0.8,(IF(AND(E52="",G38="Yes"),0.9,(IF(AND(E52="",G38="No"),0.8,IF(E52&gt;=50,0,ROUND(E52*'Reference Standards'!$I$18+'Reference Standards'!$I$19,2)))))))</f>
        <v>0.8</v>
      </c>
      <c r="G52" s="426"/>
      <c r="H52" s="448"/>
      <c r="I52" s="449"/>
      <c r="J52" s="429"/>
    </row>
    <row r="53" spans="1:10" s="5" customFormat="1" ht="15.75" x14ac:dyDescent="0.25">
      <c r="A53" s="399"/>
      <c r="B53" s="18" t="s">
        <v>70</v>
      </c>
      <c r="C53" s="26" t="s">
        <v>80</v>
      </c>
      <c r="D53" s="68"/>
      <c r="E53" s="50"/>
      <c r="F53" s="27" t="str">
        <f>IF(E53="","",IF(E53&gt;=50,0,ROUND(E53*'Reference Standards'!$I$22+'Reference Standards'!$I$23,2)))</f>
        <v/>
      </c>
      <c r="G53" s="27" t="str">
        <f>IFERROR(AVERAGE(F53),"")</f>
        <v/>
      </c>
      <c r="H53" s="448"/>
      <c r="I53" s="449"/>
      <c r="J53" s="429"/>
    </row>
    <row r="54" spans="1:10" s="5" customFormat="1" ht="15.75" x14ac:dyDescent="0.25">
      <c r="A54" s="399"/>
      <c r="B54" s="398" t="s">
        <v>45</v>
      </c>
      <c r="C54" s="25" t="s">
        <v>46</v>
      </c>
      <c r="D54" s="25"/>
      <c r="E54" s="53"/>
      <c r="F54" s="230">
        <f>IF(G38="",0.8,(IF(AND(E54="",G38="Yes"),0.9,(IF(AND(E54="",G38="No"),0.8,ROUND( IF(OR(LEFT(B38)="C",B38="E"), IF(OR(E54&lt;=1,E54&gt;=9),0,IF(AND(E54&gt;=3.5,E54&lt;=6),1,IF(E54&lt;3.5, E54*'Reference Standards'!$I$37+'Reference Standards'!$I$38, E54*'Reference Standards'!$J$37+'Reference Standards'!$J$38))),   IF(OR(B38="A",(B38)="B", (B38)="Ba"), IF(E54&gt;=6.5,0, IF(E54&lt;=4, 1, E54^2*'Reference Standards'!$I$26+E54*'Reference Standards'!$I$27+'Reference Standards'!$I$28)), IF(B38="Bc",  IF(E54&gt;=8,0, IF(E54&lt;=5, 1, E54^2*'Reference Standards'!$I$31+E54*'Reference Standards'!$I$32+'Reference Standards'!$I$33))))),2))))))</f>
        <v>0.8</v>
      </c>
      <c r="G54" s="430">
        <f>IFERROR(AVERAGE(F54:F57),"")</f>
        <v>0.80000000000000016</v>
      </c>
      <c r="H54" s="448"/>
      <c r="I54" s="449"/>
      <c r="J54" s="429"/>
    </row>
    <row r="55" spans="1:10" s="5" customFormat="1" ht="15.75" x14ac:dyDescent="0.25">
      <c r="A55" s="399"/>
      <c r="B55" s="399"/>
      <c r="C55" s="19" t="s">
        <v>47</v>
      </c>
      <c r="D55" s="19"/>
      <c r="E55" s="52"/>
      <c r="F55" s="29">
        <f>IF(G38="",0.8,(IF(AND(E55="",G38="Yes"),0.9,(IF(AND(E55="",G38="No"),0.8,ROUND(  IF(E55&lt;=1.1,0, IF(E55&gt;=3,1, IF(E55&lt;2, E55^2*'Reference Standards'!$I$42+  E55*'Reference Standards'!$I$43 + 'Reference Standards'!$I$44,      E55*'Reference Standards'!$J$43+'Reference Standards'!$J$44))),2))))))</f>
        <v>0.8</v>
      </c>
      <c r="G55" s="425"/>
      <c r="H55" s="448"/>
      <c r="I55" s="449"/>
      <c r="J55" s="429"/>
    </row>
    <row r="56" spans="1:10" ht="15.75" x14ac:dyDescent="0.25">
      <c r="A56" s="399"/>
      <c r="B56" s="399"/>
      <c r="C56" s="19" t="s">
        <v>104</v>
      </c>
      <c r="D56" s="19"/>
      <c r="E56" s="52"/>
      <c r="F56" s="269">
        <f>IF(G38="",0.8,(IF(AND(E56="",G38="Yes"),0.9,(IF(AND(E56="",G38="No"),0.8,IF(OR(B38="A",LEFT(B38,1)="B"),IF(OR(E56&lt;=20,E56&gt;=90),0,IF(AND(E56&gt;=50,E56&lt;=60),1,IF(E56&lt;50,ROUND(E56*'Reference Standards'!$I$48+'Reference Standards'!$I$49,2),ROUND(E56*'Reference Standards'!$J$48+'Reference Standards'!$J$49,2)))),IF(OR(LEFT(B38)="C",B38="E"),IF(OR(E56&lt;=20,E56&gt;=85),0,IF(AND(E56&lt;=65,E56&gt;=45),1,IF(E56&lt;45,ROUND(E56*'Reference Standards'!$I$53+'Reference Standards'!$I$54,2),ROUND(E56*'Reference Standards'!$J$53+'Reference Standards'!$J$54,2)))))))))))</f>
        <v>0.8</v>
      </c>
      <c r="G56" s="425"/>
      <c r="H56" s="448"/>
      <c r="I56" s="449"/>
      <c r="J56" s="429"/>
    </row>
    <row r="57" spans="1:10" ht="15.75" x14ac:dyDescent="0.25">
      <c r="A57" s="399"/>
      <c r="B57" s="400"/>
      <c r="C57" s="23" t="s">
        <v>88</v>
      </c>
      <c r="D57" s="19"/>
      <c r="E57" s="54"/>
      <c r="F57" s="270" t="str">
        <f>IF(E57="","",IF(E57&gt;=1.6,0,IF(E57&lt;=1,1,ROUND('Reference Standards'!$I$57*E57^3+'Reference Standards'!$I$58*E57^2+'Reference Standards'!$I$59*E57+'Reference Standards'!$I$60,2))))</f>
        <v/>
      </c>
      <c r="G57" s="431"/>
      <c r="H57" s="448"/>
      <c r="I57" s="449"/>
      <c r="J57" s="429"/>
    </row>
    <row r="58" spans="1:10" ht="15.75" x14ac:dyDescent="0.25">
      <c r="A58" s="399"/>
      <c r="B58" s="398" t="s">
        <v>44</v>
      </c>
      <c r="C58" s="21" t="s">
        <v>182</v>
      </c>
      <c r="D58" s="69"/>
      <c r="E58" s="22"/>
      <c r="F58" s="97">
        <f>IF(G38="",0.8,(IF(AND(E58="",G38="Yes"),0.9,(IF(AND(E58="",G38="No"),0.8,IF(G37="Unconfined Alluvial",IF(E58&gt;=100,1,IF(E58&lt;30,0,ROUND('Reference Standards'!$I$64*E58+'Reference Standards'!$I$65,2))),IF(OR(G37="Confined Alluvial",G37="Colluvial/V-Shaped"),(IF(E58&gt;=100,1,IF(E58&lt;60,0,ROUND('Reference Standards'!$J$64*E58+'Reference Standards'!$J$65,2)))))))))))</f>
        <v>0.8</v>
      </c>
      <c r="G58" s="423">
        <f>IFERROR(AVERAGE(F58:F61),"")</f>
        <v>0.80000000000000016</v>
      </c>
      <c r="H58" s="448"/>
      <c r="I58" s="449"/>
      <c r="J58" s="429"/>
    </row>
    <row r="59" spans="1:10" ht="15.75" x14ac:dyDescent="0.25">
      <c r="A59" s="399"/>
      <c r="B59" s="399"/>
      <c r="C59" s="23" t="s">
        <v>183</v>
      </c>
      <c r="D59" s="173"/>
      <c r="E59" s="244"/>
      <c r="F59" s="29">
        <f>IF(G38="",0.8,(IF(AND(E59="",G38="Yes"),0.9,(IF(AND(E59="",G38="No"),0.8,IF(B39="Yes",IF(E59&lt;=50,0,IF(E59&gt;=80,1,ROUND('Reference Standards'!$I$69*E59+'Reference Standards'!$I$70,2))),IF(B39="No",IF(E59&gt;=80,0,IF(E59&lt;=50,1,ROUND(E59*'Reference Standards'!$J$69+'Reference Standards'!$J$70,2))))))))))</f>
        <v>0.8</v>
      </c>
      <c r="G59" s="424"/>
      <c r="H59" s="448"/>
      <c r="I59" s="449"/>
      <c r="J59" s="429"/>
    </row>
    <row r="60" spans="1:10" ht="15.75" x14ac:dyDescent="0.25">
      <c r="A60" s="399"/>
      <c r="B60" s="399"/>
      <c r="C60" s="23" t="s">
        <v>184</v>
      </c>
      <c r="D60" s="173"/>
      <c r="E60" s="244"/>
      <c r="F60" s="29">
        <f>IF(G38="",0.8,(IF(AND(E60="",G38="Yes"),0.9,(IF(AND(E60="",G38="No"),0.8,IF(E60&lt;=50,0,IF(E60&gt;=80,1, ROUND(E60*'Reference Standards'!$I$73+'Reference Standards'!$I$74,2))))))))</f>
        <v>0.8</v>
      </c>
      <c r="G60" s="425"/>
      <c r="H60" s="448"/>
      <c r="I60" s="449"/>
      <c r="J60" s="429"/>
    </row>
    <row r="61" spans="1:10" ht="15.75" x14ac:dyDescent="0.25">
      <c r="A61" s="399"/>
      <c r="B61" s="400"/>
      <c r="C61" s="443" t="s">
        <v>277</v>
      </c>
      <c r="D61" s="444"/>
      <c r="E61" s="16"/>
      <c r="F61" s="98" t="str">
        <f>IF(OR(B39="",B39="No"),"",IF(AND(E61="",B39="Yes",G38="Yes"),0.9,IF(OR(G38="No",G38=""),0.8,IF(E61&lt;=9,0,IF(E61&gt;=14,1,ROUND('Reference Standards'!$I$77*E61+'Reference Standards'!$I$78,2))))))</f>
        <v/>
      </c>
      <c r="G61" s="426"/>
      <c r="H61" s="448"/>
      <c r="I61" s="449"/>
      <c r="J61" s="429"/>
    </row>
    <row r="62" spans="1:10" ht="15.75" x14ac:dyDescent="0.25">
      <c r="A62" s="409" t="s">
        <v>49</v>
      </c>
      <c r="B62" s="174" t="s">
        <v>169</v>
      </c>
      <c r="C62" s="175" t="s">
        <v>176</v>
      </c>
      <c r="D62" s="177"/>
      <c r="E62" s="101"/>
      <c r="F62" s="182">
        <f>IF(G38="",0.8,(IF(AND(E62="",G38="Yes"),0.9,IF(E62&gt;=25,0,IF(E62&lt;=10,1,ROUND(IF(E62&gt;18,'Reference Standards'!$L$4*E62+'Reference Standards'!$L$5,IF(E62&lt;12,'Reference Standards'!$N$4*E62+'Reference Standards'!$N$5,'Reference Standards'!$M$4*E62+'Reference Standards'!$M$5)),2))))))</f>
        <v>0.8</v>
      </c>
      <c r="G62" s="180">
        <f>IFERROR(AVERAGE(F62),"")</f>
        <v>0.8</v>
      </c>
      <c r="H62" s="411">
        <f>IFERROR(ROUND(AVERAGE(G62:G64),2),"")</f>
        <v>0.8</v>
      </c>
      <c r="I62" s="415" t="str">
        <f>IF(H62="","",IF(H62&gt;0.69,"Functioning",IF(H62&gt;0.29,"Functioning At Risk",IF(H62&gt;-1,"Not Functioning"))))</f>
        <v>Functioning</v>
      </c>
      <c r="J62" s="429"/>
    </row>
    <row r="63" spans="1:10" s="5" customFormat="1" ht="15.75" x14ac:dyDescent="0.25">
      <c r="A63" s="410"/>
      <c r="B63" s="176" t="s">
        <v>170</v>
      </c>
      <c r="C63" s="175" t="s">
        <v>177</v>
      </c>
      <c r="D63" s="178"/>
      <c r="E63" s="49"/>
      <c r="F63" s="231">
        <f>IF(G38="",0.8,(IF(AND(E63="",G38="Yes"),0.9,IF(D36="2A",IF(E63&lt;=5.3,0,IF(E63&gt;=8.79,1,ROUND(E63*'Reference Standards'!$L$9+'Reference Standards'!$L$10,2))),IF(D36=7,IF(E63&lt;=0.8,0,IF(E63&gt;=1.25,1,ROUND(E63*'Reference Standards'!$N$9+'Reference Standards'!$N$10,2))),IF(OR(D36="2B", D36="2Bd",D36="2C"),IF(E63&lt;=3.8,0,(IF(E63&gt;=6.3,1,ROUND(E63*'Reference Standards'!$M$9+'Reference Standards'!$M$10,2))))))))))</f>
        <v>0.8</v>
      </c>
      <c r="G63" s="181">
        <f>IFERROR(AVERAGE(F63),"")</f>
        <v>0.8</v>
      </c>
      <c r="H63" s="412"/>
      <c r="I63" s="416"/>
      <c r="J63" s="429"/>
    </row>
    <row r="64" spans="1:10" ht="15.75" x14ac:dyDescent="0.25">
      <c r="A64" s="410"/>
      <c r="B64" s="174" t="s">
        <v>172</v>
      </c>
      <c r="C64" s="175" t="s">
        <v>178</v>
      </c>
      <c r="D64" s="179"/>
      <c r="E64" s="101"/>
      <c r="F64" s="182">
        <f>IF(G38="",0.8,(IF(AND(E64="",G38="Yes"),0.9,IF(D36="2A",IF(E64&gt;=12.5,0,IF(E64&lt;=7.5,1,ROUND(E64*'Reference Standards'!$L$15+'Reference Standards'!$L$16,2))),IF(OR(D36="2B",D36="2Bd",D36="2C"),IF(D37="North",IF(E64&gt;=18.8,0,IF(E64&lt;=11.3,1,ROUND(E64*'Reference Standards'!$M$15+'Reference Standards'!$M$16,2))),IF(D37="Central",(IF(E64&gt;=37.5,0,IF(E64&lt;=22.5,1,ROUND(E64*'Reference Standards'!$N$15+'Reference Standards'!$N$16,2)))),IF(E64&gt;=81.2,0,(IF(E64&lt;=48.7,1,ROUND(E64*'Reference Standards'!$O$15+'Reference Standards'!$O$16,2)))))))))))</f>
        <v>0.8</v>
      </c>
      <c r="G64" s="182">
        <f>IFERROR(AVERAGE(F64),"")</f>
        <v>0.8</v>
      </c>
      <c r="H64" s="412"/>
      <c r="I64" s="416"/>
      <c r="J64" s="429"/>
    </row>
    <row r="65" spans="1:11" ht="15.75" x14ac:dyDescent="0.25">
      <c r="A65" s="445" t="s">
        <v>50</v>
      </c>
      <c r="B65" s="236" t="s">
        <v>105</v>
      </c>
      <c r="C65" s="40" t="s">
        <v>179</v>
      </c>
      <c r="D65" s="41"/>
      <c r="E65" s="44"/>
      <c r="F65" s="99">
        <f>IF(G38="",0.8,(IF(AND(E64="",G38="Yes"),0.9,IF(D39="Northern Forest Rivers",IF(E65&lt;=38.2,0,IF(E65&gt;=77,1,ROUND(IF(E65&lt;49, 'Reference Standards'!$Q$5*E65+'Reference Standards'!$Q$6, IF(E65&lt;59.8, 'Reference Standards'!$R$5*E65+'Reference Standards'!$R$6, 'Reference Standards'!$S$5*E65+'Reference Standards'!$S$6)),2))),   IF(D39="Northern Forest Streams Riffle-run",IF(E65&lt;40.4,0,IF(E65&gt;=82,1,ROUND(IF(E65&lt;53, 'Reference Standards'!$T$5*E65+'Reference Standards'!$T$6, IF(E65&lt;59.8, 'Reference Standards'!$U$5*E65+'Reference Standards'!$U$6, 'Reference Standards'!$V$5*E65+'Reference Standards'!$V$6) ),2))), IF(D39="Northern Forest Streams Glide-pool",IF(E65&lt;=37,0,IF(E65&gt;=76,1,ROUND(IF(E65&lt;51, 'Reference Standards'!$W$5*E65+'Reference Standards'!$W$6, IF(E65&lt;65.6, 'Reference Standards'!$X$5*E65+'Reference Standards'!$X$6, 'Reference Standards'!$Y$5*E65+'Reference Standards'!$Y$6) ),2))), IF(D39="Northern Coldwater",IF(E65&lt;19.6,0,IF(E65&gt;=52,1,ROUND(IF(E65&lt;32, 'Reference Standards'!$Z$5*E65+'Reference Standards'!$Z$6, IF(E65&lt;44.4,'Reference Standards'!$AA$5*E65+'Reference Standards'!$AA$6, 'Reference Standards'!$AB$5*E65+'Reference Standards'!$AB$6) ),2))), IF(D39="Southern Forest Streams Riffle-run", IF(E65&lt;24,0,IF(E65&gt;=62,1,ROUND(IF(E65&lt;37, 'Reference Standards'!$Q$11*E65+'Reference Standards'!$Q$12, IF(E65&lt;49.6,'Reference Standards'!$R$11*E65+'Reference Standards'!$R$12,'Reference Standards'!$S$11*E65+'Reference Standards'!$S$12)),2))), IF(D39="Southern Forest Streams Glide-pool", IF(E65&lt;29.4,0,IF(E65&gt;=65,1,ROUND(IF(E65&lt;43,'Reference Standards'!$T$11*E65+'Reference Standards'!$T$12, IF(E65&lt;56.6, 'Reference Standards'!$U$11*E65+'Reference Standards'!$U$12,'Reference Standards'!$V$11*E65+'Reference Standards'!$V$12)),2))), IF(D39="Southern Coldwater", IF(E65&lt;29.2,0,IF(E65&gt;=72,1,ROUND(IF(E65&lt;43, 'Reference Standards'!$W$11*E65+'Reference Standards'!$W$12, IF(E65&lt;56.8,'Reference Standards'!$X$11*E65+'Reference Standards'!$X$12, 'Reference Standards'!$Y$11*E65+'Reference Standards'!$Y$12)),2))), IF(D39="Prairie Forest Rivers", IF(E65&lt;20.2,0,IF(E65&gt;=62,1,ROUND(IF(E65&lt;31,'Reference Standards'!$Q$17*E65+'Reference Standards'!$Q$18, IF(E65&lt;41.8,'Reference Standards'!$R$17*E65+'Reference Standards'!$R$18,'Reference Standards'!$S$17*E65+'Reference Standards'!$S$18)),2))), IF(D39="Prairie Streams Glide-Pool", IF(E65&lt;27.4,0,IF(E65&gt;=69,1,ROUND(IF(E65&lt;41,'Reference Standards'!$T$17*E65+'Reference Standards'!$T$18, IF(E65&lt;54.6,'Reference Standards'!$U$17*E65+'Reference Standards'!$U$18, 'Reference Standards'!$V$17*E65+'Reference Standards'!$V$18)),2))) ))))))))))))</f>
        <v>0.8</v>
      </c>
      <c r="G65" s="237">
        <f>IFERROR(AVERAGE(F65),"")</f>
        <v>0.8</v>
      </c>
      <c r="H65" s="450">
        <f>IFERROR(ROUND(AVERAGE(G65:G66),2),"")</f>
        <v>0.8</v>
      </c>
      <c r="I65" s="414" t="str">
        <f>IF(H65="","",IF(H65&gt;0.69,"Functioning",IF(H65&gt;0.29,"Functioning At Risk",IF(H65&gt;-1,"Not Functioning"))))</f>
        <v>Functioning</v>
      </c>
      <c r="J65" s="429"/>
    </row>
    <row r="66" spans="1:11" ht="15.75" x14ac:dyDescent="0.25">
      <c r="A66" s="446"/>
      <c r="B66" s="238" t="s">
        <v>54</v>
      </c>
      <c r="C66" s="183" t="s">
        <v>180</v>
      </c>
      <c r="D66" s="184"/>
      <c r="E66" s="101"/>
      <c r="F66" s="99">
        <f>IF(G38="",0.8,(IF(AND(E66="",G38="Yes"),0.9,IF(G36="Northern Rivers",IF(E66&lt;29,0,IF(E66&gt;=66,1,ROUND(IF(E66&lt;38, 'Reference Standards'!$Q$23*E66+'Reference Standards'!$Q$24, IF(E66&lt;47, 'Reference Standards'!$R$23*E66+'Reference Standards'!$R$24, 'Reference Standards'!$S$23*E66+'Reference Standards'!$S$24)),2))),   IF(G36="Northern Streams",IF(E66&lt;35,0,IF(E66&gt;=61,1,ROUND(IF(E66&lt;47, 'Reference Standards'!$T$23*E66+'Reference Standards'!$T$24, IF(E66&lt;56, 'Reference Standards'!$U$23*E66+'Reference Standards'!$U$24, 'Reference Standards'!$V$23*E66+'Reference Standards'!$V$24) ),2))), IF(G36="Northern Headwaters",IF(E66&lt;23,0,IF(E66&gt;=68,1,ROUND(IF(E66&lt;42, 'Reference Standards'!$W$23*E66+'Reference Standards'!$W$24, IF(E66&lt;56, 'Reference Standards'!$X$23*E66+'Reference Standards'!$X$24, 'Reference Standards'!$Y$23*E66+'Reference Standards'!$Y$24) ),2))), IF(G36="Northern Coldwater",IF(E66&lt;25,0,IF(E66&gt;=60,1,ROUND(IF(E66&lt;35, 'Reference Standards'!$Z$23*E66+'Reference Standards'!$Z$24, IF(E66&lt;45, 'Reference Standards'!$AA$23*E66+'Reference Standards'!$AA$24, 'Reference Standards'!$AB$23*E66+'Reference Standards'!$AB$24) ),2))), IF(G36="Southern River", IF(E66&lt;38,0,IF(E66&gt;=71,1,ROUND(IF(E66&lt;49, 'Reference Standards'!$Q$29*E66+'Reference Standards'!$Q$30, IF(E66&lt;60,'Reference Standards'!$R$29*E66+'Reference Standards'!$R$30, 'Reference Standards'!$S$29*E66+'Reference Standards'!$S$30)),2))), IF(G36="Southern Streams", IF(E66&lt;35,0,IF(E66&gt;=66,1,ROUND(IF(E66&lt;50,'Reference Standards'!$T$29*E66+'Reference Standards'!$T$30, IF(E66&lt;59, 'Reference Standards'!$U$29*E66+'Reference Standards'!$U$30, 'Reference Standards'!$V$29*E66+'Reference Standards'!$V$30)),2))), IF(G36="Southern Headwaters", IF(E66&lt;33,0,IF(E66&gt;=74,1,ROUND(IF(E66&lt;55, 'Reference Standards'!$W$29*E66+'Reference Standards'!$W$30, IF(E66&lt;62, 'Reference Standards'!$X$29*E66+'Reference Standards'!$X$30, 'Reference Standards'!$Y$29*E66+'Reference Standards'!$Y$30)),2))), IF(G36="Southern Coldwater", IF(E66&lt;37,0,IF(E66&gt;=82,1,ROUND(IF(E66&lt;50, 'Reference Standards'!$Z$29*E66+'Reference Standards'!$Z$30, IF(E66&lt;63,'Reference Standards'!$AA$29*E66+'Reference Standards'!$AA$30,'Reference Standards'!$AB$29*E66+'Reference Standards'!$AB$30)),2))), IF(G36="Low Gradient", IF(E66&lt;15,0,IF(E66&gt;=70,1,ROUND(IF(E66&lt;42, 'Reference Standards'!$Q$34*E66+'Reference Standards'!$Q$35, IF(E66&lt;52, 'Reference Standards'!$R$34*E66+'Reference Standards'!$R$35, 'Reference Standards'!$S$34*E66+'Reference Standards'!$S$35)),2))) ))))))))))))</f>
        <v>0.8</v>
      </c>
      <c r="G66" s="237">
        <f>IFERROR(AVERAGE(F66),"")</f>
        <v>0.8</v>
      </c>
      <c r="H66" s="450"/>
      <c r="I66" s="414"/>
      <c r="J66" s="429"/>
    </row>
    <row r="67" spans="1:11" s="5" customFormat="1" ht="6.6" customHeight="1" x14ac:dyDescent="0.25">
      <c r="I67" s="102"/>
      <c r="J67" s="4"/>
      <c r="K67" s="11"/>
    </row>
    <row r="68" spans="1:11" s="5" customFormat="1" ht="6.6" customHeight="1" x14ac:dyDescent="0.25">
      <c r="I68" s="102"/>
      <c r="K68" s="11"/>
    </row>
    <row r="69" spans="1:11" s="5" customFormat="1" ht="21" customHeight="1" x14ac:dyDescent="0.25">
      <c r="A69" s="406" t="s">
        <v>310</v>
      </c>
      <c r="B69" s="407"/>
      <c r="C69" s="407"/>
      <c r="D69" s="407"/>
      <c r="E69" s="407"/>
      <c r="F69" s="407"/>
      <c r="G69" s="407"/>
      <c r="H69" s="407"/>
      <c r="I69" s="407"/>
      <c r="J69" s="408"/>
    </row>
    <row r="70" spans="1:11" s="5" customFormat="1" ht="15.6" customHeight="1" x14ac:dyDescent="0.25">
      <c r="A70" s="122" t="s">
        <v>68</v>
      </c>
      <c r="B70" s="101"/>
      <c r="C70" s="122" t="s">
        <v>195</v>
      </c>
      <c r="D70" s="48"/>
      <c r="E70" s="165" t="s">
        <v>226</v>
      </c>
      <c r="F70" s="166"/>
      <c r="G70" s="48"/>
      <c r="H70" s="404" t="s">
        <v>137</v>
      </c>
      <c r="I70" s="405"/>
      <c r="J70" s="101"/>
    </row>
    <row r="71" spans="1:11" s="5" customFormat="1" ht="15.6" customHeight="1" x14ac:dyDescent="0.25">
      <c r="A71" s="122" t="s">
        <v>69</v>
      </c>
      <c r="B71" s="48"/>
      <c r="C71" s="122" t="s">
        <v>205</v>
      </c>
      <c r="D71" s="48"/>
      <c r="E71" s="413" t="s">
        <v>92</v>
      </c>
      <c r="F71" s="413"/>
      <c r="G71" s="48"/>
      <c r="H71" s="404" t="s">
        <v>138</v>
      </c>
      <c r="I71" s="405"/>
      <c r="J71" s="101"/>
    </row>
    <row r="72" spans="1:11" s="5" customFormat="1" ht="15.6" customHeight="1" x14ac:dyDescent="0.25">
      <c r="A72" s="122" t="s">
        <v>136</v>
      </c>
      <c r="B72" s="48"/>
      <c r="C72" s="122" t="s">
        <v>206</v>
      </c>
      <c r="D72" s="48"/>
      <c r="E72" s="413" t="s">
        <v>267</v>
      </c>
      <c r="F72" s="413"/>
      <c r="G72" s="48"/>
      <c r="H72" s="404" t="s">
        <v>139</v>
      </c>
      <c r="I72" s="405"/>
      <c r="J72" s="101"/>
    </row>
    <row r="73" spans="1:11" s="5" customFormat="1" ht="15.6" customHeight="1" x14ac:dyDescent="0.25">
      <c r="A73" s="106" t="s">
        <v>261</v>
      </c>
      <c r="B73" s="48"/>
      <c r="C73" s="122" t="s">
        <v>207</v>
      </c>
      <c r="D73" s="48"/>
      <c r="E73" s="225" t="s">
        <v>260</v>
      </c>
      <c r="F73" s="226"/>
      <c r="G73" s="48"/>
      <c r="H73" s="404" t="s">
        <v>140</v>
      </c>
      <c r="I73" s="405"/>
      <c r="J73" s="101"/>
    </row>
    <row r="74" spans="1:11" s="5" customFormat="1" ht="9.6" customHeight="1" x14ac:dyDescent="0.25">
      <c r="A74" s="1"/>
      <c r="B74" s="4"/>
      <c r="C74" s="4"/>
      <c r="D74" s="4"/>
      <c r="E74" s="4"/>
      <c r="F74" s="4"/>
      <c r="G74" s="4"/>
      <c r="H74" s="12"/>
      <c r="I74" s="104"/>
      <c r="J74" s="12"/>
    </row>
    <row r="75" spans="1:11" s="5" customFormat="1" ht="21" x14ac:dyDescent="0.35">
      <c r="A75" s="417" t="s">
        <v>48</v>
      </c>
      <c r="B75" s="418"/>
      <c r="C75" s="418"/>
      <c r="D75" s="418"/>
      <c r="E75" s="418"/>
      <c r="F75" s="419"/>
      <c r="G75" s="420" t="s">
        <v>14</v>
      </c>
      <c r="H75" s="420"/>
      <c r="I75" s="420"/>
      <c r="J75" s="420"/>
    </row>
    <row r="76" spans="1:11" s="5" customFormat="1" ht="15.75" x14ac:dyDescent="0.25">
      <c r="A76" s="46" t="s">
        <v>1</v>
      </c>
      <c r="B76" s="46" t="s">
        <v>2</v>
      </c>
      <c r="C76" s="421" t="s">
        <v>3</v>
      </c>
      <c r="D76" s="422"/>
      <c r="E76" s="46" t="s">
        <v>12</v>
      </c>
      <c r="F76" s="45" t="s">
        <v>13</v>
      </c>
      <c r="G76" s="46" t="s">
        <v>15</v>
      </c>
      <c r="H76" s="46" t="s">
        <v>16</v>
      </c>
      <c r="I76" s="105" t="s">
        <v>16</v>
      </c>
      <c r="J76" s="46" t="s">
        <v>110</v>
      </c>
    </row>
    <row r="77" spans="1:11" s="5" customFormat="1" ht="15.75" customHeight="1" x14ac:dyDescent="0.25">
      <c r="A77" s="427" t="s">
        <v>51</v>
      </c>
      <c r="B77" s="427" t="s">
        <v>78</v>
      </c>
      <c r="C77" s="167" t="s">
        <v>162</v>
      </c>
      <c r="D77" s="169"/>
      <c r="E77" s="44"/>
      <c r="F77" s="28">
        <f>IF(G73="Yes","",(IF(G72="",0.8,(IF(AND(E77="",G72="Yes"),0.9,(IF(AND(E77="",G72="No"),0.8,IF(E77&gt;=80,0,IF(E77&lt;=40,1,IF(E77&gt;=68,ROUND(E77*'Reference Standards'!$B$4+'Reference Standards'!$B$5,2),ROUND(E77*'Reference Standards'!$C$4+'Reference Standards'!$C$5,2)))))))))))</f>
        <v>0.8</v>
      </c>
      <c r="G77" s="401">
        <f>IFERROR(AVERAGE(F77:F79),"")</f>
        <v>0.8</v>
      </c>
      <c r="H77" s="401">
        <f>IFERROR(ROUND(AVERAGE(G77:G79),2),"")</f>
        <v>0.8</v>
      </c>
      <c r="I77" s="414" t="str">
        <f>IF(H77="","",IF(H77&gt;0.69,"Functioning",IF(H77&gt;0.29,"Functioning At Risk",IF(H77&gt;-1,"Not Functioning"))))</f>
        <v>Functioning</v>
      </c>
      <c r="J77" s="429">
        <f>IF(AND(H77="",H80="",H82="",H96="",H99=""),"",ROUND((IF(H77="",0,H77)*0.2)+(IF(H80="",0,H80)*0.2)+(IF(H82="",0,H82)*0.2)+(IF(H96="",0,H96)*0.2)+(IF(H99="",0,H99)*0.2),2))</f>
        <v>0.8</v>
      </c>
    </row>
    <row r="78" spans="1:11" s="5" customFormat="1" ht="15.75" customHeight="1" x14ac:dyDescent="0.25">
      <c r="A78" s="428"/>
      <c r="B78" s="428"/>
      <c r="C78" s="168" t="s">
        <v>164</v>
      </c>
      <c r="D78" s="170"/>
      <c r="E78" s="49"/>
      <c r="F78" s="228" t="str">
        <f>IF(G73="No","",IF(E78="","",  IF(E78&gt;0.95,0,IF(E78&lt;=0.02,1,ROUND(IF(E78&gt;0.26,'Reference Standards'!$B$10*E78+'Reference Standards'!$B$11, IF(E78&lt;0.05, 'Reference Standards'!$D$10*E78+'Reference Standards'!$D$11, 'Reference Standards'!$C$10*E78+'Reference Standards'!$C$11)),2))) ))</f>
        <v/>
      </c>
      <c r="G78" s="402"/>
      <c r="H78" s="402"/>
      <c r="I78" s="414"/>
      <c r="J78" s="429"/>
    </row>
    <row r="79" spans="1:11" s="5" customFormat="1" ht="15.75" x14ac:dyDescent="0.25">
      <c r="A79" s="428"/>
      <c r="B79" s="442"/>
      <c r="C79" s="171" t="s">
        <v>166</v>
      </c>
      <c r="D79" s="172"/>
      <c r="E79" s="49"/>
      <c r="F79" s="227">
        <f>IF(G73="Yes","",(IF(G72="",0.8,(IF(AND(E79="",G72="Yes"),0.9,(IF(AND(E79="",G72="No"),0.8,IF(E79&gt;3.22,0,IF(E79&lt;0,"",ROUND('Reference Standards'!$B$15*E79+'Reference Standards'!$B$16,2))))))))))</f>
        <v>0.8</v>
      </c>
      <c r="G79" s="403"/>
      <c r="H79" s="403"/>
      <c r="I79" s="414"/>
      <c r="J79" s="429"/>
    </row>
    <row r="80" spans="1:11" s="5" customFormat="1" ht="15.75" x14ac:dyDescent="0.25">
      <c r="A80" s="432" t="s">
        <v>4</v>
      </c>
      <c r="B80" s="434" t="s">
        <v>5</v>
      </c>
      <c r="C80" s="17" t="s">
        <v>6</v>
      </c>
      <c r="D80" s="17"/>
      <c r="E80" s="44"/>
      <c r="F80" s="96">
        <f>IF(G72="",0.8,(IF(AND(E80="",G72="Yes"),0.9,(IF(AND(E80="",G72="No"),0.8,ROUND(IF(E80&gt;1.6,0,IF(E80&lt;=1,1,E80^2*'Reference Standards'!$F$2+E80*'Reference Standards'!$F$3+'Reference Standards'!$F$4)),2))))))</f>
        <v>0.8</v>
      </c>
      <c r="G80" s="435">
        <f>IFERROR(AVERAGE(F80:F81),"")</f>
        <v>0.8</v>
      </c>
      <c r="H80" s="436">
        <f>IFERROR(ROUND(AVERAGE(G80),2),"")</f>
        <v>0.8</v>
      </c>
      <c r="I80" s="438" t="str">
        <f>IF(H80="","",IF(H80&gt;0.69,"Functioning",IF(H80&gt;0.29,"Functioning At Risk",IF(H80&gt;-1,"Not Functioning"))))</f>
        <v>Functioning</v>
      </c>
      <c r="J80" s="429"/>
    </row>
    <row r="81" spans="1:10" s="5" customFormat="1" ht="15.75" x14ac:dyDescent="0.25">
      <c r="A81" s="433"/>
      <c r="B81" s="434"/>
      <c r="C81" s="17" t="s">
        <v>7</v>
      </c>
      <c r="D81" s="17"/>
      <c r="E81" s="50"/>
      <c r="F81" s="96">
        <f>IF(G72="",0.8,(IF(AND(E81="",G72="Yes"),0.9,(IF(AND(E81="",G72="No"),0.8,(IF(OR(B72="A",B72="B",B72="Bc",B72="Ba"),IF(E81&lt;1.2,0,IF(E81&gt;=2.2,1,ROUND(IF(E81&lt;1.4,E81*'Reference Standards'!$F$13+'Reference Standards'!$F$14,E81*'Reference Standards'!$G$13+'Reference Standards'!$G$14),2))),IF(OR(B72="C",B72="Cb",B72="E"),IF(E81&lt;2,0,IF(E81&gt;=5,1,ROUND(IF(E81&lt;2.4,E81*'Reference Standards'!$G$8+'Reference Standards'!$G$9,E81*'Reference Standards'!$F$8+'Reference Standards'!$F$9),2)))))))))))</f>
        <v>0.8</v>
      </c>
      <c r="G81" s="435"/>
      <c r="H81" s="437"/>
      <c r="I81" s="439"/>
      <c r="J81" s="429"/>
    </row>
    <row r="82" spans="1:10" s="5" customFormat="1" ht="15.75" x14ac:dyDescent="0.25">
      <c r="A82" s="398" t="s">
        <v>21</v>
      </c>
      <c r="B82" s="440" t="s">
        <v>22</v>
      </c>
      <c r="C82" s="21" t="s">
        <v>103</v>
      </c>
      <c r="D82" s="69"/>
      <c r="E82" s="44"/>
      <c r="F82" s="229" t="str">
        <f>IF(E82="","",IF(E82&gt;=660,1,IF(E82&lt;=430,ROUND('Reference Standards'!$I$4*E82+'Reference Standards'!$I$5,2),ROUND('Reference Standards'!$J$4*E82+'Reference Standards'!$J$5,2))))</f>
        <v/>
      </c>
      <c r="G82" s="423">
        <f>IFERROR(AVERAGE(F82:F83),"")</f>
        <v>0.8</v>
      </c>
      <c r="H82" s="447">
        <f>IFERROR(ROUND(AVERAGE(G82:G95),2),"")</f>
        <v>0.8</v>
      </c>
      <c r="I82" s="449" t="str">
        <f>IF(H82="","",IF(H82&gt;0.69,"Functioning",IF(H82&gt;0.29,"Functioning At Risk",IF(H82&gt;-1,"Not Functioning"))))</f>
        <v>Functioning</v>
      </c>
      <c r="J82" s="429"/>
    </row>
    <row r="83" spans="1:10" s="5" customFormat="1" ht="15.75" x14ac:dyDescent="0.25">
      <c r="A83" s="399"/>
      <c r="B83" s="441"/>
      <c r="C83" s="24" t="s">
        <v>99</v>
      </c>
      <c r="D83" s="70"/>
      <c r="E83" s="50"/>
      <c r="F83" s="98">
        <f>IF(ISNUMBER(E82),"",IF(G72="",0.8,(IF(AND(E83="",G72="Yes"),0.9,(IF(AND(E83="",G72="No"),0.8,IF(E83&gt;=28,1,ROUND(IF(E83&lt;=13,'Reference Standards'!$I$9*E83,'Reference Standards'!$J$9*E83+'Reference Standards'!$J$10),2))))))))</f>
        <v>0.8</v>
      </c>
      <c r="G83" s="426"/>
      <c r="H83" s="447"/>
      <c r="I83" s="449"/>
      <c r="J83" s="429"/>
    </row>
    <row r="84" spans="1:10" s="5" customFormat="1" ht="15.75" x14ac:dyDescent="0.25">
      <c r="A84" s="399"/>
      <c r="B84" s="399" t="s">
        <v>126</v>
      </c>
      <c r="C84" s="19" t="s">
        <v>43</v>
      </c>
      <c r="D84" s="19"/>
      <c r="E84" s="49"/>
      <c r="F84" s="29">
        <f>IF(G72="",0.8,(IF(AND(E84="",G72="Yes"),0.9,(IF(AND(E84="",G72="No"),0.8,IF(OR(E84="Ex/Ex",E84="Ex/VH",E84="Ex/H",E84="Ex/M",E84="VH/Ex",E84="VH/VH", E84="H/Ex",E84="H/VH"),0, IF(OR(E84="M/Ex"),0.1,IF(OR(E84="VH/H",E84="VH/M",E84="H/H",E84="H/M", E84="M/VH"),0.2, IF(OR(E84="Ex/VL",E84="Ex/L", E84="M/H"),0.3, IF(OR(E84="VH/L",E84="H/L"),0.4, IF(OR(E84="VH/VL",E84="H/VL",E84="M/M"),0.5, IF(OR(E84="M/L",E84="L/Ex"),0.6, IF(OR(E84="M/VL",E84="L/VH", E84="L/H",E84="L/M",E84="L/L",E84="L/VL",LEFT(E84)="V"),1)))))))))))))</f>
        <v>0.8</v>
      </c>
      <c r="G84" s="423">
        <f>IFERROR(AVERAGE(F84:F86),"")</f>
        <v>0.80000000000000016</v>
      </c>
      <c r="H84" s="448"/>
      <c r="I84" s="449"/>
      <c r="J84" s="429"/>
    </row>
    <row r="85" spans="1:10" s="5" customFormat="1" ht="15.75" x14ac:dyDescent="0.25">
      <c r="A85" s="399"/>
      <c r="B85" s="399"/>
      <c r="C85" s="20" t="s">
        <v>57</v>
      </c>
      <c r="D85" s="173"/>
      <c r="E85" s="243"/>
      <c r="F85" s="29">
        <f>IF(G72="",0.8,(IF(AND(E85="",G72="Yes"),0.9,(IF(AND(E85="",G72="No"),0.8,ROUND(IF(E85&gt;=75,0,IF(E85&lt;=5,1,IF(E85&gt;10,E85*'Reference Standards'!$I$14+'Reference Standards'!$I$15,'Reference Standards'!$J$14*E85+'Reference Standards'!$J$15))),2))))))</f>
        <v>0.8</v>
      </c>
      <c r="G85" s="424"/>
      <c r="H85" s="448"/>
      <c r="I85" s="449"/>
      <c r="J85" s="429"/>
    </row>
    <row r="86" spans="1:10" s="5" customFormat="1" ht="15.75" x14ac:dyDescent="0.25">
      <c r="A86" s="399"/>
      <c r="B86" s="400"/>
      <c r="C86" s="20" t="s">
        <v>125</v>
      </c>
      <c r="D86" s="20"/>
      <c r="E86" s="50"/>
      <c r="F86" s="98">
        <f>IF(G72="",0.8,(IF(AND(E86="",G72="Yes"),0.9,(IF(AND(E86="",G72="No"),0.8,IF(E86&gt;=50,0,ROUND(E86*'Reference Standards'!$I$18+'Reference Standards'!$I$19,2)))))))</f>
        <v>0.8</v>
      </c>
      <c r="G86" s="426"/>
      <c r="H86" s="448"/>
      <c r="I86" s="449"/>
      <c r="J86" s="429"/>
    </row>
    <row r="87" spans="1:10" s="5" customFormat="1" ht="15.75" x14ac:dyDescent="0.25">
      <c r="A87" s="399"/>
      <c r="B87" s="18" t="s">
        <v>70</v>
      </c>
      <c r="C87" s="26" t="s">
        <v>80</v>
      </c>
      <c r="D87" s="68"/>
      <c r="E87" s="50"/>
      <c r="F87" s="27" t="str">
        <f>IF(E87="","",IF(E87&gt;=50,0,ROUND(E87*'Reference Standards'!$I$22+'Reference Standards'!$I$23,2)))</f>
        <v/>
      </c>
      <c r="G87" s="27" t="str">
        <f>IFERROR(AVERAGE(F87),"")</f>
        <v/>
      </c>
      <c r="H87" s="448"/>
      <c r="I87" s="449"/>
      <c r="J87" s="429"/>
    </row>
    <row r="88" spans="1:10" s="5" customFormat="1" ht="15.75" x14ac:dyDescent="0.25">
      <c r="A88" s="399"/>
      <c r="B88" s="398" t="s">
        <v>45</v>
      </c>
      <c r="C88" s="25" t="s">
        <v>46</v>
      </c>
      <c r="D88" s="25"/>
      <c r="E88" s="53"/>
      <c r="F88" s="230">
        <f>IF(G72="",0.8,(IF(AND(E88="",G72="Yes"),0.9,(IF(AND(E88="",G72="No"),0.8,ROUND( IF(OR(LEFT(B72)="C",B72="E"), IF(OR(E88&lt;=1,E88&gt;=9),0,IF(AND(E88&gt;=3.5,E88&lt;=6),1,IF(E88&lt;3.5, E88*'Reference Standards'!$I$37+'Reference Standards'!$I$38, E88*'Reference Standards'!$J$37+'Reference Standards'!$J$38))),   IF(OR(B72="A",(B72)="B", (B72)="Ba"), IF(E88&gt;=6.5,0, IF(E88&lt;=4, 1, E88^2*'Reference Standards'!$I$26+E88*'Reference Standards'!$I$27+'Reference Standards'!$I$28)), IF(B72="Bc",  IF(E88&gt;=8,0, IF(E88&lt;=5, 1, E88^2*'Reference Standards'!$I$31+E88*'Reference Standards'!$I$32+'Reference Standards'!$I$33))))),2))))))</f>
        <v>0.8</v>
      </c>
      <c r="G88" s="430">
        <f>IFERROR(AVERAGE(F88:F91),"")</f>
        <v>0.80000000000000016</v>
      </c>
      <c r="H88" s="448"/>
      <c r="I88" s="449"/>
      <c r="J88" s="429"/>
    </row>
    <row r="89" spans="1:10" s="5" customFormat="1" ht="15.75" x14ac:dyDescent="0.25">
      <c r="A89" s="399"/>
      <c r="B89" s="399"/>
      <c r="C89" s="19" t="s">
        <v>47</v>
      </c>
      <c r="D89" s="19"/>
      <c r="E89" s="52"/>
      <c r="F89" s="29">
        <f>IF(G72="",0.8,(IF(AND(E89="",G72="Yes"),0.9,(IF(AND(E89="",G72="No"),0.8,ROUND(  IF(E89&lt;=1.1,0, IF(E89&gt;=3,1, IF(E89&lt;2, E89^2*'Reference Standards'!$I$42+  E89*'Reference Standards'!$I$43 + 'Reference Standards'!$I$44,      E89*'Reference Standards'!$J$43+'Reference Standards'!$J$44))),2))))))</f>
        <v>0.8</v>
      </c>
      <c r="G89" s="425"/>
      <c r="H89" s="448"/>
      <c r="I89" s="449"/>
      <c r="J89" s="429"/>
    </row>
    <row r="90" spans="1:10" s="5" customFormat="1" ht="15.75" x14ac:dyDescent="0.25">
      <c r="A90" s="399"/>
      <c r="B90" s="399"/>
      <c r="C90" s="19" t="s">
        <v>104</v>
      </c>
      <c r="D90" s="19"/>
      <c r="E90" s="52"/>
      <c r="F90" s="269">
        <f>IF(G72="",0.8,(IF(AND(E90="",G72="Yes"),0.9,(IF(AND(E90="",G72="No"),0.8,IF(OR(B72="A",LEFT(B72,1)="B"),IF(OR(E90&lt;=20,E90&gt;=90),0,IF(AND(E90&gt;=50,E90&lt;=60),1,IF(E90&lt;50,ROUND(E90*'Reference Standards'!$I$48+'Reference Standards'!$I$49,2),ROUND(E90*'Reference Standards'!$J$48+'Reference Standards'!$J$49,2)))),IF(OR(LEFT(B72)="C",B72="E"),IF(OR(E90&lt;=20,E90&gt;=85),0,IF(AND(E90&lt;=65,E90&gt;=45),1,IF(E90&lt;45,ROUND(E90*'Reference Standards'!$I$53+'Reference Standards'!$I$54,2),ROUND(E90*'Reference Standards'!$J$53+'Reference Standards'!$J$54,2)))))))))))</f>
        <v>0.8</v>
      </c>
      <c r="G90" s="425"/>
      <c r="H90" s="448"/>
      <c r="I90" s="449"/>
      <c r="J90" s="429"/>
    </row>
    <row r="91" spans="1:10" s="5" customFormat="1" ht="15.75" x14ac:dyDescent="0.25">
      <c r="A91" s="399"/>
      <c r="B91" s="400"/>
      <c r="C91" s="23" t="s">
        <v>88</v>
      </c>
      <c r="D91" s="19"/>
      <c r="E91" s="54"/>
      <c r="F91" s="270" t="str">
        <f>IF(E91="","",IF(E91&gt;=1.6,0,IF(E91&lt;=1,1,ROUND('Reference Standards'!$I$57*E91^3+'Reference Standards'!$I$58*E91^2+'Reference Standards'!$I$59*E91+'Reference Standards'!$I$60,2))))</f>
        <v/>
      </c>
      <c r="G91" s="431"/>
      <c r="H91" s="448"/>
      <c r="I91" s="449"/>
      <c r="J91" s="429"/>
    </row>
    <row r="92" spans="1:10" s="5" customFormat="1" ht="15.75" x14ac:dyDescent="0.25">
      <c r="A92" s="399"/>
      <c r="B92" s="398" t="s">
        <v>44</v>
      </c>
      <c r="C92" s="21" t="s">
        <v>182</v>
      </c>
      <c r="D92" s="69"/>
      <c r="E92" s="22"/>
      <c r="F92" s="97">
        <f>IF(G72="",0.8,(IF(AND(E92="",G72="Yes"),0.9,(IF(AND(E92="",G72="No"),0.8,IF(G71="Unconfined Alluvial",IF(E92&gt;=100,1,IF(E92&lt;30,0,ROUND('Reference Standards'!$I$64*E92+'Reference Standards'!$I$65,2))),IF(OR(G71="Confined Alluvial",G71="Colluvial/V-Shaped"),(IF(E92&gt;=100,1,IF(E92&lt;60,0,ROUND('Reference Standards'!$J$64*E92+'Reference Standards'!$J$65,2)))))))))))</f>
        <v>0.8</v>
      </c>
      <c r="G92" s="423">
        <f>IFERROR(AVERAGE(F92:F95),"")</f>
        <v>0.80000000000000016</v>
      </c>
      <c r="H92" s="448"/>
      <c r="I92" s="449"/>
      <c r="J92" s="429"/>
    </row>
    <row r="93" spans="1:10" s="5" customFormat="1" ht="15.75" x14ac:dyDescent="0.25">
      <c r="A93" s="399"/>
      <c r="B93" s="399"/>
      <c r="C93" s="23" t="s">
        <v>183</v>
      </c>
      <c r="D93" s="173"/>
      <c r="E93" s="244"/>
      <c r="F93" s="29">
        <f>IF(G72="",0.8,(IF(AND(E93="",G72="Yes"),0.9,(IF(AND(E93="",G72="No"),0.8,IF(B73="Yes",IF(E93&lt;=50,0,IF(E93&gt;=80,1,ROUND('Reference Standards'!$I$69*E93+'Reference Standards'!$I$70,2))),IF(B73="No",IF(E93&gt;=80,0,IF(E93&lt;=50,1,ROUND(E93*'Reference Standards'!$J$69+'Reference Standards'!$J$70,2))))))))))</f>
        <v>0.8</v>
      </c>
      <c r="G93" s="424"/>
      <c r="H93" s="448"/>
      <c r="I93" s="449"/>
      <c r="J93" s="429"/>
    </row>
    <row r="94" spans="1:10" s="5" customFormat="1" ht="15.75" x14ac:dyDescent="0.25">
      <c r="A94" s="399"/>
      <c r="B94" s="399"/>
      <c r="C94" s="23" t="s">
        <v>184</v>
      </c>
      <c r="D94" s="173"/>
      <c r="E94" s="244"/>
      <c r="F94" s="29">
        <f>IF(G72="",0.8,(IF(AND(E94="",G72="Yes"),0.9,(IF(AND(E94="",G72="No"),0.8,IF(E94&lt;=50,0,IF(E94&gt;=80,1, ROUND(E94*'Reference Standards'!$I$73+'Reference Standards'!$I$74,2))))))))</f>
        <v>0.8</v>
      </c>
      <c r="G94" s="425"/>
      <c r="H94" s="448"/>
      <c r="I94" s="449"/>
      <c r="J94" s="429"/>
    </row>
    <row r="95" spans="1:10" s="5" customFormat="1" ht="15.75" x14ac:dyDescent="0.25">
      <c r="A95" s="399"/>
      <c r="B95" s="400"/>
      <c r="C95" s="443" t="s">
        <v>277</v>
      </c>
      <c r="D95" s="444"/>
      <c r="E95" s="16"/>
      <c r="F95" s="98" t="str">
        <f>IF(OR(B73="",B73="No"),"",IF(AND(E95="",B73="Yes",G72="Yes"),0.9,IF(OR(G72="No",G72=""),0.8,IF(E95&lt;=9,0,IF(E95&gt;=14,1,ROUND('Reference Standards'!$I$77*E95+'Reference Standards'!$I$78,2))))))</f>
        <v/>
      </c>
      <c r="G95" s="426"/>
      <c r="H95" s="448"/>
      <c r="I95" s="449"/>
      <c r="J95" s="429"/>
    </row>
    <row r="96" spans="1:10" s="5" customFormat="1" ht="15.75" x14ac:dyDescent="0.25">
      <c r="A96" s="409" t="s">
        <v>49</v>
      </c>
      <c r="B96" s="174" t="s">
        <v>169</v>
      </c>
      <c r="C96" s="175" t="s">
        <v>176</v>
      </c>
      <c r="D96" s="177"/>
      <c r="E96" s="101"/>
      <c r="F96" s="182">
        <f>IF(G72="",0.8,(IF(AND(E96="",G72="Yes"),0.9,IF(E96&gt;=25,0,IF(E96&lt;=10,1,ROUND(IF(E96&gt;18,'Reference Standards'!$L$4*E96+'Reference Standards'!$L$5,IF(E96&lt;12,'Reference Standards'!$N$4*E96+'Reference Standards'!$N$5,'Reference Standards'!$M$4*E96+'Reference Standards'!$M$5)),2))))))</f>
        <v>0.8</v>
      </c>
      <c r="G96" s="180">
        <f>IFERROR(AVERAGE(F96),"")</f>
        <v>0.8</v>
      </c>
      <c r="H96" s="411">
        <f>IFERROR(ROUND(AVERAGE(G96:G98),2),"")</f>
        <v>0.8</v>
      </c>
      <c r="I96" s="415" t="str">
        <f>IF(H96="","",IF(H96&gt;0.69,"Functioning",IF(H96&gt;0.29,"Functioning At Risk",IF(H96&gt;-1,"Not Functioning"))))</f>
        <v>Functioning</v>
      </c>
      <c r="J96" s="429"/>
    </row>
    <row r="97" spans="1:11" s="5" customFormat="1" ht="15.75" x14ac:dyDescent="0.25">
      <c r="A97" s="410"/>
      <c r="B97" s="176" t="s">
        <v>170</v>
      </c>
      <c r="C97" s="175" t="s">
        <v>177</v>
      </c>
      <c r="D97" s="178"/>
      <c r="E97" s="49"/>
      <c r="F97" s="231">
        <f>IF(G72="",0.8,(IF(AND(E97="",G72="Yes"),0.9,IF(D70="2A",IF(E97&lt;=5.3,0,IF(E97&gt;=8.79,1,ROUND(E97*'Reference Standards'!$L$9+'Reference Standards'!$L$10,2))),IF(D70=7,IF(E97&lt;=0.8,0,IF(E97&gt;=1.25,1,ROUND(E97*'Reference Standards'!$N$9+'Reference Standards'!$N$10,2))),IF(OR(D70="2B", D70="2Bd",D70="2C"),IF(E97&lt;=3.8,0,(IF(E97&gt;=6.3,1,ROUND(E97*'Reference Standards'!$M$9+'Reference Standards'!$M$10,2))))))))))</f>
        <v>0.8</v>
      </c>
      <c r="G97" s="181">
        <f>IFERROR(AVERAGE(F97),"")</f>
        <v>0.8</v>
      </c>
      <c r="H97" s="412"/>
      <c r="I97" s="416"/>
      <c r="J97" s="429"/>
    </row>
    <row r="98" spans="1:11" s="5" customFormat="1" ht="15.75" x14ac:dyDescent="0.25">
      <c r="A98" s="410"/>
      <c r="B98" s="174" t="s">
        <v>172</v>
      </c>
      <c r="C98" s="175" t="s">
        <v>178</v>
      </c>
      <c r="D98" s="179"/>
      <c r="E98" s="101"/>
      <c r="F98" s="182">
        <f>IF(G72="",0.8,(IF(AND(E98="",G72="Yes"),0.9,IF(D70="2A",IF(E98&gt;=12.5,0,IF(E98&lt;=7.5,1,ROUND(E98*'Reference Standards'!$L$15+'Reference Standards'!$L$16,2))),IF(OR(D70="2B",D70="2Bd",D70="2C"),IF(D71="North",IF(E98&gt;=18.8,0,IF(E98&lt;=11.3,1,ROUND(E98*'Reference Standards'!$M$15+'Reference Standards'!$M$16,2))),IF(D71="Central",(IF(E98&gt;=37.5,0,IF(E98&lt;=22.5,1,ROUND(E98*'Reference Standards'!$N$15+'Reference Standards'!$N$16,2)))),IF(E98&gt;=81.2,0,(IF(E98&lt;=48.7,1,ROUND(E98*'Reference Standards'!$O$15+'Reference Standards'!$O$16,2)))))))))))</f>
        <v>0.8</v>
      </c>
      <c r="G98" s="182">
        <f>IFERROR(AVERAGE(F98),"")</f>
        <v>0.8</v>
      </c>
      <c r="H98" s="412"/>
      <c r="I98" s="416"/>
      <c r="J98" s="429"/>
    </row>
    <row r="99" spans="1:11" s="5" customFormat="1" ht="15.75" x14ac:dyDescent="0.25">
      <c r="A99" s="445" t="s">
        <v>50</v>
      </c>
      <c r="B99" s="236" t="s">
        <v>105</v>
      </c>
      <c r="C99" s="40" t="s">
        <v>179</v>
      </c>
      <c r="D99" s="41"/>
      <c r="E99" s="44"/>
      <c r="F99" s="99">
        <f>IF(G72="",0.8,(IF(AND(E98="",G72="Yes"),0.9,IF(D73="Northern Forest Rivers",IF(E99&lt;=38.2,0,IF(E99&gt;=77,1,ROUND(IF(E99&lt;49, 'Reference Standards'!$Q$5*E99+'Reference Standards'!$Q$6, IF(E99&lt;59.8, 'Reference Standards'!$R$5*E99+'Reference Standards'!$R$6, 'Reference Standards'!$S$5*E99+'Reference Standards'!$S$6)),2))),   IF(D73="Northern Forest Streams Riffle-run",IF(E99&lt;40.4,0,IF(E99&gt;=82,1,ROUND(IF(E99&lt;53, 'Reference Standards'!$T$5*E99+'Reference Standards'!$T$6, IF(E99&lt;59.8, 'Reference Standards'!$U$5*E99+'Reference Standards'!$U$6, 'Reference Standards'!$V$5*E99+'Reference Standards'!$V$6) ),2))), IF(D73="Northern Forest Streams Glide-pool",IF(E99&lt;=37,0,IF(E99&gt;=76,1,ROUND(IF(E99&lt;51, 'Reference Standards'!$W$5*E99+'Reference Standards'!$W$6, IF(E99&lt;65.6, 'Reference Standards'!$X$5*E99+'Reference Standards'!$X$6, 'Reference Standards'!$Y$5*E99+'Reference Standards'!$Y$6) ),2))), IF(D73="Northern Coldwater",IF(E99&lt;19.6,0,IF(E99&gt;=52,1,ROUND(IF(E99&lt;32, 'Reference Standards'!$Z$5*E99+'Reference Standards'!$Z$6, IF(E99&lt;44.4,'Reference Standards'!$AA$5*E99+'Reference Standards'!$AA$6, 'Reference Standards'!$AB$5*E99+'Reference Standards'!$AB$6) ),2))), IF(D73="Southern Forest Streams Riffle-run", IF(E99&lt;24,0,IF(E99&gt;=62,1,ROUND(IF(E99&lt;37, 'Reference Standards'!$Q$11*E99+'Reference Standards'!$Q$12, IF(E99&lt;49.6,'Reference Standards'!$R$11*E99+'Reference Standards'!$R$12,'Reference Standards'!$S$11*E99+'Reference Standards'!$S$12)),2))), IF(D73="Southern Forest Streams Glide-pool", IF(E99&lt;29.4,0,IF(E99&gt;=65,1,ROUND(IF(E99&lt;43,'Reference Standards'!$T$11*E99+'Reference Standards'!$T$12, IF(E99&lt;56.6, 'Reference Standards'!$U$11*E99+'Reference Standards'!$U$12,'Reference Standards'!$V$11*E99+'Reference Standards'!$V$12)),2))), IF(D73="Southern Coldwater", IF(E99&lt;29.2,0,IF(E99&gt;=72,1,ROUND(IF(E99&lt;43, 'Reference Standards'!$W$11*E99+'Reference Standards'!$W$12, IF(E99&lt;56.8,'Reference Standards'!$X$11*E99+'Reference Standards'!$X$12, 'Reference Standards'!$Y$11*E99+'Reference Standards'!$Y$12)),2))), IF(D73="Prairie Forest Rivers", IF(E99&lt;20.2,0,IF(E99&gt;=62,1,ROUND(IF(E99&lt;31,'Reference Standards'!$Q$17*E99+'Reference Standards'!$Q$18, IF(E99&lt;41.8,'Reference Standards'!$R$17*E99+'Reference Standards'!$R$18,'Reference Standards'!$S$17*E99+'Reference Standards'!$S$18)),2))), IF(D73="Prairie Streams Glide-Pool", IF(E99&lt;27.4,0,IF(E99&gt;=69,1,ROUND(IF(E99&lt;41,'Reference Standards'!$T$17*E99+'Reference Standards'!$T$18, IF(E99&lt;54.6,'Reference Standards'!$U$17*E99+'Reference Standards'!$U$18, 'Reference Standards'!$V$17*E99+'Reference Standards'!$V$18)),2))) ))))))))))))</f>
        <v>0.8</v>
      </c>
      <c r="G99" s="237">
        <f>IFERROR(AVERAGE(F99),"")</f>
        <v>0.8</v>
      </c>
      <c r="H99" s="450">
        <f>IFERROR(ROUND(AVERAGE(G99:G100),2),"")</f>
        <v>0.8</v>
      </c>
      <c r="I99" s="414" t="str">
        <f>IF(H99="","",IF(H99&gt;0.69,"Functioning",IF(H99&gt;0.29,"Functioning At Risk",IF(H99&gt;-1,"Not Functioning"))))</f>
        <v>Functioning</v>
      </c>
      <c r="J99" s="429"/>
    </row>
    <row r="100" spans="1:11" s="5" customFormat="1" ht="15.75" x14ac:dyDescent="0.25">
      <c r="A100" s="446"/>
      <c r="B100" s="238" t="s">
        <v>54</v>
      </c>
      <c r="C100" s="183" t="s">
        <v>180</v>
      </c>
      <c r="D100" s="184"/>
      <c r="E100" s="101"/>
      <c r="F100" s="99">
        <f>IF(G72="",0.8,(IF(AND(E100="",G72="Yes"),0.9,IF(G70="Northern Rivers",IF(E100&lt;29,0,IF(E100&gt;=66,1,ROUND(IF(E100&lt;38, 'Reference Standards'!$Q$23*E100+'Reference Standards'!$Q$24, IF(E100&lt;47, 'Reference Standards'!$R$23*E100+'Reference Standards'!$R$24, 'Reference Standards'!$S$23*E100+'Reference Standards'!$S$24)),2))),   IF(G70="Northern Streams",IF(E100&lt;35,0,IF(E100&gt;=61,1,ROUND(IF(E100&lt;47, 'Reference Standards'!$T$23*E100+'Reference Standards'!$T$24, IF(E100&lt;56, 'Reference Standards'!$U$23*E100+'Reference Standards'!$U$24, 'Reference Standards'!$V$23*E100+'Reference Standards'!$V$24) ),2))), IF(G70="Northern Headwaters",IF(E100&lt;23,0,IF(E100&gt;=68,1,ROUND(IF(E100&lt;42, 'Reference Standards'!$W$23*E100+'Reference Standards'!$W$24, IF(E100&lt;56, 'Reference Standards'!$X$23*E100+'Reference Standards'!$X$24, 'Reference Standards'!$Y$23*E100+'Reference Standards'!$Y$24) ),2))), IF(G70="Northern Coldwater",IF(E100&lt;25,0,IF(E100&gt;=60,1,ROUND(IF(E100&lt;35, 'Reference Standards'!$Z$23*E100+'Reference Standards'!$Z$24, IF(E100&lt;45, 'Reference Standards'!$AA$23*E100+'Reference Standards'!$AA$24, 'Reference Standards'!$AB$23*E100+'Reference Standards'!$AB$24) ),2))), IF(G70="Southern River", IF(E100&lt;38,0,IF(E100&gt;=71,1,ROUND(IF(E100&lt;49, 'Reference Standards'!$Q$29*E100+'Reference Standards'!$Q$30, IF(E100&lt;60,'Reference Standards'!$R$29*E100+'Reference Standards'!$R$30, 'Reference Standards'!$S$29*E100+'Reference Standards'!$S$30)),2))), IF(G70="Southern Streams", IF(E100&lt;35,0,IF(E100&gt;=66,1,ROUND(IF(E100&lt;50,'Reference Standards'!$T$29*E100+'Reference Standards'!$T$30, IF(E100&lt;59, 'Reference Standards'!$U$29*E100+'Reference Standards'!$U$30, 'Reference Standards'!$V$29*E100+'Reference Standards'!$V$30)),2))), IF(G70="Southern Headwaters", IF(E100&lt;33,0,IF(E100&gt;=74,1,ROUND(IF(E100&lt;55, 'Reference Standards'!$W$29*E100+'Reference Standards'!$W$30, IF(E100&lt;62, 'Reference Standards'!$X$29*E100+'Reference Standards'!$X$30, 'Reference Standards'!$Y$29*E100+'Reference Standards'!$Y$30)),2))), IF(G70="Southern Coldwater", IF(E100&lt;37,0,IF(E100&gt;=82,1,ROUND(IF(E100&lt;50, 'Reference Standards'!$Z$29*E100+'Reference Standards'!$Z$30, IF(E100&lt;63,'Reference Standards'!$AA$29*E100+'Reference Standards'!$AA$30,'Reference Standards'!$AB$29*E100+'Reference Standards'!$AB$30)),2))), IF(G70="Low Gradient", IF(E100&lt;15,0,IF(E100&gt;=70,1,ROUND(IF(E100&lt;42, 'Reference Standards'!$Q$34*E100+'Reference Standards'!$Q$35, IF(E100&lt;52, 'Reference Standards'!$R$34*E100+'Reference Standards'!$R$35, 'Reference Standards'!$S$34*E100+'Reference Standards'!$S$35)),2))) ))))))))))))</f>
        <v>0.8</v>
      </c>
      <c r="G100" s="237">
        <f>IFERROR(AVERAGE(F100),"")</f>
        <v>0.8</v>
      </c>
      <c r="H100" s="450"/>
      <c r="I100" s="414"/>
      <c r="J100" s="429"/>
    </row>
    <row r="101" spans="1:11" s="5" customFormat="1" ht="8.4499999999999993" customHeight="1" x14ac:dyDescent="0.25">
      <c r="I101" s="102"/>
      <c r="J101" s="4"/>
      <c r="K101" s="11"/>
    </row>
    <row r="102" spans="1:11" s="5" customFormat="1" ht="8.4499999999999993" customHeight="1" x14ac:dyDescent="0.25">
      <c r="I102" s="102"/>
      <c r="K102" s="11"/>
    </row>
    <row r="103" spans="1:11" s="5" customFormat="1" ht="21" customHeight="1" x14ac:dyDescent="0.25">
      <c r="A103" s="406" t="s">
        <v>310</v>
      </c>
      <c r="B103" s="407"/>
      <c r="C103" s="407"/>
      <c r="D103" s="407"/>
      <c r="E103" s="407"/>
      <c r="F103" s="407"/>
      <c r="G103" s="407"/>
      <c r="H103" s="407"/>
      <c r="I103" s="407"/>
      <c r="J103" s="408"/>
    </row>
    <row r="104" spans="1:11" s="5" customFormat="1" ht="18" customHeight="1" x14ac:dyDescent="0.25">
      <c r="A104" s="122" t="s">
        <v>68</v>
      </c>
      <c r="B104" s="101"/>
      <c r="C104" s="122" t="s">
        <v>195</v>
      </c>
      <c r="D104" s="48"/>
      <c r="E104" s="165" t="s">
        <v>226</v>
      </c>
      <c r="F104" s="166"/>
      <c r="G104" s="48"/>
      <c r="H104" s="404" t="s">
        <v>137</v>
      </c>
      <c r="I104" s="405"/>
      <c r="J104" s="101"/>
    </row>
    <row r="105" spans="1:11" s="5" customFormat="1" ht="18" customHeight="1" x14ac:dyDescent="0.25">
      <c r="A105" s="122" t="s">
        <v>69</v>
      </c>
      <c r="B105" s="48"/>
      <c r="C105" s="122" t="s">
        <v>205</v>
      </c>
      <c r="D105" s="48"/>
      <c r="E105" s="413" t="s">
        <v>92</v>
      </c>
      <c r="F105" s="413"/>
      <c r="G105" s="48"/>
      <c r="H105" s="404" t="s">
        <v>138</v>
      </c>
      <c r="I105" s="405"/>
      <c r="J105" s="101"/>
    </row>
    <row r="106" spans="1:11" s="5" customFormat="1" ht="18" customHeight="1" x14ac:dyDescent="0.25">
      <c r="A106" s="122" t="s">
        <v>136</v>
      </c>
      <c r="B106" s="48"/>
      <c r="C106" s="122" t="s">
        <v>206</v>
      </c>
      <c r="D106" s="48"/>
      <c r="E106" s="413" t="s">
        <v>267</v>
      </c>
      <c r="F106" s="413"/>
      <c r="G106" s="48"/>
      <c r="H106" s="404" t="s">
        <v>139</v>
      </c>
      <c r="I106" s="405"/>
      <c r="J106" s="101"/>
    </row>
    <row r="107" spans="1:11" s="5" customFormat="1" ht="18" customHeight="1" x14ac:dyDescent="0.25">
      <c r="A107" s="106" t="s">
        <v>261</v>
      </c>
      <c r="B107" s="48"/>
      <c r="C107" s="122" t="s">
        <v>207</v>
      </c>
      <c r="D107" s="48"/>
      <c r="E107" s="225" t="s">
        <v>260</v>
      </c>
      <c r="F107" s="226"/>
      <c r="G107" s="48"/>
      <c r="H107" s="404" t="s">
        <v>140</v>
      </c>
      <c r="I107" s="405"/>
      <c r="J107" s="101"/>
    </row>
    <row r="108" spans="1:11" s="5" customFormat="1" ht="6.6" customHeight="1" x14ac:dyDescent="0.25">
      <c r="A108" s="1"/>
      <c r="B108" s="4"/>
      <c r="C108" s="4"/>
      <c r="D108" s="4"/>
      <c r="E108" s="4"/>
      <c r="F108" s="4"/>
      <c r="G108" s="4"/>
      <c r="H108" s="12"/>
      <c r="I108" s="104"/>
      <c r="J108" s="12"/>
    </row>
    <row r="109" spans="1:11" s="5" customFormat="1" ht="21" x14ac:dyDescent="0.35">
      <c r="A109" s="417" t="s">
        <v>48</v>
      </c>
      <c r="B109" s="418"/>
      <c r="C109" s="418"/>
      <c r="D109" s="418"/>
      <c r="E109" s="418"/>
      <c r="F109" s="419"/>
      <c r="G109" s="420" t="s">
        <v>14</v>
      </c>
      <c r="H109" s="420"/>
      <c r="I109" s="420"/>
      <c r="J109" s="420"/>
    </row>
    <row r="110" spans="1:11" s="5" customFormat="1" ht="15.75" x14ac:dyDescent="0.25">
      <c r="A110" s="46" t="s">
        <v>1</v>
      </c>
      <c r="B110" s="46" t="s">
        <v>2</v>
      </c>
      <c r="C110" s="421" t="s">
        <v>3</v>
      </c>
      <c r="D110" s="422"/>
      <c r="E110" s="46" t="s">
        <v>12</v>
      </c>
      <c r="F110" s="45" t="s">
        <v>13</v>
      </c>
      <c r="G110" s="46" t="s">
        <v>15</v>
      </c>
      <c r="H110" s="46" t="s">
        <v>16</v>
      </c>
      <c r="I110" s="105" t="s">
        <v>16</v>
      </c>
      <c r="J110" s="46" t="s">
        <v>110</v>
      </c>
    </row>
    <row r="111" spans="1:11" s="5" customFormat="1" ht="15.75" customHeight="1" x14ac:dyDescent="0.25">
      <c r="A111" s="427" t="s">
        <v>51</v>
      </c>
      <c r="B111" s="427" t="s">
        <v>78</v>
      </c>
      <c r="C111" s="167" t="s">
        <v>162</v>
      </c>
      <c r="D111" s="169"/>
      <c r="E111" s="44"/>
      <c r="F111" s="28">
        <f>IF(G107="Yes","",(IF(G106="",0.8,(IF(AND(E111="",G106="Yes"),0.9,(IF(AND(E111="",G106="No"),0.8,IF(E111&gt;=80,0,IF(E111&lt;=40,1,IF(E111&gt;=68,ROUND(E111*'Reference Standards'!$B$4+'Reference Standards'!$B$5,2),ROUND(E111*'Reference Standards'!$C$4+'Reference Standards'!$C$5,2)))))))))))</f>
        <v>0.8</v>
      </c>
      <c r="G111" s="401">
        <f>IFERROR(AVERAGE(F111:F113),"")</f>
        <v>0.8</v>
      </c>
      <c r="H111" s="401">
        <f>IFERROR(ROUND(AVERAGE(G111:G113),2),"")</f>
        <v>0.8</v>
      </c>
      <c r="I111" s="414" t="str">
        <f>IF(H111="","",IF(H111&gt;0.69,"Functioning",IF(H111&gt;0.29,"Functioning At Risk",IF(H111&gt;-1,"Not Functioning"))))</f>
        <v>Functioning</v>
      </c>
      <c r="J111" s="429">
        <f>IF(AND(H111="",H114="",H116="",H130="",H133=""),"",ROUND((IF(H111="",0,H111)*0.2)+(IF(H114="",0,H114)*0.2)+(IF(H116="",0,H116)*0.2)+(IF(H130="",0,H130)*0.2)+(IF(H133="",0,H133)*0.2),2))</f>
        <v>0.8</v>
      </c>
    </row>
    <row r="112" spans="1:11" s="5" customFormat="1" ht="15.75" customHeight="1" x14ac:dyDescent="0.25">
      <c r="A112" s="428"/>
      <c r="B112" s="428"/>
      <c r="C112" s="168" t="s">
        <v>164</v>
      </c>
      <c r="D112" s="170"/>
      <c r="E112" s="49"/>
      <c r="F112" s="228" t="str">
        <f>IF(G107="No","",IF(E112="","",  IF(E112&gt;0.95,0,IF(E112&lt;=0.02,1,ROUND(IF(E112&gt;0.26,'Reference Standards'!$B$10*E112+'Reference Standards'!$B$11, IF(E112&lt;0.05, 'Reference Standards'!$D$10*E112+'Reference Standards'!$D$11, 'Reference Standards'!$C$10*E112+'Reference Standards'!$C$11)),2))) ))</f>
        <v/>
      </c>
      <c r="G112" s="402"/>
      <c r="H112" s="402"/>
      <c r="I112" s="414"/>
      <c r="J112" s="429"/>
    </row>
    <row r="113" spans="1:10" s="5" customFormat="1" ht="15.75" x14ac:dyDescent="0.25">
      <c r="A113" s="428"/>
      <c r="B113" s="442"/>
      <c r="C113" s="171" t="s">
        <v>166</v>
      </c>
      <c r="D113" s="172"/>
      <c r="E113" s="49"/>
      <c r="F113" s="227">
        <f>IF(G107="Yes","",(IF(G106="",0.8,(IF(AND(E113="",G106="Yes"),0.9,(IF(AND(E113="",G106="No"),0.8,IF(E113&gt;3.22,0,IF(E113&lt;0,"",ROUND('Reference Standards'!$B$15*E113+'Reference Standards'!$B$16,2))))))))))</f>
        <v>0.8</v>
      </c>
      <c r="G113" s="403"/>
      <c r="H113" s="403"/>
      <c r="I113" s="414"/>
      <c r="J113" s="429"/>
    </row>
    <row r="114" spans="1:10" s="5" customFormat="1" ht="15.75" customHeight="1" x14ac:dyDescent="0.25">
      <c r="A114" s="432" t="s">
        <v>4</v>
      </c>
      <c r="B114" s="434" t="s">
        <v>5</v>
      </c>
      <c r="C114" s="17" t="s">
        <v>6</v>
      </c>
      <c r="D114" s="17"/>
      <c r="E114" s="44"/>
      <c r="F114" s="96">
        <f>IF(G106="",0.8,(IF(AND(E114="",G106="Yes"),0.9,(IF(AND(E114="",G106="No"),0.8,ROUND(IF(E114&gt;1.6,0,IF(E114&lt;=1,1,E114^2*'Reference Standards'!$F$2+E114*'Reference Standards'!$F$3+'Reference Standards'!$F$4)),2))))))</f>
        <v>0.8</v>
      </c>
      <c r="G114" s="435">
        <f>IFERROR(AVERAGE(F114:F115),"")</f>
        <v>0.8</v>
      </c>
      <c r="H114" s="436">
        <f>IFERROR(ROUND(AVERAGE(G114),2),"")</f>
        <v>0.8</v>
      </c>
      <c r="I114" s="438" t="str">
        <f>IF(H114="","",IF(H114&gt;0.69,"Functioning",IF(H114&gt;0.29,"Functioning At Risk",IF(H114&gt;-1,"Not Functioning"))))</f>
        <v>Functioning</v>
      </c>
      <c r="J114" s="429"/>
    </row>
    <row r="115" spans="1:10" s="5" customFormat="1" ht="15.75" x14ac:dyDescent="0.25">
      <c r="A115" s="433"/>
      <c r="B115" s="434"/>
      <c r="C115" s="17" t="s">
        <v>7</v>
      </c>
      <c r="D115" s="17"/>
      <c r="E115" s="50"/>
      <c r="F115" s="96">
        <f>IF(G106="",0.8,(IF(AND(E115="",G106="Yes"),0.9,(IF(AND(E115="",G106="No"),0.8,(IF(OR(B106="A",B106="B",B106="Bc",B106="Ba"),IF(E115&lt;1.2,0,IF(E115&gt;=2.2,1,ROUND(IF(E115&lt;1.4,E115*'Reference Standards'!$F$13+'Reference Standards'!$F$14,E115*'Reference Standards'!$G$13+'Reference Standards'!$G$14),2))),IF(OR(B106="C",B106="Cb",B106="E"),IF(E115&lt;2,0,IF(E115&gt;=5,1,ROUND(IF(E115&lt;2.4,E115*'Reference Standards'!$G$8+'Reference Standards'!$G$9,E115*'Reference Standards'!$F$8+'Reference Standards'!$F$9),2)))))))))))</f>
        <v>0.8</v>
      </c>
      <c r="G115" s="435"/>
      <c r="H115" s="437"/>
      <c r="I115" s="439"/>
      <c r="J115" s="429"/>
    </row>
    <row r="116" spans="1:10" s="5" customFormat="1" ht="15.75" customHeight="1" x14ac:dyDescent="0.25">
      <c r="A116" s="398" t="s">
        <v>21</v>
      </c>
      <c r="B116" s="440" t="s">
        <v>22</v>
      </c>
      <c r="C116" s="21" t="s">
        <v>103</v>
      </c>
      <c r="D116" s="69"/>
      <c r="E116" s="44"/>
      <c r="F116" s="229" t="str">
        <f>IF(E116="","",IF(E116&gt;=660,1,IF(E116&lt;=430,ROUND('Reference Standards'!$I$4*E116+'Reference Standards'!$I$5,2),ROUND('Reference Standards'!$J$4*E116+'Reference Standards'!$J$5,2))))</f>
        <v/>
      </c>
      <c r="G116" s="423">
        <f>IFERROR(AVERAGE(F116:F117),"")</f>
        <v>0.8</v>
      </c>
      <c r="H116" s="447">
        <f>IFERROR(ROUND(AVERAGE(G116:G129),2),"")</f>
        <v>0.8</v>
      </c>
      <c r="I116" s="449" t="str">
        <f>IF(H116="","",IF(H116&gt;0.69,"Functioning",IF(H116&gt;0.29,"Functioning At Risk",IF(H116&gt;-1,"Not Functioning"))))</f>
        <v>Functioning</v>
      </c>
      <c r="J116" s="429"/>
    </row>
    <row r="117" spans="1:10" s="5" customFormat="1" ht="15.75" x14ac:dyDescent="0.25">
      <c r="A117" s="399"/>
      <c r="B117" s="441"/>
      <c r="C117" s="24" t="s">
        <v>99</v>
      </c>
      <c r="D117" s="70"/>
      <c r="E117" s="50"/>
      <c r="F117" s="98">
        <f>IF(ISNUMBER(E116),"",IF(G106="",0.8,(IF(AND(E117="",G106="Yes"),0.9,(IF(AND(E117="",G106="No"),0.8,IF(E117&gt;=28,1,ROUND(IF(E117&lt;=13,'Reference Standards'!$I$9*E117,'Reference Standards'!$J$9*E117+'Reference Standards'!$J$10),2))))))))</f>
        <v>0.8</v>
      </c>
      <c r="G117" s="426"/>
      <c r="H117" s="447"/>
      <c r="I117" s="449"/>
      <c r="J117" s="429"/>
    </row>
    <row r="118" spans="1:10" s="5" customFormat="1" ht="15.75" x14ac:dyDescent="0.25">
      <c r="A118" s="399"/>
      <c r="B118" s="399" t="s">
        <v>126</v>
      </c>
      <c r="C118" s="19" t="s">
        <v>43</v>
      </c>
      <c r="D118" s="19"/>
      <c r="E118" s="49"/>
      <c r="F118" s="29">
        <f>IF(G106="",0.8,(IF(AND(E118="",G106="Yes"),0.9,(IF(AND(E118="",G106="No"),0.8,IF(OR(E118="Ex/Ex",E118="Ex/VH",E118="Ex/H",E118="Ex/M",E118="VH/Ex",E118="VH/VH", E118="H/Ex",E118="H/VH"),0, IF(OR(E118="M/Ex"),0.1,IF(OR(E118="VH/H",E118="VH/M",E118="H/H",E118="H/M", E118="M/VH"),0.2, IF(OR(E118="Ex/VL",E118="Ex/L", E118="M/H"),0.3, IF(OR(E118="VH/L",E118="H/L"),0.4, IF(OR(E118="VH/VL",E118="H/VL",E118="M/M"),0.5, IF(OR(E118="M/L",E118="L/Ex"),0.6, IF(OR(E118="M/VL",E118="L/VH", E118="L/H",E118="L/M",E118="L/L",E118="L/VL",LEFT(E118)="V"),1)))))))))))))</f>
        <v>0.8</v>
      </c>
      <c r="G118" s="423">
        <f>IFERROR(AVERAGE(F118:F120),"")</f>
        <v>0.80000000000000016</v>
      </c>
      <c r="H118" s="448"/>
      <c r="I118" s="449"/>
      <c r="J118" s="429"/>
    </row>
    <row r="119" spans="1:10" s="5" customFormat="1" ht="15.75" x14ac:dyDescent="0.25">
      <c r="A119" s="399"/>
      <c r="B119" s="399"/>
      <c r="C119" s="20" t="s">
        <v>57</v>
      </c>
      <c r="D119" s="173"/>
      <c r="E119" s="243"/>
      <c r="F119" s="29">
        <f>IF(G106="",0.8,(IF(AND(E119="",G106="Yes"),0.9,(IF(AND(E119="",G106="No"),0.8,ROUND(IF(E119&gt;=75,0,IF(E119&lt;=5,1,IF(E119&gt;10,E119*'Reference Standards'!$I$14+'Reference Standards'!$I$15,'Reference Standards'!$J$14*E119+'Reference Standards'!$J$15))),2))))))</f>
        <v>0.8</v>
      </c>
      <c r="G119" s="424"/>
      <c r="H119" s="448"/>
      <c r="I119" s="449"/>
      <c r="J119" s="429"/>
    </row>
    <row r="120" spans="1:10" s="5" customFormat="1" ht="15.75" x14ac:dyDescent="0.25">
      <c r="A120" s="399"/>
      <c r="B120" s="400"/>
      <c r="C120" s="20" t="s">
        <v>125</v>
      </c>
      <c r="D120" s="20"/>
      <c r="E120" s="50"/>
      <c r="F120" s="98">
        <f>IF(G106="",0.8,(IF(AND(E120="",G106="Yes"),0.9,(IF(AND(E120="",G106="No"),0.8,IF(E120&gt;=50,0,ROUND(E120*'Reference Standards'!$I$18+'Reference Standards'!$I$19,2)))))))</f>
        <v>0.8</v>
      </c>
      <c r="G120" s="426"/>
      <c r="H120" s="448"/>
      <c r="I120" s="449"/>
      <c r="J120" s="429"/>
    </row>
    <row r="121" spans="1:10" s="5" customFormat="1" ht="15.75" x14ac:dyDescent="0.25">
      <c r="A121" s="399"/>
      <c r="B121" s="18" t="s">
        <v>70</v>
      </c>
      <c r="C121" s="26" t="s">
        <v>80</v>
      </c>
      <c r="D121" s="68"/>
      <c r="E121" s="50"/>
      <c r="F121" s="27" t="str">
        <f>IF(E121="","",IF(E121&gt;=50,0,ROUND(E121*'Reference Standards'!$I$22+'Reference Standards'!$I$23,2)))</f>
        <v/>
      </c>
      <c r="G121" s="27" t="str">
        <f>IFERROR(AVERAGE(F121),"")</f>
        <v/>
      </c>
      <c r="H121" s="448"/>
      <c r="I121" s="449"/>
      <c r="J121" s="429"/>
    </row>
    <row r="122" spans="1:10" s="5" customFormat="1" ht="15.75" x14ac:dyDescent="0.25">
      <c r="A122" s="399"/>
      <c r="B122" s="398" t="s">
        <v>45</v>
      </c>
      <c r="C122" s="25" t="s">
        <v>46</v>
      </c>
      <c r="D122" s="25"/>
      <c r="E122" s="53"/>
      <c r="F122" s="230">
        <f>IF(G106="",0.8,(IF(AND(E122="",G106="Yes"),0.9,(IF(AND(E122="",G106="No"),0.8,ROUND( IF(OR(LEFT(B106)="C",B106="E"), IF(OR(E122&lt;=1,E122&gt;=9),0,IF(AND(E122&gt;=3.5,E122&lt;=6),1,IF(E122&lt;3.5, E122*'Reference Standards'!$I$37+'Reference Standards'!$I$38, E122*'Reference Standards'!$J$37+'Reference Standards'!$J$38))),   IF(OR(B106="A",(B106)="B", (B106)="Ba"), IF(E122&gt;=6.5,0, IF(E122&lt;=4, 1, E122^2*'Reference Standards'!$I$26+E122*'Reference Standards'!$I$27+'Reference Standards'!$I$28)), IF(B106="Bc",  IF(E122&gt;=8,0, IF(E122&lt;=5, 1, E122^2*'Reference Standards'!$I$31+E122*'Reference Standards'!$I$32+'Reference Standards'!$I$33))))),2))))))</f>
        <v>0.8</v>
      </c>
      <c r="G122" s="430">
        <f>IFERROR(AVERAGE(F122:F125),"")</f>
        <v>0.80000000000000016</v>
      </c>
      <c r="H122" s="448"/>
      <c r="I122" s="449"/>
      <c r="J122" s="429"/>
    </row>
    <row r="123" spans="1:10" s="5" customFormat="1" ht="15.75" x14ac:dyDescent="0.25">
      <c r="A123" s="399"/>
      <c r="B123" s="399"/>
      <c r="C123" s="19" t="s">
        <v>47</v>
      </c>
      <c r="D123" s="19"/>
      <c r="E123" s="52"/>
      <c r="F123" s="29">
        <f>IF(G106="",0.8,(IF(AND(E123="",G106="Yes"),0.9,(IF(AND(E123="",G106="No"),0.8,ROUND(  IF(E123&lt;=1.1,0, IF(E123&gt;=3,1, IF(E123&lt;2, E123^2*'Reference Standards'!$I$42+  E123*'Reference Standards'!$I$43 + 'Reference Standards'!$I$44,      E123*'Reference Standards'!$J$43+'Reference Standards'!$J$44))),2))))))</f>
        <v>0.8</v>
      </c>
      <c r="G123" s="425"/>
      <c r="H123" s="448"/>
      <c r="I123" s="449"/>
      <c r="J123" s="429"/>
    </row>
    <row r="124" spans="1:10" s="5" customFormat="1" ht="15.75" x14ac:dyDescent="0.25">
      <c r="A124" s="399"/>
      <c r="B124" s="399"/>
      <c r="C124" s="19" t="s">
        <v>104</v>
      </c>
      <c r="D124" s="19"/>
      <c r="E124" s="52"/>
      <c r="F124" s="269">
        <f>IF(G106="",0.8,(IF(AND(E124="",G106="Yes"),0.9,(IF(AND(E124="",G106="No"),0.8,IF(OR(B106="A",LEFT(B106,1)="B"),IF(OR(E124&lt;=20,E124&gt;=90),0,IF(AND(E124&gt;=50,E124&lt;=60),1,IF(E124&lt;50,ROUND(E124*'Reference Standards'!$I$48+'Reference Standards'!$I$49,2),ROUND(E124*'Reference Standards'!$J$48+'Reference Standards'!$J$49,2)))),IF(OR(LEFT(B106)="C",B106="E"),IF(OR(E124&lt;=20,E124&gt;=85),0,IF(AND(E124&lt;=65,E124&gt;=45),1,IF(E124&lt;45,ROUND(E124*'Reference Standards'!$I$53+'Reference Standards'!$I$54,2),ROUND(E124*'Reference Standards'!$J$53+'Reference Standards'!$J$54,2)))))))))))</f>
        <v>0.8</v>
      </c>
      <c r="G124" s="425"/>
      <c r="H124" s="448"/>
      <c r="I124" s="449"/>
      <c r="J124" s="429"/>
    </row>
    <row r="125" spans="1:10" s="5" customFormat="1" ht="15.75" x14ac:dyDescent="0.25">
      <c r="A125" s="399"/>
      <c r="B125" s="400"/>
      <c r="C125" s="23" t="s">
        <v>88</v>
      </c>
      <c r="D125" s="19"/>
      <c r="E125" s="54"/>
      <c r="F125" s="270" t="str">
        <f>IF(E125="","",IF(E125&gt;=1.6,0,IF(E125&lt;=1,1,ROUND('Reference Standards'!$I$57*E125^3+'Reference Standards'!$I$58*E125^2+'Reference Standards'!$I$59*E125+'Reference Standards'!$I$60,2))))</f>
        <v/>
      </c>
      <c r="G125" s="431"/>
      <c r="H125" s="448"/>
      <c r="I125" s="449"/>
      <c r="J125" s="429"/>
    </row>
    <row r="126" spans="1:10" s="5" customFormat="1" ht="15.75" x14ac:dyDescent="0.25">
      <c r="A126" s="399"/>
      <c r="B126" s="398" t="s">
        <v>44</v>
      </c>
      <c r="C126" s="21" t="s">
        <v>182</v>
      </c>
      <c r="D126" s="69"/>
      <c r="E126" s="22"/>
      <c r="F126" s="97">
        <f>IF(G106="",0.8,(IF(AND(E126="",G106="Yes"),0.9,(IF(AND(E126="",G106="No"),0.8,IF(G105="Unconfined Alluvial",IF(E126&gt;=100,1,IF(E126&lt;30,0,ROUND('Reference Standards'!$I$64*E126+'Reference Standards'!$I$65,2))),IF(OR(G105="Confined Alluvial",G105="Colluvial/V-Shaped"),(IF(E126&gt;=100,1,IF(E126&lt;60,0,ROUND('Reference Standards'!$J$64*E126+'Reference Standards'!$J$65,2)))))))))))</f>
        <v>0.8</v>
      </c>
      <c r="G126" s="423">
        <f>IFERROR(AVERAGE(F126:F129),"")</f>
        <v>0.80000000000000016</v>
      </c>
      <c r="H126" s="448"/>
      <c r="I126" s="449"/>
      <c r="J126" s="429"/>
    </row>
    <row r="127" spans="1:10" s="5" customFormat="1" ht="15.75" x14ac:dyDescent="0.25">
      <c r="A127" s="399"/>
      <c r="B127" s="399"/>
      <c r="C127" s="23" t="s">
        <v>183</v>
      </c>
      <c r="D127" s="173"/>
      <c r="E127" s="244"/>
      <c r="F127" s="29">
        <f>IF(G106="",0.8,(IF(AND(E127="",G106="Yes"),0.9,(IF(AND(E127="",G106="No"),0.8,IF(B107="Yes",IF(E127&lt;=50,0,IF(E127&gt;=80,1,ROUND('Reference Standards'!$I$69*E127+'Reference Standards'!$I$70,2))),IF(B107="No",IF(E127&gt;=80,0,IF(E127&lt;=50,1,ROUND(E127*'Reference Standards'!$J$69+'Reference Standards'!$J$70,2))))))))))</f>
        <v>0.8</v>
      </c>
      <c r="G127" s="424"/>
      <c r="H127" s="448"/>
      <c r="I127" s="449"/>
      <c r="J127" s="429"/>
    </row>
    <row r="128" spans="1:10" s="5" customFormat="1" ht="15.75" x14ac:dyDescent="0.25">
      <c r="A128" s="399"/>
      <c r="B128" s="399"/>
      <c r="C128" s="23" t="s">
        <v>184</v>
      </c>
      <c r="D128" s="173"/>
      <c r="E128" s="244"/>
      <c r="F128" s="29">
        <f>IF(G106="",0.8,(IF(AND(E128="",G106="Yes"),0.9,(IF(AND(E128="",G106="No"),0.8,IF(E128&lt;=50,0,IF(E128&gt;=80,1, ROUND(E128*'Reference Standards'!$I$73+'Reference Standards'!$I$74,2))))))))</f>
        <v>0.8</v>
      </c>
      <c r="G128" s="425"/>
      <c r="H128" s="448"/>
      <c r="I128" s="449"/>
      <c r="J128" s="429"/>
    </row>
    <row r="129" spans="1:11" s="5" customFormat="1" ht="15.75" x14ac:dyDescent="0.25">
      <c r="A129" s="399"/>
      <c r="B129" s="400"/>
      <c r="C129" s="443" t="s">
        <v>277</v>
      </c>
      <c r="D129" s="444"/>
      <c r="E129" s="16"/>
      <c r="F129" s="98" t="str">
        <f>IF(OR(B107="",B107="No"),"",IF(AND(E129="",B107="Yes",G106="Yes"),0.9,IF(OR(G106="No",G106=""),0.8,IF(E129&lt;=9,0,IF(E129&gt;=14,1,ROUND('Reference Standards'!$I$77*E129+'Reference Standards'!$I$78,2))))))</f>
        <v/>
      </c>
      <c r="G129" s="426"/>
      <c r="H129" s="448"/>
      <c r="I129" s="449"/>
      <c r="J129" s="429"/>
    </row>
    <row r="130" spans="1:11" s="5" customFormat="1" ht="15.75" x14ac:dyDescent="0.25">
      <c r="A130" s="409" t="s">
        <v>49</v>
      </c>
      <c r="B130" s="174" t="s">
        <v>169</v>
      </c>
      <c r="C130" s="175" t="s">
        <v>176</v>
      </c>
      <c r="D130" s="177"/>
      <c r="E130" s="101"/>
      <c r="F130" s="182">
        <f>IF(G106="",0.8,(IF(AND(E130="",G106="Yes"),0.9,IF(E130&gt;=25,0,IF(E130&lt;=10,1,ROUND(IF(E130&gt;18,'Reference Standards'!$L$4*E130+'Reference Standards'!$L$5,IF(E130&lt;12,'Reference Standards'!$N$4*E130+'Reference Standards'!$N$5,'Reference Standards'!$M$4*E130+'Reference Standards'!$M$5)),2))))))</f>
        <v>0.8</v>
      </c>
      <c r="G130" s="180">
        <f>IFERROR(AVERAGE(F130),"")</f>
        <v>0.8</v>
      </c>
      <c r="H130" s="411">
        <f>IFERROR(ROUND(AVERAGE(G130:G132),2),"")</f>
        <v>0.8</v>
      </c>
      <c r="I130" s="415" t="str">
        <f>IF(H130="","",IF(H130&gt;0.69,"Functioning",IF(H130&gt;0.29,"Functioning At Risk",IF(H130&gt;-1,"Not Functioning"))))</f>
        <v>Functioning</v>
      </c>
      <c r="J130" s="429"/>
    </row>
    <row r="131" spans="1:11" s="5" customFormat="1" ht="15.75" x14ac:dyDescent="0.25">
      <c r="A131" s="410"/>
      <c r="B131" s="176" t="s">
        <v>170</v>
      </c>
      <c r="C131" s="175" t="s">
        <v>177</v>
      </c>
      <c r="D131" s="178"/>
      <c r="E131" s="49"/>
      <c r="F131" s="231">
        <f>IF(G106="",0.8,(IF(AND(E131="",G106="Yes"),0.9,IF(D104="2A",IF(E131&lt;=5.3,0,IF(E131&gt;=8.79,1,ROUND(E131*'Reference Standards'!$L$9+'Reference Standards'!$L$10,2))),IF(D104=7,IF(E131&lt;=0.8,0,IF(E131&gt;=1.25,1,ROUND(E131*'Reference Standards'!$N$9+'Reference Standards'!$N$10,2))),IF(OR(D104="2B", D104="2Bd",D104="2C"),IF(E131&lt;=3.8,0,(IF(E131&gt;=6.3,1,ROUND(E131*'Reference Standards'!$M$9+'Reference Standards'!$M$10,2))))))))))</f>
        <v>0.8</v>
      </c>
      <c r="G131" s="181">
        <f>IFERROR(AVERAGE(F131),"")</f>
        <v>0.8</v>
      </c>
      <c r="H131" s="412"/>
      <c r="I131" s="416"/>
      <c r="J131" s="429"/>
    </row>
    <row r="132" spans="1:11" s="5" customFormat="1" ht="15.75" x14ac:dyDescent="0.25">
      <c r="A132" s="410"/>
      <c r="B132" s="174" t="s">
        <v>172</v>
      </c>
      <c r="C132" s="175" t="s">
        <v>178</v>
      </c>
      <c r="D132" s="179"/>
      <c r="E132" s="101"/>
      <c r="F132" s="182">
        <f>IF(G106="",0.8,(IF(AND(E132="",G106="Yes"),0.9,IF(D104="2A",IF(E132&gt;=12.5,0,IF(E132&lt;=7.5,1,ROUND(E132*'Reference Standards'!$L$15+'Reference Standards'!$L$16,2))),IF(OR(D104="2B",D104="2Bd",D104="2C"),IF(D105="North",IF(E132&gt;=18.8,0,IF(E132&lt;=11.3,1,ROUND(E132*'Reference Standards'!$M$15+'Reference Standards'!$M$16,2))),IF(D105="Central",(IF(E132&gt;=37.5,0,IF(E132&lt;=22.5,1,ROUND(E132*'Reference Standards'!$N$15+'Reference Standards'!$N$16,2)))),IF(E132&gt;=81.2,0,(IF(E132&lt;=48.7,1,ROUND(E132*'Reference Standards'!$O$15+'Reference Standards'!$O$16,2)))))))))))</f>
        <v>0.8</v>
      </c>
      <c r="G132" s="182">
        <f>IFERROR(AVERAGE(F132),"")</f>
        <v>0.8</v>
      </c>
      <c r="H132" s="412"/>
      <c r="I132" s="416"/>
      <c r="J132" s="429"/>
    </row>
    <row r="133" spans="1:11" s="5" customFormat="1" ht="15.75" customHeight="1" x14ac:dyDescent="0.25">
      <c r="A133" s="445" t="s">
        <v>50</v>
      </c>
      <c r="B133" s="236" t="s">
        <v>105</v>
      </c>
      <c r="C133" s="40" t="s">
        <v>179</v>
      </c>
      <c r="D133" s="41"/>
      <c r="E133" s="44"/>
      <c r="F133" s="99">
        <f>IF(G106="",0.8,(IF(AND(E132="",G106="Yes"),0.9,IF(D107="Northern Forest Rivers",IF(E133&lt;=38.2,0,IF(E133&gt;=77,1,ROUND(IF(E133&lt;49, 'Reference Standards'!$Q$5*E133+'Reference Standards'!$Q$6, IF(E133&lt;59.8, 'Reference Standards'!$R$5*E133+'Reference Standards'!$R$6, 'Reference Standards'!$S$5*E133+'Reference Standards'!$S$6)),2))),   IF(D107="Northern Forest Streams Riffle-run",IF(E133&lt;40.4,0,IF(E133&gt;=82,1,ROUND(IF(E133&lt;53, 'Reference Standards'!$T$5*E133+'Reference Standards'!$T$6, IF(E133&lt;59.8, 'Reference Standards'!$U$5*E133+'Reference Standards'!$U$6, 'Reference Standards'!$V$5*E133+'Reference Standards'!$V$6) ),2))), IF(D107="Northern Forest Streams Glide-pool",IF(E133&lt;=37,0,IF(E133&gt;=76,1,ROUND(IF(E133&lt;51, 'Reference Standards'!$W$5*E133+'Reference Standards'!$W$6, IF(E133&lt;65.6, 'Reference Standards'!$X$5*E133+'Reference Standards'!$X$6, 'Reference Standards'!$Y$5*E133+'Reference Standards'!$Y$6) ),2))), IF(D107="Northern Coldwater",IF(E133&lt;19.6,0,IF(E133&gt;=52,1,ROUND(IF(E133&lt;32, 'Reference Standards'!$Z$5*E133+'Reference Standards'!$Z$6, IF(E133&lt;44.4,'Reference Standards'!$AA$5*E133+'Reference Standards'!$AA$6, 'Reference Standards'!$AB$5*E133+'Reference Standards'!$AB$6) ),2))), IF(D107="Southern Forest Streams Riffle-run", IF(E133&lt;24,0,IF(E133&gt;=62,1,ROUND(IF(E133&lt;37, 'Reference Standards'!$Q$11*E133+'Reference Standards'!$Q$12, IF(E133&lt;49.6,'Reference Standards'!$R$11*E133+'Reference Standards'!$R$12,'Reference Standards'!$S$11*E133+'Reference Standards'!$S$12)),2))), IF(D107="Southern Forest Streams Glide-pool", IF(E133&lt;29.4,0,IF(E133&gt;=65,1,ROUND(IF(E133&lt;43,'Reference Standards'!$T$11*E133+'Reference Standards'!$T$12, IF(E133&lt;56.6, 'Reference Standards'!$U$11*E133+'Reference Standards'!$U$12,'Reference Standards'!$V$11*E133+'Reference Standards'!$V$12)),2))), IF(D107="Southern Coldwater", IF(E133&lt;29.2,0,IF(E133&gt;=72,1,ROUND(IF(E133&lt;43, 'Reference Standards'!$W$11*E133+'Reference Standards'!$W$12, IF(E133&lt;56.8,'Reference Standards'!$X$11*E133+'Reference Standards'!$X$12, 'Reference Standards'!$Y$11*E133+'Reference Standards'!$Y$12)),2))), IF(D107="Prairie Forest Rivers", IF(E133&lt;20.2,0,IF(E133&gt;=62,1,ROUND(IF(E133&lt;31,'Reference Standards'!$Q$17*E133+'Reference Standards'!$Q$18, IF(E133&lt;41.8,'Reference Standards'!$R$17*E133+'Reference Standards'!$R$18,'Reference Standards'!$S$17*E133+'Reference Standards'!$S$18)),2))), IF(D107="Prairie Streams Glide-Pool", IF(E133&lt;27.4,0,IF(E133&gt;=69,1,ROUND(IF(E133&lt;41,'Reference Standards'!$T$17*E133+'Reference Standards'!$T$18, IF(E133&lt;54.6,'Reference Standards'!$U$17*E133+'Reference Standards'!$U$18, 'Reference Standards'!$V$17*E133+'Reference Standards'!$V$18)),2))) ))))))))))))</f>
        <v>0.8</v>
      </c>
      <c r="G133" s="237">
        <f>IFERROR(AVERAGE(F133),"")</f>
        <v>0.8</v>
      </c>
      <c r="H133" s="450">
        <f>IFERROR(ROUND(AVERAGE(G133:G134),2),"")</f>
        <v>0.8</v>
      </c>
      <c r="I133" s="414" t="str">
        <f>IF(H133="","",IF(H133&gt;0.69,"Functioning",IF(H133&gt;0.29,"Functioning At Risk",IF(H133&gt;-1,"Not Functioning"))))</f>
        <v>Functioning</v>
      </c>
      <c r="J133" s="429"/>
    </row>
    <row r="134" spans="1:11" s="5" customFormat="1" ht="15.75" x14ac:dyDescent="0.25">
      <c r="A134" s="446"/>
      <c r="B134" s="238" t="s">
        <v>54</v>
      </c>
      <c r="C134" s="183" t="s">
        <v>180</v>
      </c>
      <c r="D134" s="184"/>
      <c r="E134" s="101"/>
      <c r="F134" s="99">
        <f>IF(G106="",0.8,(IF(AND(E134="",G106="Yes"),0.9,IF(G104="Northern Rivers",IF(E134&lt;29,0,IF(E134&gt;=66,1,ROUND(IF(E134&lt;38, 'Reference Standards'!$Q$23*E134+'Reference Standards'!$Q$24, IF(E134&lt;47, 'Reference Standards'!$R$23*E134+'Reference Standards'!$R$24, 'Reference Standards'!$S$23*E134+'Reference Standards'!$S$24)),2))),   IF(G104="Northern Streams",IF(E134&lt;35,0,IF(E134&gt;=61,1,ROUND(IF(E134&lt;47, 'Reference Standards'!$T$23*E134+'Reference Standards'!$T$24, IF(E134&lt;56, 'Reference Standards'!$U$23*E134+'Reference Standards'!$U$24, 'Reference Standards'!$V$23*E134+'Reference Standards'!$V$24) ),2))), IF(G104="Northern Headwaters",IF(E134&lt;23,0,IF(E134&gt;=68,1,ROUND(IF(E134&lt;42, 'Reference Standards'!$W$23*E134+'Reference Standards'!$W$24, IF(E134&lt;56, 'Reference Standards'!$X$23*E134+'Reference Standards'!$X$24, 'Reference Standards'!$Y$23*E134+'Reference Standards'!$Y$24) ),2))), IF(G104="Northern Coldwater",IF(E134&lt;25,0,IF(E134&gt;=60,1,ROUND(IF(E134&lt;35, 'Reference Standards'!$Z$23*E134+'Reference Standards'!$Z$24, IF(E134&lt;45, 'Reference Standards'!$AA$23*E134+'Reference Standards'!$AA$24, 'Reference Standards'!$AB$23*E134+'Reference Standards'!$AB$24) ),2))), IF(G104="Southern River", IF(E134&lt;38,0,IF(E134&gt;=71,1,ROUND(IF(E134&lt;49, 'Reference Standards'!$Q$29*E134+'Reference Standards'!$Q$30, IF(E134&lt;60,'Reference Standards'!$R$29*E134+'Reference Standards'!$R$30, 'Reference Standards'!$S$29*E134+'Reference Standards'!$S$30)),2))), IF(G104="Southern Streams", IF(E134&lt;35,0,IF(E134&gt;=66,1,ROUND(IF(E134&lt;50,'Reference Standards'!$T$29*E134+'Reference Standards'!$T$30, IF(E134&lt;59, 'Reference Standards'!$U$29*E134+'Reference Standards'!$U$30, 'Reference Standards'!$V$29*E134+'Reference Standards'!$V$30)),2))), IF(G104="Southern Headwaters", IF(E134&lt;33,0,IF(E134&gt;=74,1,ROUND(IF(E134&lt;55, 'Reference Standards'!$W$29*E134+'Reference Standards'!$W$30, IF(E134&lt;62, 'Reference Standards'!$X$29*E134+'Reference Standards'!$X$30, 'Reference Standards'!$Y$29*E134+'Reference Standards'!$Y$30)),2))), IF(G104="Southern Coldwater", IF(E134&lt;37,0,IF(E134&gt;=82,1,ROUND(IF(E134&lt;50, 'Reference Standards'!$Z$29*E134+'Reference Standards'!$Z$30, IF(E134&lt;63,'Reference Standards'!$AA$29*E134+'Reference Standards'!$AA$30,'Reference Standards'!$AB$29*E134+'Reference Standards'!$AB$30)),2))), IF(G104="Low Gradient", IF(E134&lt;15,0,IF(E134&gt;=70,1,ROUND(IF(E134&lt;42, 'Reference Standards'!$Q$34*E134+'Reference Standards'!$Q$35, IF(E134&lt;52, 'Reference Standards'!$R$34*E134+'Reference Standards'!$R$35, 'Reference Standards'!$S$34*E134+'Reference Standards'!$S$35)),2))) ))))))))))))</f>
        <v>0.8</v>
      </c>
      <c r="G134" s="237">
        <f>IFERROR(AVERAGE(F134),"")</f>
        <v>0.8</v>
      </c>
      <c r="H134" s="450"/>
      <c r="I134" s="414"/>
      <c r="J134" s="429"/>
    </row>
    <row r="135" spans="1:11" s="5" customFormat="1" ht="5.45" customHeight="1" x14ac:dyDescent="0.25">
      <c r="I135" s="102"/>
      <c r="J135" s="4"/>
      <c r="K135" s="11"/>
    </row>
    <row r="136" spans="1:11" s="5" customFormat="1" ht="5.45" customHeight="1" x14ac:dyDescent="0.25">
      <c r="I136" s="102"/>
      <c r="K136" s="11"/>
    </row>
    <row r="137" spans="1:11" s="5" customFormat="1" ht="21" customHeight="1" x14ac:dyDescent="0.25">
      <c r="A137" s="406" t="s">
        <v>310</v>
      </c>
      <c r="B137" s="407"/>
      <c r="C137" s="407"/>
      <c r="D137" s="407"/>
      <c r="E137" s="407"/>
      <c r="F137" s="407"/>
      <c r="G137" s="407"/>
      <c r="H137" s="407"/>
      <c r="I137" s="407"/>
      <c r="J137" s="408"/>
    </row>
    <row r="138" spans="1:11" s="5" customFormat="1" ht="16.149999999999999" customHeight="1" x14ac:dyDescent="0.25">
      <c r="A138" s="122" t="s">
        <v>68</v>
      </c>
      <c r="B138" s="101"/>
      <c r="C138" s="122" t="s">
        <v>195</v>
      </c>
      <c r="D138" s="48"/>
      <c r="E138" s="165" t="s">
        <v>226</v>
      </c>
      <c r="F138" s="166"/>
      <c r="G138" s="48"/>
      <c r="H138" s="404" t="s">
        <v>137</v>
      </c>
      <c r="I138" s="405"/>
      <c r="J138" s="101"/>
    </row>
    <row r="139" spans="1:11" s="5" customFormat="1" ht="16.149999999999999" customHeight="1" x14ac:dyDescent="0.25">
      <c r="A139" s="122" t="s">
        <v>69</v>
      </c>
      <c r="B139" s="48"/>
      <c r="C139" s="122" t="s">
        <v>205</v>
      </c>
      <c r="D139" s="48"/>
      <c r="E139" s="413" t="s">
        <v>92</v>
      </c>
      <c r="F139" s="413"/>
      <c r="G139" s="48"/>
      <c r="H139" s="404" t="s">
        <v>138</v>
      </c>
      <c r="I139" s="405"/>
      <c r="J139" s="101"/>
    </row>
    <row r="140" spans="1:11" s="5" customFormat="1" ht="16.149999999999999" customHeight="1" x14ac:dyDescent="0.25">
      <c r="A140" s="122" t="s">
        <v>136</v>
      </c>
      <c r="B140" s="48"/>
      <c r="C140" s="122" t="s">
        <v>206</v>
      </c>
      <c r="D140" s="48"/>
      <c r="E140" s="413" t="s">
        <v>267</v>
      </c>
      <c r="F140" s="413"/>
      <c r="G140" s="48"/>
      <c r="H140" s="404" t="s">
        <v>139</v>
      </c>
      <c r="I140" s="405"/>
      <c r="J140" s="101"/>
    </row>
    <row r="141" spans="1:11" s="5" customFormat="1" ht="16.149999999999999" customHeight="1" x14ac:dyDescent="0.25">
      <c r="A141" s="106" t="s">
        <v>261</v>
      </c>
      <c r="B141" s="48"/>
      <c r="C141" s="122" t="s">
        <v>207</v>
      </c>
      <c r="D141" s="48"/>
      <c r="E141" s="225" t="s">
        <v>260</v>
      </c>
      <c r="F141" s="226"/>
      <c r="G141" s="48"/>
      <c r="H141" s="404" t="s">
        <v>140</v>
      </c>
      <c r="I141" s="405"/>
      <c r="J141" s="101"/>
    </row>
    <row r="142" spans="1:11" s="5" customFormat="1" ht="8.4499999999999993" customHeight="1" x14ac:dyDescent="0.25">
      <c r="A142" s="1"/>
      <c r="B142" s="4"/>
      <c r="C142" s="4"/>
      <c r="D142" s="4"/>
      <c r="E142" s="4"/>
      <c r="F142" s="4"/>
      <c r="G142" s="4"/>
      <c r="H142" s="12"/>
      <c r="I142" s="104"/>
      <c r="J142" s="12"/>
    </row>
    <row r="143" spans="1:11" s="5" customFormat="1" ht="21" x14ac:dyDescent="0.35">
      <c r="A143" s="417" t="s">
        <v>48</v>
      </c>
      <c r="B143" s="418"/>
      <c r="C143" s="418"/>
      <c r="D143" s="418"/>
      <c r="E143" s="418"/>
      <c r="F143" s="419"/>
      <c r="G143" s="420" t="s">
        <v>14</v>
      </c>
      <c r="H143" s="420"/>
      <c r="I143" s="420"/>
      <c r="J143" s="420"/>
    </row>
    <row r="144" spans="1:11" s="5" customFormat="1" ht="15.75" x14ac:dyDescent="0.25">
      <c r="A144" s="46" t="s">
        <v>1</v>
      </c>
      <c r="B144" s="46" t="s">
        <v>2</v>
      </c>
      <c r="C144" s="421" t="s">
        <v>3</v>
      </c>
      <c r="D144" s="422"/>
      <c r="E144" s="46" t="s">
        <v>12</v>
      </c>
      <c r="F144" s="45" t="s">
        <v>13</v>
      </c>
      <c r="G144" s="46" t="s">
        <v>15</v>
      </c>
      <c r="H144" s="46" t="s">
        <v>16</v>
      </c>
      <c r="I144" s="105" t="s">
        <v>16</v>
      </c>
      <c r="J144" s="46" t="s">
        <v>110</v>
      </c>
    </row>
    <row r="145" spans="1:10" s="5" customFormat="1" ht="15.75" customHeight="1" x14ac:dyDescent="0.25">
      <c r="A145" s="427" t="s">
        <v>51</v>
      </c>
      <c r="B145" s="427" t="s">
        <v>78</v>
      </c>
      <c r="C145" s="167" t="s">
        <v>162</v>
      </c>
      <c r="D145" s="169"/>
      <c r="E145" s="44"/>
      <c r="F145" s="28">
        <f>IF(G141="Yes","",(IF(G140="",0.8,(IF(AND(E145="",G140="Yes"),0.9,(IF(AND(E145="",G140="No"),0.8,IF(E145&gt;=80,0,IF(E145&lt;=40,1,IF(E145&gt;=68,ROUND(E145*'Reference Standards'!$B$4+'Reference Standards'!$B$5,2),ROUND(E145*'Reference Standards'!$C$4+'Reference Standards'!$C$5,2)))))))))))</f>
        <v>0.8</v>
      </c>
      <c r="G145" s="401">
        <f>IFERROR(AVERAGE(F145:F147),"")</f>
        <v>0.8</v>
      </c>
      <c r="H145" s="401">
        <f>IFERROR(ROUND(AVERAGE(G145:G147),2),"")</f>
        <v>0.8</v>
      </c>
      <c r="I145" s="414" t="str">
        <f>IF(H145="","",IF(H145&gt;0.69,"Functioning",IF(H145&gt;0.29,"Functioning At Risk",IF(H145&gt;-1,"Not Functioning"))))</f>
        <v>Functioning</v>
      </c>
      <c r="J145" s="429">
        <f>IF(AND(H145="",H148="",H150="",H164="",H167=""),"",ROUND((IF(H145="",0,H145)*0.2)+(IF(H148="",0,H148)*0.2)+(IF(H150="",0,H150)*0.2)+(IF(H164="",0,H164)*0.2)+(IF(H167="",0,H167)*0.2),2))</f>
        <v>0.8</v>
      </c>
    </row>
    <row r="146" spans="1:10" s="5" customFormat="1" ht="15.75" customHeight="1" x14ac:dyDescent="0.25">
      <c r="A146" s="428"/>
      <c r="B146" s="428"/>
      <c r="C146" s="168" t="s">
        <v>164</v>
      </c>
      <c r="D146" s="170"/>
      <c r="E146" s="49"/>
      <c r="F146" s="228" t="str">
        <f>IF(G141="No","",IF(E146="","",  IF(E146&gt;0.95,0,IF(E146&lt;=0.02,1,ROUND(IF(E146&gt;0.26,'Reference Standards'!$B$10*E146+'Reference Standards'!$B$11, IF(E146&lt;0.05, 'Reference Standards'!$D$10*E146+'Reference Standards'!$D$11, 'Reference Standards'!$C$10*E146+'Reference Standards'!$C$11)),2))) ))</f>
        <v/>
      </c>
      <c r="G146" s="402"/>
      <c r="H146" s="402"/>
      <c r="I146" s="414"/>
      <c r="J146" s="429"/>
    </row>
    <row r="147" spans="1:10" s="5" customFormat="1" ht="15.75" x14ac:dyDescent="0.25">
      <c r="A147" s="428"/>
      <c r="B147" s="442"/>
      <c r="C147" s="171" t="s">
        <v>166</v>
      </c>
      <c r="D147" s="172"/>
      <c r="E147" s="49"/>
      <c r="F147" s="227">
        <f>IF(G141="Yes","",(IF(G140="",0.8,(IF(AND(E147="",G140="Yes"),0.9,(IF(AND(E147="",G140="No"),0.8,IF(E147&gt;3.22,0,IF(E147&lt;0,"",ROUND('Reference Standards'!$B$15*E147+'Reference Standards'!$B$16,2))))))))))</f>
        <v>0.8</v>
      </c>
      <c r="G147" s="403"/>
      <c r="H147" s="403"/>
      <c r="I147" s="414"/>
      <c r="J147" s="429"/>
    </row>
    <row r="148" spans="1:10" s="5" customFormat="1" ht="15.75" x14ac:dyDescent="0.25">
      <c r="A148" s="432" t="s">
        <v>4</v>
      </c>
      <c r="B148" s="434" t="s">
        <v>5</v>
      </c>
      <c r="C148" s="17" t="s">
        <v>6</v>
      </c>
      <c r="D148" s="17"/>
      <c r="E148" s="44"/>
      <c r="F148" s="96">
        <f>IF(G140="",0.8,(IF(AND(E148="",G140="Yes"),0.9,(IF(AND(E148="",G140="No"),0.8,ROUND(IF(E148&gt;1.6,0,IF(E148&lt;=1,1,E148^2*'Reference Standards'!$F$2+E148*'Reference Standards'!$F$3+'Reference Standards'!$F$4)),2))))))</f>
        <v>0.8</v>
      </c>
      <c r="G148" s="435">
        <f>IFERROR(AVERAGE(F148:F149),"")</f>
        <v>0.8</v>
      </c>
      <c r="H148" s="436">
        <f>IFERROR(ROUND(AVERAGE(G148),2),"")</f>
        <v>0.8</v>
      </c>
      <c r="I148" s="438" t="str">
        <f>IF(H148="","",IF(H148&gt;0.69,"Functioning",IF(H148&gt;0.29,"Functioning At Risk",IF(H148&gt;-1,"Not Functioning"))))</f>
        <v>Functioning</v>
      </c>
      <c r="J148" s="429"/>
    </row>
    <row r="149" spans="1:10" s="5" customFormat="1" ht="15.75" x14ac:dyDescent="0.25">
      <c r="A149" s="433"/>
      <c r="B149" s="434"/>
      <c r="C149" s="17" t="s">
        <v>7</v>
      </c>
      <c r="D149" s="17"/>
      <c r="E149" s="50"/>
      <c r="F149" s="96">
        <f>IF(G140="",0.8,(IF(AND(E149="",G140="Yes"),0.9,(IF(AND(E149="",G140="No"),0.8,(IF(OR(B140="A",B140="B",B140="Bc",B140="Ba"),IF(E149&lt;1.2,0,IF(E149&gt;=2.2,1,ROUND(IF(E149&lt;1.4,E149*'Reference Standards'!$F$13+'Reference Standards'!$F$14,E149*'Reference Standards'!$G$13+'Reference Standards'!$G$14),2))),IF(OR(B140="C",B140="Cb",B140="E"),IF(E149&lt;2,0,IF(E149&gt;=5,1,ROUND(IF(E149&lt;2.4,E149*'Reference Standards'!$G$8+'Reference Standards'!$G$9,E149*'Reference Standards'!$F$8+'Reference Standards'!$F$9),2)))))))))))</f>
        <v>0.8</v>
      </c>
      <c r="G149" s="435"/>
      <c r="H149" s="437"/>
      <c r="I149" s="439"/>
      <c r="J149" s="429"/>
    </row>
    <row r="150" spans="1:10" s="5" customFormat="1" ht="15.75" x14ac:dyDescent="0.25">
      <c r="A150" s="398" t="s">
        <v>21</v>
      </c>
      <c r="B150" s="440" t="s">
        <v>22</v>
      </c>
      <c r="C150" s="21" t="s">
        <v>103</v>
      </c>
      <c r="D150" s="69"/>
      <c r="E150" s="44"/>
      <c r="F150" s="229" t="str">
        <f>IF(E150="","",IF(E150&gt;=660,1,IF(E150&lt;=430,ROUND('Reference Standards'!$I$4*E150+'Reference Standards'!$I$5,2),ROUND('Reference Standards'!$J$4*E150+'Reference Standards'!$J$5,2))))</f>
        <v/>
      </c>
      <c r="G150" s="423">
        <f>IFERROR(AVERAGE(F150:F151),"")</f>
        <v>0.8</v>
      </c>
      <c r="H150" s="447">
        <f>IFERROR(ROUND(AVERAGE(G150:G163),2),"")</f>
        <v>0.8</v>
      </c>
      <c r="I150" s="449" t="str">
        <f>IF(H150="","",IF(H150&gt;0.69,"Functioning",IF(H150&gt;0.29,"Functioning At Risk",IF(H150&gt;-1,"Not Functioning"))))</f>
        <v>Functioning</v>
      </c>
      <c r="J150" s="429"/>
    </row>
    <row r="151" spans="1:10" s="5" customFormat="1" ht="15.75" x14ac:dyDescent="0.25">
      <c r="A151" s="399"/>
      <c r="B151" s="441"/>
      <c r="C151" s="24" t="s">
        <v>99</v>
      </c>
      <c r="D151" s="70"/>
      <c r="E151" s="50"/>
      <c r="F151" s="98">
        <f>IF(ISNUMBER(E150),"",IF(G140="",0.8,(IF(AND(E151="",G140="Yes"),0.9,(IF(AND(E151="",G140="No"),0.8,IF(E151&gt;=28,1,ROUND(IF(E151&lt;=13,'Reference Standards'!$I$9*E151,'Reference Standards'!$J$9*E151+'Reference Standards'!$J$10),2))))))))</f>
        <v>0.8</v>
      </c>
      <c r="G151" s="426"/>
      <c r="H151" s="447"/>
      <c r="I151" s="449"/>
      <c r="J151" s="429"/>
    </row>
    <row r="152" spans="1:10" s="5" customFormat="1" ht="15.75" x14ac:dyDescent="0.25">
      <c r="A152" s="399"/>
      <c r="B152" s="399" t="s">
        <v>126</v>
      </c>
      <c r="C152" s="19" t="s">
        <v>43</v>
      </c>
      <c r="D152" s="19"/>
      <c r="E152" s="49"/>
      <c r="F152" s="29">
        <f>IF(G140="",0.8,(IF(AND(E152="",G140="Yes"),0.9,(IF(AND(E152="",G140="No"),0.8,IF(OR(E152="Ex/Ex",E152="Ex/VH",E152="Ex/H",E152="Ex/M",E152="VH/Ex",E152="VH/VH", E152="H/Ex",E152="H/VH"),0, IF(OR(E152="M/Ex"),0.1,IF(OR(E152="VH/H",E152="VH/M",E152="H/H",E152="H/M", E152="M/VH"),0.2, IF(OR(E152="Ex/VL",E152="Ex/L", E152="M/H"),0.3, IF(OR(E152="VH/L",E152="H/L"),0.4, IF(OR(E152="VH/VL",E152="H/VL",E152="M/M"),0.5, IF(OR(E152="M/L",E152="L/Ex"),0.6, IF(OR(E152="M/VL",E152="L/VH", E152="L/H",E152="L/M",E152="L/L",E152="L/VL",LEFT(E152)="V"),1)))))))))))))</f>
        <v>0.8</v>
      </c>
      <c r="G152" s="423">
        <f>IFERROR(AVERAGE(F152:F154),"")</f>
        <v>0.8</v>
      </c>
      <c r="H152" s="448"/>
      <c r="I152" s="449"/>
      <c r="J152" s="429"/>
    </row>
    <row r="153" spans="1:10" s="5" customFormat="1" ht="15.75" x14ac:dyDescent="0.25">
      <c r="A153" s="399"/>
      <c r="B153" s="399"/>
      <c r="C153" s="20" t="s">
        <v>57</v>
      </c>
      <c r="D153" s="173"/>
      <c r="E153" s="243"/>
      <c r="F153" s="29">
        <f>IF(G140="",0.8,(IF(AND(E153="",G140="Yes"),0.9,(IF(AND(E153="",G140="No"),0.8,ROUND(IF(E153&gt;=75,0,IF(E153&lt;=5,1,IF(E153&gt;10,E153*'Reference Standards'!$I$14+'Reference Standards'!$I$15,'Reference Standards'!$J$14*E153+'Reference Standards'!$J$15))),2))))))</f>
        <v>0.8</v>
      </c>
      <c r="G153" s="424"/>
      <c r="H153" s="448"/>
      <c r="I153" s="449"/>
      <c r="J153" s="429"/>
    </row>
    <row r="154" spans="1:10" s="5" customFormat="1" ht="15.75" x14ac:dyDescent="0.25">
      <c r="A154" s="399"/>
      <c r="B154" s="400"/>
      <c r="C154" s="20" t="s">
        <v>125</v>
      </c>
      <c r="D154" s="20"/>
      <c r="E154" s="50"/>
      <c r="F154" s="98" t="str">
        <f>IF(E150="","",IF(E154&gt;=50,0,ROUND(E154*'Reference Standards'!$I$18+'Reference Standards'!$I$19,2)))</f>
        <v/>
      </c>
      <c r="G154" s="426"/>
      <c r="H154" s="448"/>
      <c r="I154" s="449"/>
      <c r="J154" s="429"/>
    </row>
    <row r="155" spans="1:10" s="5" customFormat="1" ht="15.75" x14ac:dyDescent="0.25">
      <c r="A155" s="399"/>
      <c r="B155" s="18" t="s">
        <v>70</v>
      </c>
      <c r="C155" s="26" t="s">
        <v>80</v>
      </c>
      <c r="D155" s="68"/>
      <c r="E155" s="50"/>
      <c r="F155" s="27" t="str">
        <f>IF(E155="","",IF(E155&gt;=50,0,ROUND(E155*'Reference Standards'!$I$22+'Reference Standards'!$I$23,2)))</f>
        <v/>
      </c>
      <c r="G155" s="27" t="str">
        <f>IFERROR(AVERAGE(F155),"")</f>
        <v/>
      </c>
      <c r="H155" s="448"/>
      <c r="I155" s="449"/>
      <c r="J155" s="429"/>
    </row>
    <row r="156" spans="1:10" s="5" customFormat="1" ht="15.75" x14ac:dyDescent="0.25">
      <c r="A156" s="399"/>
      <c r="B156" s="398" t="s">
        <v>45</v>
      </c>
      <c r="C156" s="25" t="s">
        <v>46</v>
      </c>
      <c r="D156" s="25"/>
      <c r="E156" s="53"/>
      <c r="F156" s="230">
        <f>IF(G140="",0.8,(IF(AND(E156="",G140="Yes"),0.9,(IF(AND(E156="",G140="No"),0.8,ROUND( IF(OR(LEFT(B140)="C",B140="E"), IF(OR(E156&lt;=1,E156&gt;=9),0,IF(AND(E156&gt;=3.5,E156&lt;=6),1,IF(E156&lt;3.5, E156*'Reference Standards'!$I$37+'Reference Standards'!$I$38, E156*'Reference Standards'!$J$37+'Reference Standards'!$J$38))),   IF(OR(B140="A",(B140)="B", (B140)="Ba"), IF(E156&gt;=6.5,0, IF(E156&lt;=4, 1, E156^2*'Reference Standards'!$I$26+E156*'Reference Standards'!$I$27+'Reference Standards'!$I$28)), IF(B140="Bc",  IF(E156&gt;=8,0, IF(E156&lt;=5, 1, E156^2*'Reference Standards'!$I$31+E156*'Reference Standards'!$I$32+'Reference Standards'!$I$33))))),2))))))</f>
        <v>0.8</v>
      </c>
      <c r="G156" s="430">
        <f>IFERROR(AVERAGE(F156:F159),"")</f>
        <v>0.80000000000000016</v>
      </c>
      <c r="H156" s="448"/>
      <c r="I156" s="449"/>
      <c r="J156" s="429"/>
    </row>
    <row r="157" spans="1:10" s="5" customFormat="1" ht="15.75" x14ac:dyDescent="0.25">
      <c r="A157" s="399"/>
      <c r="B157" s="399"/>
      <c r="C157" s="19" t="s">
        <v>47</v>
      </c>
      <c r="D157" s="19"/>
      <c r="E157" s="52"/>
      <c r="F157" s="29">
        <f>IF(G140="",0.8,(IF(AND(E157="",G140="Yes"),0.9,(IF(AND(E157="",G140="No"),0.8,ROUND(  IF(E157&lt;=1.1,0, IF(E157&gt;=3,1, IF(E157&lt;2, E157^2*'Reference Standards'!$I$42+  E157*'Reference Standards'!$I$43 + 'Reference Standards'!$I$44,      E157*'Reference Standards'!$J$43+'Reference Standards'!$J$44))),2))))))</f>
        <v>0.8</v>
      </c>
      <c r="G157" s="425"/>
      <c r="H157" s="448"/>
      <c r="I157" s="449"/>
      <c r="J157" s="429"/>
    </row>
    <row r="158" spans="1:10" s="5" customFormat="1" ht="15.75" x14ac:dyDescent="0.25">
      <c r="A158" s="399"/>
      <c r="B158" s="399"/>
      <c r="C158" s="19" t="s">
        <v>104</v>
      </c>
      <c r="D158" s="19"/>
      <c r="E158" s="52"/>
      <c r="F158" s="269">
        <f>IF(G140="",0.8,(IF(AND(E158="",G140="Yes"),0.9,(IF(AND(E158="",G140="No"),0.8,IF(OR(B140="A",LEFT(B140,1)="B"),IF(OR(E158&lt;=20,E158&gt;=90),0,IF(AND(E158&gt;=50,E158&lt;=60),1,IF(E158&lt;50,ROUND(E158*'Reference Standards'!$I$48+'Reference Standards'!$I$49,2),ROUND(E158*'Reference Standards'!$J$48+'Reference Standards'!$J$49,2)))),IF(OR(LEFT(B140)="C",B140="E"),IF(OR(E158&lt;=20,E158&gt;=85),0,IF(AND(E158&lt;=65,E158&gt;=45),1,IF(E158&lt;45,ROUND(E158*'Reference Standards'!$I$53+'Reference Standards'!$I$54,2),ROUND(E158*'Reference Standards'!$J$53+'Reference Standards'!$J$54,2)))))))))))</f>
        <v>0.8</v>
      </c>
      <c r="G158" s="425"/>
      <c r="H158" s="448"/>
      <c r="I158" s="449"/>
      <c r="J158" s="429"/>
    </row>
    <row r="159" spans="1:10" s="5" customFormat="1" ht="15.75" x14ac:dyDescent="0.25">
      <c r="A159" s="399"/>
      <c r="B159" s="400"/>
      <c r="C159" s="23" t="s">
        <v>88</v>
      </c>
      <c r="D159" s="19"/>
      <c r="E159" s="54"/>
      <c r="F159" s="270" t="str">
        <f>IF(E159="","",IF(E159&gt;=1.6,0,IF(E159&lt;=1,1,ROUND('Reference Standards'!$I$57*E159^3+'Reference Standards'!$I$58*E159^2+'Reference Standards'!$I$59*E159+'Reference Standards'!$I$60,2))))</f>
        <v/>
      </c>
      <c r="G159" s="431"/>
      <c r="H159" s="448"/>
      <c r="I159" s="449"/>
      <c r="J159" s="429"/>
    </row>
    <row r="160" spans="1:10" s="5" customFormat="1" ht="15.75" x14ac:dyDescent="0.25">
      <c r="A160" s="399"/>
      <c r="B160" s="398" t="s">
        <v>44</v>
      </c>
      <c r="C160" s="21" t="s">
        <v>182</v>
      </c>
      <c r="D160" s="69"/>
      <c r="E160" s="22"/>
      <c r="F160" s="97">
        <f>IF(G140="",0.8,(IF(AND(E160="",G140="Yes"),0.9,(IF(AND(E160="",G140="No"),0.8,IF(G139="Unconfined Alluvial",IF(E160&gt;=100,1,IF(E160&lt;30,0,ROUND('Reference Standards'!$I$64*E160+'Reference Standards'!$I$65,2))),IF(OR(G139="Confined Alluvial",G139="Colluvial/V-Shaped"),(IF(E160&gt;=100,1,IF(E160&lt;60,0,ROUND('Reference Standards'!$J$64*E160+'Reference Standards'!$J$65,2)))))))))))</f>
        <v>0.8</v>
      </c>
      <c r="G160" s="423">
        <f>IFERROR(AVERAGE(F160:F163),"")</f>
        <v>0.80000000000000016</v>
      </c>
      <c r="H160" s="448"/>
      <c r="I160" s="449"/>
      <c r="J160" s="429"/>
    </row>
    <row r="161" spans="1:11" s="5" customFormat="1" ht="15.75" x14ac:dyDescent="0.25">
      <c r="A161" s="399"/>
      <c r="B161" s="399"/>
      <c r="C161" s="23" t="s">
        <v>183</v>
      </c>
      <c r="D161" s="173"/>
      <c r="E161" s="244"/>
      <c r="F161" s="29">
        <f>IF(G140="",0.8,(IF(AND(E161="",G140="Yes"),0.9,(IF(AND(E161="",G140="No"),0.8,IF(B141="Yes",IF(E161&lt;=50,0,IF(E161&gt;=80,1,ROUND('Reference Standards'!$I$69*E161+'Reference Standards'!$I$70,2))),IF(B141="No",IF(E161&gt;=80,0,IF(E161&lt;=50,1,ROUND(E161*'Reference Standards'!$J$69+'Reference Standards'!$J$70,2))))))))))</f>
        <v>0.8</v>
      </c>
      <c r="G161" s="424"/>
      <c r="H161" s="448"/>
      <c r="I161" s="449"/>
      <c r="J161" s="429"/>
    </row>
    <row r="162" spans="1:11" s="5" customFormat="1" ht="15.75" x14ac:dyDescent="0.25">
      <c r="A162" s="399"/>
      <c r="B162" s="399"/>
      <c r="C162" s="23" t="s">
        <v>184</v>
      </c>
      <c r="D162" s="173"/>
      <c r="E162" s="244"/>
      <c r="F162" s="29">
        <f>IF(G140="",0.8,(IF(AND(E162="",G140="Yes"),0.9,(IF(AND(E162="",G140="No"),0.8,IF(E162&lt;=50,0,IF(E162&gt;=80,1, ROUND(E162*'Reference Standards'!$I$73+'Reference Standards'!$I$74,2))))))))</f>
        <v>0.8</v>
      </c>
      <c r="G162" s="425"/>
      <c r="H162" s="448"/>
      <c r="I162" s="449"/>
      <c r="J162" s="429"/>
    </row>
    <row r="163" spans="1:11" s="5" customFormat="1" ht="15.75" x14ac:dyDescent="0.25">
      <c r="A163" s="399"/>
      <c r="B163" s="400"/>
      <c r="C163" s="443" t="s">
        <v>277</v>
      </c>
      <c r="D163" s="444"/>
      <c r="E163" s="16"/>
      <c r="F163" s="98" t="str">
        <f>IF(OR(B141="",B141="No"),"",IF(AND(E163="",B141="Yes",G140="Yes"),0.9,IF(OR(G140="No",G140=""),0.8,IF(E163&lt;=9,0,IF(E163&gt;=14,1,ROUND('Reference Standards'!$I$77*E163+'Reference Standards'!$I$78,2))))))</f>
        <v/>
      </c>
      <c r="G163" s="426"/>
      <c r="H163" s="448"/>
      <c r="I163" s="449"/>
      <c r="J163" s="429"/>
    </row>
    <row r="164" spans="1:11" s="5" customFormat="1" ht="15.75" x14ac:dyDescent="0.25">
      <c r="A164" s="409" t="s">
        <v>49</v>
      </c>
      <c r="B164" s="174" t="s">
        <v>169</v>
      </c>
      <c r="C164" s="175" t="s">
        <v>176</v>
      </c>
      <c r="D164" s="177"/>
      <c r="E164" s="101"/>
      <c r="F164" s="182">
        <f>IF(G140="",0.8,(IF(AND(E164="",G140="Yes"),0.9,IF(E164&gt;=25,0,IF(E164&lt;=10,1,ROUND(IF(E164&gt;18,'Reference Standards'!$L$4*E164+'Reference Standards'!$L$5,IF(E164&lt;12,'Reference Standards'!$N$4*E164+'Reference Standards'!$N$5,'Reference Standards'!$M$4*E164+'Reference Standards'!$M$5)),2))))))</f>
        <v>0.8</v>
      </c>
      <c r="G164" s="180">
        <f>IFERROR(AVERAGE(F164),"")</f>
        <v>0.8</v>
      </c>
      <c r="H164" s="411">
        <f>IFERROR(ROUND(AVERAGE(G164:G166),2),"")</f>
        <v>0.8</v>
      </c>
      <c r="I164" s="415" t="str">
        <f>IF(H164="","",IF(H164&gt;0.69,"Functioning",IF(H164&gt;0.29,"Functioning At Risk",IF(H164&gt;-1,"Not Functioning"))))</f>
        <v>Functioning</v>
      </c>
      <c r="J164" s="429"/>
    </row>
    <row r="165" spans="1:11" s="5" customFormat="1" ht="15.75" x14ac:dyDescent="0.25">
      <c r="A165" s="410"/>
      <c r="B165" s="176" t="s">
        <v>170</v>
      </c>
      <c r="C165" s="175" t="s">
        <v>177</v>
      </c>
      <c r="D165" s="178"/>
      <c r="E165" s="49"/>
      <c r="F165" s="231">
        <f>IF(G140="",0.8,(IF(AND(E165="",G140="Yes"),0.9,IF(D138="2A",IF(E165&lt;=5.3,0,IF(E165&gt;=8.79,1,ROUND(E165*'Reference Standards'!$L$9+'Reference Standards'!$L$10,2))),IF(D138=7,IF(E165&lt;=0.8,0,IF(E165&gt;=1.25,1,ROUND(E165*'Reference Standards'!$N$9+'Reference Standards'!$N$10,2))),IF(OR(D138="2B", D138="2Bd",D138="2C"),IF(E165&lt;=3.8,0,(IF(E165&gt;=6.3,1,ROUND(E165*'Reference Standards'!$M$9+'Reference Standards'!$M$10,2))))))))))</f>
        <v>0.8</v>
      </c>
      <c r="G165" s="181">
        <f>IFERROR(AVERAGE(F165),"")</f>
        <v>0.8</v>
      </c>
      <c r="H165" s="412"/>
      <c r="I165" s="416"/>
      <c r="J165" s="429"/>
    </row>
    <row r="166" spans="1:11" s="5" customFormat="1" ht="15.75" x14ac:dyDescent="0.25">
      <c r="A166" s="410"/>
      <c r="B166" s="174" t="s">
        <v>172</v>
      </c>
      <c r="C166" s="175" t="s">
        <v>178</v>
      </c>
      <c r="D166" s="179"/>
      <c r="E166" s="101"/>
      <c r="F166" s="182">
        <f>IF(G140="",0.8,(IF(AND(E166="",G140="Yes"),0.9,IF(D138="2A",IF(E166&gt;=12.5,0,IF(E166&lt;=7.5,1,ROUND(E166*'Reference Standards'!$L$15+'Reference Standards'!$L$16,2))),IF(OR(D138="2B",D138="2Bd",D138="2C"),IF(D139="North",IF(E166&gt;=18.8,0,IF(E166&lt;=11.3,1,ROUND(E166*'Reference Standards'!$M$15+'Reference Standards'!$M$16,2))),IF(D139="Central",(IF(E166&gt;=37.5,0,IF(E166&lt;=22.5,1,ROUND(E166*'Reference Standards'!$N$15+'Reference Standards'!$N$16,2)))),IF(E166&gt;=81.2,0,(IF(E166&lt;=48.7,1,ROUND(E166*'Reference Standards'!$O$15+'Reference Standards'!$O$16,2)))))))))))</f>
        <v>0.8</v>
      </c>
      <c r="G166" s="182">
        <f>IFERROR(AVERAGE(F166),"")</f>
        <v>0.8</v>
      </c>
      <c r="H166" s="412"/>
      <c r="I166" s="416"/>
      <c r="J166" s="429"/>
    </row>
    <row r="167" spans="1:11" s="5" customFormat="1" ht="15.75" x14ac:dyDescent="0.25">
      <c r="A167" s="445" t="s">
        <v>50</v>
      </c>
      <c r="B167" s="236" t="s">
        <v>105</v>
      </c>
      <c r="C167" s="40" t="s">
        <v>179</v>
      </c>
      <c r="D167" s="41"/>
      <c r="E167" s="44"/>
      <c r="F167" s="99">
        <f>IF(G140="",0.8,(IF(AND(E166="",G140="Yes"),0.9,IF(D141="Northern Forest Rivers",IF(E167&lt;=38.2,0,IF(E167&gt;=77,1,ROUND(IF(E167&lt;49, 'Reference Standards'!$Q$5*E167+'Reference Standards'!$Q$6, IF(E167&lt;59.8, 'Reference Standards'!$R$5*E167+'Reference Standards'!$R$6, 'Reference Standards'!$S$5*E167+'Reference Standards'!$S$6)),2))),   IF(D141="Northern Forest Streams Riffle-run",IF(E167&lt;40.4,0,IF(E167&gt;=82,1,ROUND(IF(E167&lt;53, 'Reference Standards'!$T$5*E167+'Reference Standards'!$T$6, IF(E167&lt;59.8, 'Reference Standards'!$U$5*E167+'Reference Standards'!$U$6, 'Reference Standards'!$V$5*E167+'Reference Standards'!$V$6) ),2))), IF(D141="Northern Forest Streams Glide-pool",IF(E167&lt;=37,0,IF(E167&gt;=76,1,ROUND(IF(E167&lt;51, 'Reference Standards'!$W$5*E167+'Reference Standards'!$W$6, IF(E167&lt;65.6, 'Reference Standards'!$X$5*E167+'Reference Standards'!$X$6, 'Reference Standards'!$Y$5*E167+'Reference Standards'!$Y$6) ),2))), IF(D141="Northern Coldwater",IF(E167&lt;19.6,0,IF(E167&gt;=52,1,ROUND(IF(E167&lt;32, 'Reference Standards'!$Z$5*E167+'Reference Standards'!$Z$6, IF(E167&lt;44.4,'Reference Standards'!$AA$5*E167+'Reference Standards'!$AA$6, 'Reference Standards'!$AB$5*E167+'Reference Standards'!$AB$6) ),2))), IF(D141="Southern Forest Streams Riffle-run", IF(E167&lt;24,0,IF(E167&gt;=62,1,ROUND(IF(E167&lt;37, 'Reference Standards'!$Q$11*E167+'Reference Standards'!$Q$12, IF(E167&lt;49.6,'Reference Standards'!$R$11*E167+'Reference Standards'!$R$12,'Reference Standards'!$S$11*E167+'Reference Standards'!$S$12)),2))), IF(D141="Southern Forest Streams Glide-pool", IF(E167&lt;29.4,0,IF(E167&gt;=65,1,ROUND(IF(E167&lt;43,'Reference Standards'!$T$11*E167+'Reference Standards'!$T$12, IF(E167&lt;56.6, 'Reference Standards'!$U$11*E167+'Reference Standards'!$U$12,'Reference Standards'!$V$11*E167+'Reference Standards'!$V$12)),2))), IF(D141="Southern Coldwater", IF(E167&lt;29.2,0,IF(E167&gt;=72,1,ROUND(IF(E167&lt;43, 'Reference Standards'!$W$11*E167+'Reference Standards'!$W$12, IF(E167&lt;56.8,'Reference Standards'!$X$11*E167+'Reference Standards'!$X$12, 'Reference Standards'!$Y$11*E167+'Reference Standards'!$Y$12)),2))), IF(D141="Prairie Forest Rivers", IF(E167&lt;20.2,0,IF(E167&gt;=62,1,ROUND(IF(E167&lt;31,'Reference Standards'!$Q$17*E167+'Reference Standards'!$Q$18, IF(E167&lt;41.8,'Reference Standards'!$R$17*E167+'Reference Standards'!$R$18,'Reference Standards'!$S$17*E167+'Reference Standards'!$S$18)),2))), IF(D141="Prairie Streams Glide-Pool", IF(E167&lt;27.4,0,IF(E167&gt;=69,1,ROUND(IF(E167&lt;41,'Reference Standards'!$T$17*E167+'Reference Standards'!$T$18, IF(E167&lt;54.6,'Reference Standards'!$U$17*E167+'Reference Standards'!$U$18, 'Reference Standards'!$V$17*E167+'Reference Standards'!$V$18)),2))) ))))))))))))</f>
        <v>0.8</v>
      </c>
      <c r="G167" s="237">
        <f>IFERROR(AVERAGE(F167),"")</f>
        <v>0.8</v>
      </c>
      <c r="H167" s="450">
        <f>IFERROR(ROUND(AVERAGE(G167:G168),2),"")</f>
        <v>0.8</v>
      </c>
      <c r="I167" s="414" t="str">
        <f>IF(H167="","",IF(H167&gt;0.69,"Functioning",IF(H167&gt;0.29,"Functioning At Risk",IF(H167&gt;-1,"Not Functioning"))))</f>
        <v>Functioning</v>
      </c>
      <c r="J167" s="429"/>
    </row>
    <row r="168" spans="1:11" s="5" customFormat="1" ht="15.75" x14ac:dyDescent="0.25">
      <c r="A168" s="446"/>
      <c r="B168" s="238" t="s">
        <v>54</v>
      </c>
      <c r="C168" s="183" t="s">
        <v>180</v>
      </c>
      <c r="D168" s="184"/>
      <c r="E168" s="101"/>
      <c r="F168" s="99">
        <f>IF(G140="",0.8,(IF(AND(E168="",G140="Yes"),0.9,IF(G138="Northern Rivers",IF(E168&lt;29,0,IF(E168&gt;=66,1,ROUND(IF(E168&lt;38, 'Reference Standards'!$Q$23*E168+'Reference Standards'!$Q$24, IF(E168&lt;47, 'Reference Standards'!$R$23*E168+'Reference Standards'!$R$24, 'Reference Standards'!$S$23*E168+'Reference Standards'!$S$24)),2))),   IF(G138="Northern Streams",IF(E168&lt;35,0,IF(E168&gt;=61,1,ROUND(IF(E168&lt;47, 'Reference Standards'!$T$23*E168+'Reference Standards'!$T$24, IF(E168&lt;56, 'Reference Standards'!$U$23*E168+'Reference Standards'!$U$24, 'Reference Standards'!$V$23*E168+'Reference Standards'!$V$24) ),2))), IF(G138="Northern Headwaters",IF(E168&lt;23,0,IF(E168&gt;=68,1,ROUND(IF(E168&lt;42, 'Reference Standards'!$W$23*E168+'Reference Standards'!$W$24, IF(E168&lt;56, 'Reference Standards'!$X$23*E168+'Reference Standards'!$X$24, 'Reference Standards'!$Y$23*E168+'Reference Standards'!$Y$24) ),2))), IF(G138="Northern Coldwater",IF(E168&lt;25,0,IF(E168&gt;=60,1,ROUND(IF(E168&lt;35, 'Reference Standards'!$Z$23*E168+'Reference Standards'!$Z$24, IF(E168&lt;45, 'Reference Standards'!$AA$23*E168+'Reference Standards'!$AA$24, 'Reference Standards'!$AB$23*E168+'Reference Standards'!$AB$24) ),2))), IF(G138="Southern River", IF(E168&lt;38,0,IF(E168&gt;=71,1,ROUND(IF(E168&lt;49, 'Reference Standards'!$Q$29*E168+'Reference Standards'!$Q$30, IF(E168&lt;60,'Reference Standards'!$R$29*E168+'Reference Standards'!$R$30, 'Reference Standards'!$S$29*E168+'Reference Standards'!$S$30)),2))), IF(G138="Southern Streams", IF(E168&lt;35,0,IF(E168&gt;=66,1,ROUND(IF(E168&lt;50,'Reference Standards'!$T$29*E168+'Reference Standards'!$T$30, IF(E168&lt;59, 'Reference Standards'!$U$29*E168+'Reference Standards'!$U$30, 'Reference Standards'!$V$29*E168+'Reference Standards'!$V$30)),2))), IF(G138="Southern Headwaters", IF(E168&lt;33,0,IF(E168&gt;=74,1,ROUND(IF(E168&lt;55, 'Reference Standards'!$W$29*E168+'Reference Standards'!$W$30, IF(E168&lt;62, 'Reference Standards'!$X$29*E168+'Reference Standards'!$X$30, 'Reference Standards'!$Y$29*E168+'Reference Standards'!$Y$30)),2))), IF(G138="Southern Coldwater", IF(E168&lt;37,0,IF(E168&gt;=82,1,ROUND(IF(E168&lt;50, 'Reference Standards'!$Z$29*E168+'Reference Standards'!$Z$30, IF(E168&lt;63,'Reference Standards'!$AA$29*E168+'Reference Standards'!$AA$30,'Reference Standards'!$AB$29*E168+'Reference Standards'!$AB$30)),2))), IF(G138="Low Gradient", IF(E168&lt;15,0,IF(E168&gt;=70,1,ROUND(IF(E168&lt;42, 'Reference Standards'!$Q$34*E168+'Reference Standards'!$Q$35, IF(E168&lt;52, 'Reference Standards'!$R$34*E168+'Reference Standards'!$R$35, 'Reference Standards'!$S$34*E168+'Reference Standards'!$S$35)),2))) ))))))))))))</f>
        <v>0.8</v>
      </c>
      <c r="G168" s="237">
        <f>IFERROR(AVERAGE(F168),"")</f>
        <v>0.8</v>
      </c>
      <c r="H168" s="450"/>
      <c r="I168" s="414"/>
      <c r="J168" s="429"/>
    </row>
    <row r="169" spans="1:11" s="5" customFormat="1" ht="6" customHeight="1" x14ac:dyDescent="0.25">
      <c r="I169" s="102"/>
      <c r="J169" s="4"/>
      <c r="K169" s="11"/>
    </row>
    <row r="170" spans="1:11" s="5" customFormat="1" ht="6" customHeight="1" x14ac:dyDescent="0.25">
      <c r="I170" s="102"/>
      <c r="K170" s="11"/>
    </row>
    <row r="171" spans="1:11" s="5" customFormat="1" ht="21" customHeight="1" x14ac:dyDescent="0.25">
      <c r="A171" s="406" t="s">
        <v>310</v>
      </c>
      <c r="B171" s="407"/>
      <c r="C171" s="407"/>
      <c r="D171" s="407"/>
      <c r="E171" s="407"/>
      <c r="F171" s="407"/>
      <c r="G171" s="407"/>
      <c r="H171" s="407"/>
      <c r="I171" s="407"/>
      <c r="J171" s="408"/>
    </row>
    <row r="172" spans="1:11" s="5" customFormat="1" ht="17.45" customHeight="1" x14ac:dyDescent="0.25">
      <c r="A172" s="122" t="s">
        <v>68</v>
      </c>
      <c r="B172" s="101"/>
      <c r="C172" s="122" t="s">
        <v>195</v>
      </c>
      <c r="D172" s="48"/>
      <c r="E172" s="165" t="s">
        <v>226</v>
      </c>
      <c r="F172" s="166"/>
      <c r="G172" s="48"/>
      <c r="H172" s="404" t="s">
        <v>137</v>
      </c>
      <c r="I172" s="405"/>
      <c r="J172" s="101"/>
    </row>
    <row r="173" spans="1:11" s="5" customFormat="1" ht="17.45" customHeight="1" x14ac:dyDescent="0.25">
      <c r="A173" s="122" t="s">
        <v>69</v>
      </c>
      <c r="B173" s="48"/>
      <c r="C173" s="122" t="s">
        <v>205</v>
      </c>
      <c r="D173" s="48"/>
      <c r="E173" s="413" t="s">
        <v>92</v>
      </c>
      <c r="F173" s="413"/>
      <c r="G173" s="48"/>
      <c r="H173" s="404" t="s">
        <v>138</v>
      </c>
      <c r="I173" s="405"/>
      <c r="J173" s="101"/>
    </row>
    <row r="174" spans="1:11" s="5" customFormat="1" ht="17.45" customHeight="1" x14ac:dyDescent="0.25">
      <c r="A174" s="122" t="s">
        <v>136</v>
      </c>
      <c r="B174" s="48"/>
      <c r="C174" s="122" t="s">
        <v>206</v>
      </c>
      <c r="D174" s="48"/>
      <c r="E174" s="413" t="s">
        <v>267</v>
      </c>
      <c r="F174" s="413"/>
      <c r="G174" s="48"/>
      <c r="H174" s="404" t="s">
        <v>139</v>
      </c>
      <c r="I174" s="405"/>
      <c r="J174" s="101"/>
    </row>
    <row r="175" spans="1:11" s="5" customFormat="1" ht="17.45" customHeight="1" x14ac:dyDescent="0.25">
      <c r="A175" s="106" t="s">
        <v>261</v>
      </c>
      <c r="B175" s="48"/>
      <c r="C175" s="122" t="s">
        <v>207</v>
      </c>
      <c r="D175" s="48"/>
      <c r="E175" s="225" t="s">
        <v>260</v>
      </c>
      <c r="F175" s="226"/>
      <c r="G175" s="48"/>
      <c r="H175" s="404" t="s">
        <v>140</v>
      </c>
      <c r="I175" s="405"/>
      <c r="J175" s="101"/>
    </row>
    <row r="176" spans="1:11" s="5" customFormat="1" ht="6" customHeight="1" x14ac:dyDescent="0.25">
      <c r="A176" s="1"/>
      <c r="B176" s="4"/>
      <c r="C176" s="4"/>
      <c r="D176" s="4"/>
      <c r="E176" s="4"/>
      <c r="F176" s="4"/>
      <c r="G176" s="4"/>
      <c r="H176" s="12"/>
      <c r="I176" s="104"/>
      <c r="J176" s="12"/>
    </row>
    <row r="177" spans="1:10" s="5" customFormat="1" ht="21" x14ac:dyDescent="0.35">
      <c r="A177" s="417" t="s">
        <v>48</v>
      </c>
      <c r="B177" s="418"/>
      <c r="C177" s="418"/>
      <c r="D177" s="418"/>
      <c r="E177" s="418"/>
      <c r="F177" s="419"/>
      <c r="G177" s="420" t="s">
        <v>14</v>
      </c>
      <c r="H177" s="420"/>
      <c r="I177" s="420"/>
      <c r="J177" s="420"/>
    </row>
    <row r="178" spans="1:10" s="5" customFormat="1" ht="15.75" x14ac:dyDescent="0.25">
      <c r="A178" s="46" t="s">
        <v>1</v>
      </c>
      <c r="B178" s="46" t="s">
        <v>2</v>
      </c>
      <c r="C178" s="421" t="s">
        <v>3</v>
      </c>
      <c r="D178" s="422"/>
      <c r="E178" s="46" t="s">
        <v>12</v>
      </c>
      <c r="F178" s="45" t="s">
        <v>13</v>
      </c>
      <c r="G178" s="46" t="s">
        <v>15</v>
      </c>
      <c r="H178" s="46" t="s">
        <v>16</v>
      </c>
      <c r="I178" s="105" t="s">
        <v>16</v>
      </c>
      <c r="J178" s="46" t="s">
        <v>110</v>
      </c>
    </row>
    <row r="179" spans="1:10" s="5" customFormat="1" ht="15.75" customHeight="1" x14ac:dyDescent="0.25">
      <c r="A179" s="427" t="s">
        <v>51</v>
      </c>
      <c r="B179" s="427" t="s">
        <v>78</v>
      </c>
      <c r="C179" s="167" t="s">
        <v>162</v>
      </c>
      <c r="D179" s="169"/>
      <c r="E179" s="44"/>
      <c r="F179" s="28">
        <f>IF(G175="Yes","",(IF(G174="",0.8,(IF(AND(E179="",G174="Yes"),0.9,(IF(AND(E179="",G174="No"),0.8,IF(E179&gt;=80,0,IF(E179&lt;=40,1,IF(E179&gt;=68,ROUND(E179*'Reference Standards'!$B$4+'Reference Standards'!$B$5,2),ROUND(E179*'Reference Standards'!$C$4+'Reference Standards'!$C$5,2)))))))))))</f>
        <v>0.8</v>
      </c>
      <c r="G179" s="401">
        <f>IFERROR(AVERAGE(F179:F181),"")</f>
        <v>0.8</v>
      </c>
      <c r="H179" s="401">
        <f>IFERROR(ROUND(AVERAGE(G179:G181),2),"")</f>
        <v>0.8</v>
      </c>
      <c r="I179" s="414" t="str">
        <f>IF(H179="","",IF(H179&gt;0.69,"Functioning",IF(H179&gt;0.29,"Functioning At Risk",IF(H179&gt;-1,"Not Functioning"))))</f>
        <v>Functioning</v>
      </c>
      <c r="J179" s="429">
        <f>IF(AND(H179="",H182="",H184="",H198="",H201=""),"",ROUND((IF(H179="",0,H179)*0.2)+(IF(H182="",0,H182)*0.2)+(IF(H184="",0,H184)*0.2)+(IF(H198="",0,H198)*0.2)+(IF(H201="",0,H201)*0.2),2))</f>
        <v>0.8</v>
      </c>
    </row>
    <row r="180" spans="1:10" s="5" customFormat="1" ht="15.75" customHeight="1" x14ac:dyDescent="0.25">
      <c r="A180" s="428"/>
      <c r="B180" s="428"/>
      <c r="C180" s="168" t="s">
        <v>164</v>
      </c>
      <c r="D180" s="170"/>
      <c r="E180" s="49"/>
      <c r="F180" s="228" t="str">
        <f>IF(G175="No","",IF(E180="","",  IF(E180&gt;0.95,0,IF(E180&lt;=0.02,1,ROUND(IF(E180&gt;0.26,'Reference Standards'!$B$10*E180+'Reference Standards'!$B$11, IF(E180&lt;0.05, 'Reference Standards'!$D$10*E180+'Reference Standards'!$D$11, 'Reference Standards'!$C$10*E180+'Reference Standards'!$C$11)),2))) ))</f>
        <v/>
      </c>
      <c r="G180" s="402"/>
      <c r="H180" s="402"/>
      <c r="I180" s="414"/>
      <c r="J180" s="429"/>
    </row>
    <row r="181" spans="1:10" s="5" customFormat="1" ht="15.75" x14ac:dyDescent="0.25">
      <c r="A181" s="428"/>
      <c r="B181" s="442"/>
      <c r="C181" s="171" t="s">
        <v>166</v>
      </c>
      <c r="D181" s="172"/>
      <c r="E181" s="49"/>
      <c r="F181" s="227">
        <f>IF(G175="Yes","",(IF(G174="",0.8,(IF(AND(E181="",G174="Yes"),0.9,(IF(AND(E181="",G174="No"),0.8,IF(E181&gt;3.22,0,IF(E181&lt;0,"",ROUND('Reference Standards'!$B$15*E181+'Reference Standards'!$B$16,2))))))))))</f>
        <v>0.8</v>
      </c>
      <c r="G181" s="403"/>
      <c r="H181" s="403"/>
      <c r="I181" s="414"/>
      <c r="J181" s="429"/>
    </row>
    <row r="182" spans="1:10" s="5" customFormat="1" ht="15.75" x14ac:dyDescent="0.25">
      <c r="A182" s="432" t="s">
        <v>4</v>
      </c>
      <c r="B182" s="434" t="s">
        <v>5</v>
      </c>
      <c r="C182" s="17" t="s">
        <v>6</v>
      </c>
      <c r="D182" s="17"/>
      <c r="E182" s="44"/>
      <c r="F182" s="96">
        <f>IF(G174="",0.8,(IF(AND(E182="",G174="Yes"),0.9,(IF(AND(E182="",G174="No"),0.8,ROUND(IF(E182&gt;1.6,0,IF(E182&lt;=1,1,E182^2*'Reference Standards'!$F$2+E182*'Reference Standards'!$F$3+'Reference Standards'!$F$4)),2))))))</f>
        <v>0.8</v>
      </c>
      <c r="G182" s="435">
        <f>IFERROR(AVERAGE(F182:F183),"")</f>
        <v>0.8</v>
      </c>
      <c r="H182" s="436">
        <f>IFERROR(ROUND(AVERAGE(G182),2),"")</f>
        <v>0.8</v>
      </c>
      <c r="I182" s="438" t="str">
        <f>IF(H182="","",IF(H182&gt;0.69,"Functioning",IF(H182&gt;0.29,"Functioning At Risk",IF(H182&gt;-1,"Not Functioning"))))</f>
        <v>Functioning</v>
      </c>
      <c r="J182" s="429"/>
    </row>
    <row r="183" spans="1:10" s="5" customFormat="1" ht="15.75" x14ac:dyDescent="0.25">
      <c r="A183" s="433"/>
      <c r="B183" s="434"/>
      <c r="C183" s="17" t="s">
        <v>7</v>
      </c>
      <c r="D183" s="17"/>
      <c r="E183" s="50"/>
      <c r="F183" s="96">
        <f>IF(G174="",0.8,(IF(AND(E183="",G174="Yes"),0.9,(IF(AND(E183="",G174="No"),0.8,(IF(OR(B174="A",B174="B",B174="Bc",B174="Ba"),IF(E183&lt;1.2,0,IF(E183&gt;=2.2,1,ROUND(IF(E183&lt;1.4,E183*'Reference Standards'!$F$13+'Reference Standards'!$F$14,E183*'Reference Standards'!$G$13+'Reference Standards'!$G$14),2))),IF(OR(B174="C",B174="Cb",B174="E"),IF(E183&lt;2,0,IF(E183&gt;=5,1,ROUND(IF(E183&lt;2.4,E183*'Reference Standards'!$G$8+'Reference Standards'!$G$9,E183*'Reference Standards'!$F$8+'Reference Standards'!$F$9),2)))))))))))</f>
        <v>0.8</v>
      </c>
      <c r="G183" s="435"/>
      <c r="H183" s="437"/>
      <c r="I183" s="439"/>
      <c r="J183" s="429"/>
    </row>
    <row r="184" spans="1:10" s="5" customFormat="1" ht="15.75" customHeight="1" x14ac:dyDescent="0.25">
      <c r="A184" s="398" t="s">
        <v>21</v>
      </c>
      <c r="B184" s="440" t="s">
        <v>22</v>
      </c>
      <c r="C184" s="21" t="s">
        <v>103</v>
      </c>
      <c r="D184" s="69"/>
      <c r="E184" s="44"/>
      <c r="F184" s="229" t="str">
        <f>IF(E184="","",IF(E184&gt;=660,1,IF(E184&lt;=430,ROUND('Reference Standards'!$I$4*E184+'Reference Standards'!$I$5,2),ROUND('Reference Standards'!$J$4*E184+'Reference Standards'!$J$5,2))))</f>
        <v/>
      </c>
      <c r="G184" s="423">
        <f>IFERROR(AVERAGE(F184:F185),"")</f>
        <v>0.8</v>
      </c>
      <c r="H184" s="447">
        <f>IFERROR(ROUND(AVERAGE(G184:G197),2),"")</f>
        <v>0.8</v>
      </c>
      <c r="I184" s="449" t="str">
        <f>IF(H184="","",IF(H184&gt;0.69,"Functioning",IF(H184&gt;0.29,"Functioning At Risk",IF(H184&gt;-1,"Not Functioning"))))</f>
        <v>Functioning</v>
      </c>
      <c r="J184" s="429"/>
    </row>
    <row r="185" spans="1:10" s="5" customFormat="1" ht="15.75" x14ac:dyDescent="0.25">
      <c r="A185" s="399"/>
      <c r="B185" s="441"/>
      <c r="C185" s="24" t="s">
        <v>99</v>
      </c>
      <c r="D185" s="70"/>
      <c r="E185" s="50"/>
      <c r="F185" s="98">
        <f>IF(ISNUMBER(E184),"",IF(G174="",0.8,(IF(AND(E185="",G174="Yes"),0.9,(IF(AND(E185="",G174="No"),0.8,IF(E185&gt;=28,1,ROUND(IF(E185&lt;=13,'Reference Standards'!$I$9*E185,'Reference Standards'!$J$9*E185+'Reference Standards'!$J$10),2))))))))</f>
        <v>0.8</v>
      </c>
      <c r="G185" s="426"/>
      <c r="H185" s="447"/>
      <c r="I185" s="449"/>
      <c r="J185" s="429"/>
    </row>
    <row r="186" spans="1:10" s="5" customFormat="1" ht="15.75" x14ac:dyDescent="0.25">
      <c r="A186" s="399"/>
      <c r="B186" s="399" t="s">
        <v>126</v>
      </c>
      <c r="C186" s="19" t="s">
        <v>43</v>
      </c>
      <c r="D186" s="19"/>
      <c r="E186" s="49"/>
      <c r="F186" s="29">
        <f>IF(G174="",0.8,(IF(AND(E186="",G174="Yes"),0.9,(IF(AND(E186="",G174="No"),0.8,IF(OR(E186="Ex/Ex",E186="Ex/VH",E186="Ex/H",E186="Ex/M",E186="VH/Ex",E186="VH/VH", E186="H/Ex",E186="H/VH"),0, IF(OR(E186="M/Ex"),0.1,IF(OR(E186="VH/H",E186="VH/M",E186="H/H",E186="H/M", E186="M/VH"),0.2, IF(OR(E186="Ex/VL",E186="Ex/L", E186="M/H"),0.3, IF(OR(E186="VH/L",E186="H/L"),0.4, IF(OR(E186="VH/VL",E186="H/VL",E186="M/M"),0.5, IF(OR(E186="M/L",E186="L/Ex"),0.6, IF(OR(E186="M/VL",E186="L/VH", E186="L/H",E186="L/M",E186="L/L",E186="L/VL",LEFT(E186)="V"),1)))))))))))))</f>
        <v>0.8</v>
      </c>
      <c r="G186" s="423">
        <f>IFERROR(AVERAGE(F186:F188),"")</f>
        <v>0.80000000000000016</v>
      </c>
      <c r="H186" s="448"/>
      <c r="I186" s="449"/>
      <c r="J186" s="429"/>
    </row>
    <row r="187" spans="1:10" s="5" customFormat="1" ht="15.75" x14ac:dyDescent="0.25">
      <c r="A187" s="399"/>
      <c r="B187" s="399"/>
      <c r="C187" s="20" t="s">
        <v>57</v>
      </c>
      <c r="D187" s="173"/>
      <c r="E187" s="243"/>
      <c r="F187" s="29">
        <f>IF(G174="",0.8,(IF(AND(E187="",G174="Yes"),0.9,(IF(AND(E187="",G174="No"),0.8,ROUND(IF(E187&gt;=75,0,IF(E187&lt;=5,1,IF(E187&gt;10,E187*'Reference Standards'!$I$14+'Reference Standards'!$I$15,'Reference Standards'!$J$14*E187+'Reference Standards'!$J$15))),2))))))</f>
        <v>0.8</v>
      </c>
      <c r="G187" s="424"/>
      <c r="H187" s="448"/>
      <c r="I187" s="449"/>
      <c r="J187" s="429"/>
    </row>
    <row r="188" spans="1:10" s="5" customFormat="1" ht="15.75" x14ac:dyDescent="0.25">
      <c r="A188" s="399"/>
      <c r="B188" s="400"/>
      <c r="C188" s="20" t="s">
        <v>125</v>
      </c>
      <c r="D188" s="20"/>
      <c r="E188" s="50"/>
      <c r="F188" s="98">
        <f>IF(G174="",0.8,(IF(AND(E188="",G174="Yes"),0.9,(IF(AND(E188="",G174="No"),0.8,IF(E188&gt;=50,0,ROUND(E188*'Reference Standards'!$I$18+'Reference Standards'!$I$19,2)))))))</f>
        <v>0.8</v>
      </c>
      <c r="G188" s="426"/>
      <c r="H188" s="448"/>
      <c r="I188" s="449"/>
      <c r="J188" s="429"/>
    </row>
    <row r="189" spans="1:10" s="5" customFormat="1" ht="15.75" x14ac:dyDescent="0.25">
      <c r="A189" s="399"/>
      <c r="B189" s="18" t="s">
        <v>70</v>
      </c>
      <c r="C189" s="26" t="s">
        <v>80</v>
      </c>
      <c r="D189" s="68"/>
      <c r="E189" s="50"/>
      <c r="F189" s="27" t="str">
        <f>IF(E189="","",IF(E189&gt;=50,0,ROUND(E189*'Reference Standards'!$I$22+'Reference Standards'!$I$23,2)))</f>
        <v/>
      </c>
      <c r="G189" s="27" t="str">
        <f>IFERROR(AVERAGE(F189),"")</f>
        <v/>
      </c>
      <c r="H189" s="448"/>
      <c r="I189" s="449"/>
      <c r="J189" s="429"/>
    </row>
    <row r="190" spans="1:10" s="5" customFormat="1" ht="15.75" x14ac:dyDescent="0.25">
      <c r="A190" s="399"/>
      <c r="B190" s="398" t="s">
        <v>45</v>
      </c>
      <c r="C190" s="25" t="s">
        <v>46</v>
      </c>
      <c r="D190" s="25"/>
      <c r="E190" s="53"/>
      <c r="F190" s="230">
        <f>IF(G174="",0.8,(IF(AND(E190="",G174="Yes"),0.9,(IF(AND(E190="",G174="No"),0.8,ROUND( IF(OR(LEFT(B174)="C",B174="E"), IF(OR(E190&lt;=1,E190&gt;=9),0,IF(AND(E190&gt;=3.5,E190&lt;=6),1,IF(E190&lt;3.5, E190*'Reference Standards'!$I$37+'Reference Standards'!$I$38, E190*'Reference Standards'!$J$37+'Reference Standards'!$J$38))),   IF(OR(B174="A",(B174)="B", (B174)="Ba"), IF(E190&gt;=6.5,0, IF(E190&lt;=4, 1, E190^2*'Reference Standards'!$I$26+E190*'Reference Standards'!$I$27+'Reference Standards'!$I$28)), IF(B174="Bc",  IF(E190&gt;=8,0, IF(E190&lt;=5, 1, E190^2*'Reference Standards'!$I$31+E190*'Reference Standards'!$I$32+'Reference Standards'!$I$33))))),2))))))</f>
        <v>0.8</v>
      </c>
      <c r="G190" s="430">
        <f>IFERROR(AVERAGE(F190:F193),"")</f>
        <v>0.80000000000000016</v>
      </c>
      <c r="H190" s="448"/>
      <c r="I190" s="449"/>
      <c r="J190" s="429"/>
    </row>
    <row r="191" spans="1:10" s="5" customFormat="1" ht="15.75" x14ac:dyDescent="0.25">
      <c r="A191" s="399"/>
      <c r="B191" s="399"/>
      <c r="C191" s="19" t="s">
        <v>47</v>
      </c>
      <c r="D191" s="19"/>
      <c r="E191" s="52"/>
      <c r="F191" s="29">
        <f>IF(G174="",0.8,(IF(AND(E191="",G174="Yes"),0.9,(IF(AND(E191="",G174="No"),0.8,ROUND(  IF(E191&lt;=1.1,0, IF(E191&gt;=3,1, IF(E191&lt;2, E191^2*'Reference Standards'!$I$42+  E191*'Reference Standards'!$I$43 + 'Reference Standards'!$I$44,      E191*'Reference Standards'!$J$43+'Reference Standards'!$J$44))),2))))))</f>
        <v>0.8</v>
      </c>
      <c r="G191" s="425"/>
      <c r="H191" s="448"/>
      <c r="I191" s="449"/>
      <c r="J191" s="429"/>
    </row>
    <row r="192" spans="1:10" s="5" customFormat="1" ht="15.75" x14ac:dyDescent="0.25">
      <c r="A192" s="399"/>
      <c r="B192" s="399"/>
      <c r="C192" s="19" t="s">
        <v>104</v>
      </c>
      <c r="D192" s="19"/>
      <c r="E192" s="52"/>
      <c r="F192" s="269">
        <f>IF(G174="",0.8,(IF(AND(E192="",G174="Yes"),0.9,(IF(AND(E192="",G174="No"),0.8,IF(OR(B174="A",LEFT(B174,1)="B"),IF(OR(E192&lt;=20,E192&gt;=90),0,IF(AND(E192&gt;=50,E192&lt;=60),1,IF(E192&lt;50,ROUND(E192*'Reference Standards'!$I$48+'Reference Standards'!$I$49,2),ROUND(E192*'Reference Standards'!$J$48+'Reference Standards'!$J$49,2)))),IF(OR(LEFT(B174)="C",B174="E"),IF(OR(E192&lt;=20,E192&gt;=85),0,IF(AND(E192&lt;=65,E192&gt;=45),1,IF(E192&lt;45,ROUND(E192*'Reference Standards'!$I$53+'Reference Standards'!$I$54,2),ROUND(E192*'Reference Standards'!$J$53+'Reference Standards'!$J$54,2)))))))))))</f>
        <v>0.8</v>
      </c>
      <c r="G192" s="425"/>
      <c r="H192" s="448"/>
      <c r="I192" s="449"/>
      <c r="J192" s="429"/>
    </row>
    <row r="193" spans="1:11" s="5" customFormat="1" ht="15.75" x14ac:dyDescent="0.25">
      <c r="A193" s="399"/>
      <c r="B193" s="400"/>
      <c r="C193" s="23" t="s">
        <v>88</v>
      </c>
      <c r="D193" s="19"/>
      <c r="E193" s="54"/>
      <c r="F193" s="270" t="str">
        <f>IF(E193="","",IF(E193&gt;=1.6,0,IF(E193&lt;=1,1,ROUND('Reference Standards'!$I$57*E193^3+'Reference Standards'!$I$58*E193^2+'Reference Standards'!$I$59*E193+'Reference Standards'!$I$60,2))))</f>
        <v/>
      </c>
      <c r="G193" s="431"/>
      <c r="H193" s="448"/>
      <c r="I193" s="449"/>
      <c r="J193" s="429"/>
    </row>
    <row r="194" spans="1:11" s="5" customFormat="1" ht="15.75" x14ac:dyDescent="0.25">
      <c r="A194" s="399"/>
      <c r="B194" s="398" t="s">
        <v>44</v>
      </c>
      <c r="C194" s="21" t="s">
        <v>182</v>
      </c>
      <c r="D194" s="69"/>
      <c r="E194" s="22"/>
      <c r="F194" s="97">
        <f>IF(G174="",0.8,(IF(AND(E194="",G174="Yes"),0.9,(IF(AND(E194="",G174="No"),0.8,IF(G173="Unconfined Alluvial",IF(E194&gt;=100,1,IF(E194&lt;30,0,ROUND('Reference Standards'!$I$64*E194+'Reference Standards'!$I$65,2))),IF(OR(G173="Confined Alluvial",G173="Colluvial/V-Shaped"),(IF(E194&gt;=100,1,IF(E194&lt;60,0,ROUND('Reference Standards'!$J$64*E194+'Reference Standards'!$J$65,2)))))))))))</f>
        <v>0.8</v>
      </c>
      <c r="G194" s="423">
        <f>IFERROR(AVERAGE(F194:F197),"")</f>
        <v>0.80000000000000016</v>
      </c>
      <c r="H194" s="448"/>
      <c r="I194" s="449"/>
      <c r="J194" s="429"/>
    </row>
    <row r="195" spans="1:11" s="5" customFormat="1" ht="15.75" x14ac:dyDescent="0.25">
      <c r="A195" s="399"/>
      <c r="B195" s="399"/>
      <c r="C195" s="23" t="s">
        <v>183</v>
      </c>
      <c r="D195" s="173"/>
      <c r="E195" s="244"/>
      <c r="F195" s="29">
        <f>IF(G174="",0.8,(IF(AND(E195="",G174="Yes"),0.9,(IF(AND(E195="",G174="No"),0.8,IF(B175="Yes",IF(E195&lt;=50,0,IF(E195&gt;=80,1,ROUND('Reference Standards'!$I$69*E195+'Reference Standards'!$I$70,2))),IF(B175="No",IF(E195&gt;=80,0,IF(E195&lt;=50,1,ROUND(E195*'Reference Standards'!$J$69+'Reference Standards'!$J$70,2))))))))))</f>
        <v>0.8</v>
      </c>
      <c r="G195" s="424"/>
      <c r="H195" s="448"/>
      <c r="I195" s="449"/>
      <c r="J195" s="429"/>
    </row>
    <row r="196" spans="1:11" s="5" customFormat="1" ht="15.75" x14ac:dyDescent="0.25">
      <c r="A196" s="399"/>
      <c r="B196" s="399"/>
      <c r="C196" s="23" t="s">
        <v>184</v>
      </c>
      <c r="D196" s="173"/>
      <c r="E196" s="244"/>
      <c r="F196" s="29">
        <f>IF(G174="",0.8,(IF(AND(E196="",G174="Yes"),0.9,(IF(AND(E196="",G174="No"),0.8,IF(E196&lt;=50,0,IF(E196&gt;=80,1, ROUND(E196*'Reference Standards'!$I$73+'Reference Standards'!$I$74,2))))))))</f>
        <v>0.8</v>
      </c>
      <c r="G196" s="425"/>
      <c r="H196" s="448"/>
      <c r="I196" s="449"/>
      <c r="J196" s="429"/>
    </row>
    <row r="197" spans="1:11" s="5" customFormat="1" ht="15.75" x14ac:dyDescent="0.25">
      <c r="A197" s="399"/>
      <c r="B197" s="400"/>
      <c r="C197" s="443" t="s">
        <v>277</v>
      </c>
      <c r="D197" s="444"/>
      <c r="E197" s="16"/>
      <c r="F197" s="98" t="str">
        <f>IF(OR(B175="",B175="No"),"",IF(AND(E197="",B175="Yes",G174="Yes"),0.9,IF(OR(G174="No",G174=""),0.8,IF(E197&lt;=9,0,IF(E197&gt;=14,1,ROUND('Reference Standards'!$I$77*E197+'Reference Standards'!$I$78,2))))))</f>
        <v/>
      </c>
      <c r="G197" s="426"/>
      <c r="H197" s="448"/>
      <c r="I197" s="449"/>
      <c r="J197" s="429"/>
    </row>
    <row r="198" spans="1:11" s="5" customFormat="1" ht="15.75" customHeight="1" x14ac:dyDescent="0.25">
      <c r="A198" s="409" t="s">
        <v>49</v>
      </c>
      <c r="B198" s="174" t="s">
        <v>169</v>
      </c>
      <c r="C198" s="175" t="s">
        <v>176</v>
      </c>
      <c r="D198" s="177"/>
      <c r="E198" s="101"/>
      <c r="F198" s="182">
        <f>IF(G174="",0.8,(IF(AND(E198="",G174="Yes"),0.9,IF(E198&gt;=25,0,IF(E198&lt;=10,1,ROUND(IF(E198&gt;18,'Reference Standards'!$L$4*E198+'Reference Standards'!$L$5,IF(E198&lt;12,'Reference Standards'!$N$4*E198+'Reference Standards'!$N$5,'Reference Standards'!$M$4*E198+'Reference Standards'!$M$5)),2))))))</f>
        <v>0.8</v>
      </c>
      <c r="G198" s="180">
        <f>IFERROR(AVERAGE(F198),"")</f>
        <v>0.8</v>
      </c>
      <c r="H198" s="411">
        <f>IFERROR(ROUND(AVERAGE(G198:G200),2),"")</f>
        <v>0.8</v>
      </c>
      <c r="I198" s="415" t="str">
        <f>IF(H198="","",IF(H198&gt;0.69,"Functioning",IF(H198&gt;0.29,"Functioning At Risk",IF(H198&gt;-1,"Not Functioning"))))</f>
        <v>Functioning</v>
      </c>
      <c r="J198" s="429"/>
    </row>
    <row r="199" spans="1:11" s="5" customFormat="1" ht="15.75" x14ac:dyDescent="0.25">
      <c r="A199" s="410"/>
      <c r="B199" s="176" t="s">
        <v>170</v>
      </c>
      <c r="C199" s="175" t="s">
        <v>177</v>
      </c>
      <c r="D199" s="178"/>
      <c r="E199" s="49"/>
      <c r="F199" s="231">
        <f>IF(G174="",0.8,(IF(AND(E199="",G174="Yes"),0.9,IF(D172="2A",IF(E199&lt;=5.3,0,IF(E199&gt;=8.79,1,ROUND(E199*'Reference Standards'!$L$9+'Reference Standards'!$L$10,2))),IF(D172=7,IF(E199&lt;=0.8,0,IF(E199&gt;=1.25,1,ROUND(E199*'Reference Standards'!$N$9+'Reference Standards'!$N$10,2))),IF(OR(D172="2B", D172="2Bd",D172="2C"),IF(E199&lt;=3.8,0,(IF(E199&gt;=6.3,1,ROUND(E199*'Reference Standards'!$M$9+'Reference Standards'!$M$10,2))))))))))</f>
        <v>0.8</v>
      </c>
      <c r="G199" s="181">
        <f>IFERROR(AVERAGE(F199),"")</f>
        <v>0.8</v>
      </c>
      <c r="H199" s="412"/>
      <c r="I199" s="416"/>
      <c r="J199" s="429"/>
    </row>
    <row r="200" spans="1:11" s="5" customFormat="1" ht="15.75" x14ac:dyDescent="0.25">
      <c r="A200" s="410"/>
      <c r="B200" s="174" t="s">
        <v>172</v>
      </c>
      <c r="C200" s="175" t="s">
        <v>178</v>
      </c>
      <c r="D200" s="179"/>
      <c r="E200" s="101"/>
      <c r="F200" s="182">
        <f>IF(G174="",0.8,(IF(AND(E200="",G174="Yes"),0.9,IF(D172="2A",IF(E200&gt;=12.5,0,IF(E200&lt;=7.5,1,ROUND(E200*'Reference Standards'!$L$15+'Reference Standards'!$L$16,2))),IF(OR(D172="2B",D172="2Bd",D172="2C"),IF(D173="North",IF(E200&gt;=18.8,0,IF(E200&lt;=11.3,1,ROUND(E200*'Reference Standards'!$M$15+'Reference Standards'!$M$16,2))),IF(D173="Central",(IF(E200&gt;=37.5,0,IF(E200&lt;=22.5,1,ROUND(E200*'Reference Standards'!$N$15+'Reference Standards'!$N$16,2)))),IF(E200&gt;=81.2,0,(IF(E200&lt;=48.7,1,ROUND(E200*'Reference Standards'!$O$15+'Reference Standards'!$O$16,2)))))))))))</f>
        <v>0.8</v>
      </c>
      <c r="G200" s="182">
        <f>IFERROR(AVERAGE(F200),"")</f>
        <v>0.8</v>
      </c>
      <c r="H200" s="412"/>
      <c r="I200" s="416"/>
      <c r="J200" s="429"/>
    </row>
    <row r="201" spans="1:11" s="5" customFormat="1" ht="15.75" x14ac:dyDescent="0.25">
      <c r="A201" s="445" t="s">
        <v>50</v>
      </c>
      <c r="B201" s="236" t="s">
        <v>105</v>
      </c>
      <c r="C201" s="40" t="s">
        <v>179</v>
      </c>
      <c r="D201" s="41"/>
      <c r="E201" s="44"/>
      <c r="F201" s="99">
        <f>IF(G174="",0.8,(IF(AND(E200="",G174="Yes"),0.9,IF(D175="Northern Forest Rivers",IF(E201&lt;=38.2,0,IF(E201&gt;=77,1,ROUND(IF(E201&lt;49, 'Reference Standards'!$Q$5*E201+'Reference Standards'!$Q$6, IF(E201&lt;59.8, 'Reference Standards'!$R$5*E201+'Reference Standards'!$R$6, 'Reference Standards'!$S$5*E201+'Reference Standards'!$S$6)),2))),   IF(D175="Northern Forest Streams Riffle-run",IF(E201&lt;40.4,0,IF(E201&gt;=82,1,ROUND(IF(E201&lt;53, 'Reference Standards'!$T$5*E201+'Reference Standards'!$T$6, IF(E201&lt;59.8, 'Reference Standards'!$U$5*E201+'Reference Standards'!$U$6, 'Reference Standards'!$V$5*E201+'Reference Standards'!$V$6) ),2))), IF(D175="Northern Forest Streams Glide-pool",IF(E201&lt;=37,0,IF(E201&gt;=76,1,ROUND(IF(E201&lt;51, 'Reference Standards'!$W$5*E201+'Reference Standards'!$W$6, IF(E201&lt;65.6, 'Reference Standards'!$X$5*E201+'Reference Standards'!$X$6, 'Reference Standards'!$Y$5*E201+'Reference Standards'!$Y$6) ),2))), IF(D175="Northern Coldwater",IF(E201&lt;19.6,0,IF(E201&gt;=52,1,ROUND(IF(E201&lt;32, 'Reference Standards'!$Z$5*E201+'Reference Standards'!$Z$6, IF(E201&lt;44.4,'Reference Standards'!$AA$5*E201+'Reference Standards'!$AA$6, 'Reference Standards'!$AB$5*E201+'Reference Standards'!$AB$6) ),2))), IF(D175="Southern Forest Streams Riffle-run", IF(E201&lt;24,0,IF(E201&gt;=62,1,ROUND(IF(E201&lt;37, 'Reference Standards'!$Q$11*E201+'Reference Standards'!$Q$12, IF(E201&lt;49.6,'Reference Standards'!$R$11*E201+'Reference Standards'!$R$12,'Reference Standards'!$S$11*E201+'Reference Standards'!$S$12)),2))), IF(D175="Southern Forest Streams Glide-pool", IF(E201&lt;29.4,0,IF(E201&gt;=65,1,ROUND(IF(E201&lt;43,'Reference Standards'!$T$11*E201+'Reference Standards'!$T$12, IF(E201&lt;56.6, 'Reference Standards'!$U$11*E201+'Reference Standards'!$U$12,'Reference Standards'!$V$11*E201+'Reference Standards'!$V$12)),2))), IF(D175="Southern Coldwater", IF(E201&lt;29.2,0,IF(E201&gt;=72,1,ROUND(IF(E201&lt;43, 'Reference Standards'!$W$11*E201+'Reference Standards'!$W$12, IF(E201&lt;56.8,'Reference Standards'!$X$11*E201+'Reference Standards'!$X$12, 'Reference Standards'!$Y$11*E201+'Reference Standards'!$Y$12)),2))), IF(D175="Prairie Forest Rivers", IF(E201&lt;20.2,0,IF(E201&gt;=62,1,ROUND(IF(E201&lt;31,'Reference Standards'!$Q$17*E201+'Reference Standards'!$Q$18, IF(E201&lt;41.8,'Reference Standards'!$R$17*E201+'Reference Standards'!$R$18,'Reference Standards'!$S$17*E201+'Reference Standards'!$S$18)),2))), IF(D175="Prairie Streams Glide-Pool", IF(E201&lt;27.4,0,IF(E201&gt;=69,1,ROUND(IF(E201&lt;41,'Reference Standards'!$T$17*E201+'Reference Standards'!$T$18, IF(E201&lt;54.6,'Reference Standards'!$U$17*E201+'Reference Standards'!$U$18, 'Reference Standards'!$V$17*E201+'Reference Standards'!$V$18)),2))) ))))))))))))</f>
        <v>0.8</v>
      </c>
      <c r="G201" s="237">
        <f>IFERROR(AVERAGE(F201),"")</f>
        <v>0.8</v>
      </c>
      <c r="H201" s="450">
        <f>IFERROR(ROUND(AVERAGE(G201:G202),2),"")</f>
        <v>0.8</v>
      </c>
      <c r="I201" s="414" t="str">
        <f>IF(H201="","",IF(H201&gt;0.69,"Functioning",IF(H201&gt;0.29,"Functioning At Risk",IF(H201&gt;-1,"Not Functioning"))))</f>
        <v>Functioning</v>
      </c>
      <c r="J201" s="429"/>
    </row>
    <row r="202" spans="1:11" s="5" customFormat="1" ht="15.75" x14ac:dyDescent="0.25">
      <c r="A202" s="446"/>
      <c r="B202" s="238" t="s">
        <v>54</v>
      </c>
      <c r="C202" s="183" t="s">
        <v>180</v>
      </c>
      <c r="D202" s="184"/>
      <c r="E202" s="101"/>
      <c r="F202" s="99">
        <f>IF(G174="",0.8,(IF(AND(E202="",G174="Yes"),0.9,IF(G172="Northern Rivers",IF(E202&lt;29,0,IF(E202&gt;=66,1,ROUND(IF(E202&lt;38, 'Reference Standards'!$Q$23*E202+'Reference Standards'!$Q$24, IF(E202&lt;47, 'Reference Standards'!$R$23*E202+'Reference Standards'!$R$24, 'Reference Standards'!$S$23*E202+'Reference Standards'!$S$24)),2))),   IF(G172="Northern Streams",IF(E202&lt;35,0,IF(E202&gt;=61,1,ROUND(IF(E202&lt;47, 'Reference Standards'!$T$23*E202+'Reference Standards'!$T$24, IF(E202&lt;56, 'Reference Standards'!$U$23*E202+'Reference Standards'!$U$24, 'Reference Standards'!$V$23*E202+'Reference Standards'!$V$24) ),2))), IF(G172="Northern Headwaters",IF(E202&lt;23,0,IF(E202&gt;=68,1,ROUND(IF(E202&lt;42, 'Reference Standards'!$W$23*E202+'Reference Standards'!$W$24, IF(E202&lt;56, 'Reference Standards'!$X$23*E202+'Reference Standards'!$X$24, 'Reference Standards'!$Y$23*E202+'Reference Standards'!$Y$24) ),2))), IF(G172="Northern Coldwater",IF(E202&lt;25,0,IF(E202&gt;=60,1,ROUND(IF(E202&lt;35, 'Reference Standards'!$Z$23*E202+'Reference Standards'!$Z$24, IF(E202&lt;45, 'Reference Standards'!$AA$23*E202+'Reference Standards'!$AA$24, 'Reference Standards'!$AB$23*E202+'Reference Standards'!$AB$24) ),2))), IF(G172="Southern River", IF(E202&lt;38,0,IF(E202&gt;=71,1,ROUND(IF(E202&lt;49, 'Reference Standards'!$Q$29*E202+'Reference Standards'!$Q$30, IF(E202&lt;60,'Reference Standards'!$R$29*E202+'Reference Standards'!$R$30, 'Reference Standards'!$S$29*E202+'Reference Standards'!$S$30)),2))), IF(G172="Southern Streams", IF(E202&lt;35,0,IF(E202&gt;=66,1,ROUND(IF(E202&lt;50,'Reference Standards'!$T$29*E202+'Reference Standards'!$T$30, IF(E202&lt;59, 'Reference Standards'!$U$29*E202+'Reference Standards'!$U$30, 'Reference Standards'!$V$29*E202+'Reference Standards'!$V$30)),2))), IF(G172="Southern Headwaters", IF(E202&lt;33,0,IF(E202&gt;=74,1,ROUND(IF(E202&lt;55, 'Reference Standards'!$W$29*E202+'Reference Standards'!$W$30, IF(E202&lt;62, 'Reference Standards'!$X$29*E202+'Reference Standards'!$X$30, 'Reference Standards'!$Y$29*E202+'Reference Standards'!$Y$30)),2))), IF(G172="Southern Coldwater", IF(E202&lt;37,0,IF(E202&gt;=82,1,ROUND(IF(E202&lt;50, 'Reference Standards'!$Z$29*E202+'Reference Standards'!$Z$30, IF(E202&lt;63,'Reference Standards'!$AA$29*E202+'Reference Standards'!$AA$30,'Reference Standards'!$AB$29*E202+'Reference Standards'!$AB$30)),2))), IF(G172="Low Gradient", IF(E202&lt;15,0,IF(E202&gt;=70,1,ROUND(IF(E202&lt;42, 'Reference Standards'!$Q$34*E202+'Reference Standards'!$Q$35, IF(E202&lt;52, 'Reference Standards'!$R$34*E202+'Reference Standards'!$R$35, 'Reference Standards'!$S$34*E202+'Reference Standards'!$S$35)),2))) ))))))))))))</f>
        <v>0.8</v>
      </c>
      <c r="G202" s="237">
        <f>IFERROR(AVERAGE(F202),"")</f>
        <v>0.8</v>
      </c>
      <c r="H202" s="450"/>
      <c r="I202" s="414"/>
      <c r="J202" s="429"/>
    </row>
    <row r="203" spans="1:11" s="5" customFormat="1" ht="7.9" customHeight="1" x14ac:dyDescent="0.25">
      <c r="I203" s="102"/>
      <c r="J203" s="4"/>
      <c r="K203" s="11"/>
    </row>
    <row r="204" spans="1:11" s="5" customFormat="1" ht="7.9" customHeight="1" x14ac:dyDescent="0.25">
      <c r="I204" s="102"/>
      <c r="K204" s="11"/>
    </row>
    <row r="205" spans="1:11" s="5" customFormat="1" ht="21" customHeight="1" x14ac:dyDescent="0.25">
      <c r="A205" s="406" t="s">
        <v>310</v>
      </c>
      <c r="B205" s="407"/>
      <c r="C205" s="407"/>
      <c r="D205" s="407"/>
      <c r="E205" s="407"/>
      <c r="F205" s="407"/>
      <c r="G205" s="407"/>
      <c r="H205" s="407"/>
      <c r="I205" s="407"/>
      <c r="J205" s="408"/>
    </row>
    <row r="206" spans="1:11" s="5" customFormat="1" ht="17.45" customHeight="1" x14ac:dyDescent="0.25">
      <c r="A206" s="122" t="s">
        <v>68</v>
      </c>
      <c r="B206" s="101"/>
      <c r="C206" s="122" t="s">
        <v>195</v>
      </c>
      <c r="D206" s="48"/>
      <c r="E206" s="165" t="s">
        <v>226</v>
      </c>
      <c r="F206" s="166"/>
      <c r="G206" s="48"/>
      <c r="H206" s="404" t="s">
        <v>137</v>
      </c>
      <c r="I206" s="405"/>
      <c r="J206" s="101"/>
    </row>
    <row r="207" spans="1:11" s="5" customFormat="1" ht="17.45" customHeight="1" x14ac:dyDescent="0.25">
      <c r="A207" s="122" t="s">
        <v>69</v>
      </c>
      <c r="B207" s="48"/>
      <c r="C207" s="122" t="s">
        <v>205</v>
      </c>
      <c r="D207" s="48"/>
      <c r="E207" s="413" t="s">
        <v>92</v>
      </c>
      <c r="F207" s="413"/>
      <c r="G207" s="48"/>
      <c r="H207" s="404" t="s">
        <v>138</v>
      </c>
      <c r="I207" s="405"/>
      <c r="J207" s="101"/>
    </row>
    <row r="208" spans="1:11" s="5" customFormat="1" ht="17.45" customHeight="1" x14ac:dyDescent="0.25">
      <c r="A208" s="122" t="s">
        <v>136</v>
      </c>
      <c r="B208" s="48"/>
      <c r="C208" s="122" t="s">
        <v>206</v>
      </c>
      <c r="D208" s="48"/>
      <c r="E208" s="413" t="s">
        <v>267</v>
      </c>
      <c r="F208" s="413"/>
      <c r="G208" s="48"/>
      <c r="H208" s="404" t="s">
        <v>139</v>
      </c>
      <c r="I208" s="405"/>
      <c r="J208" s="101"/>
    </row>
    <row r="209" spans="1:10" s="5" customFormat="1" ht="17.45" customHeight="1" x14ac:dyDescent="0.25">
      <c r="A209" s="106" t="s">
        <v>261</v>
      </c>
      <c r="B209" s="48"/>
      <c r="C209" s="122" t="s">
        <v>207</v>
      </c>
      <c r="D209" s="48"/>
      <c r="E209" s="225" t="s">
        <v>260</v>
      </c>
      <c r="F209" s="226"/>
      <c r="G209" s="48"/>
      <c r="H209" s="404" t="s">
        <v>140</v>
      </c>
      <c r="I209" s="405"/>
      <c r="J209" s="101"/>
    </row>
    <row r="210" spans="1:10" s="5" customFormat="1" ht="6.6" customHeight="1" x14ac:dyDescent="0.25">
      <c r="A210" s="1"/>
      <c r="B210" s="4"/>
      <c r="C210" s="4"/>
      <c r="D210" s="4"/>
      <c r="E210" s="4"/>
      <c r="F210" s="4"/>
      <c r="G210" s="4"/>
      <c r="H210" s="12"/>
      <c r="I210" s="104"/>
      <c r="J210" s="12"/>
    </row>
    <row r="211" spans="1:10" s="5" customFormat="1" ht="21" x14ac:dyDescent="0.35">
      <c r="A211" s="417" t="s">
        <v>48</v>
      </c>
      <c r="B211" s="418"/>
      <c r="C211" s="418"/>
      <c r="D211" s="418"/>
      <c r="E211" s="418"/>
      <c r="F211" s="419"/>
      <c r="G211" s="420" t="s">
        <v>14</v>
      </c>
      <c r="H211" s="420"/>
      <c r="I211" s="420"/>
      <c r="J211" s="420"/>
    </row>
    <row r="212" spans="1:10" s="5" customFormat="1" ht="15.75" x14ac:dyDescent="0.25">
      <c r="A212" s="46" t="s">
        <v>1</v>
      </c>
      <c r="B212" s="46" t="s">
        <v>2</v>
      </c>
      <c r="C212" s="421" t="s">
        <v>3</v>
      </c>
      <c r="D212" s="422"/>
      <c r="E212" s="46" t="s">
        <v>12</v>
      </c>
      <c r="F212" s="45" t="s">
        <v>13</v>
      </c>
      <c r="G212" s="46" t="s">
        <v>15</v>
      </c>
      <c r="H212" s="46" t="s">
        <v>16</v>
      </c>
      <c r="I212" s="105" t="s">
        <v>16</v>
      </c>
      <c r="J212" s="46" t="s">
        <v>110</v>
      </c>
    </row>
    <row r="213" spans="1:10" s="5" customFormat="1" ht="15.75" customHeight="1" x14ac:dyDescent="0.25">
      <c r="A213" s="427" t="s">
        <v>51</v>
      </c>
      <c r="B213" s="427" t="s">
        <v>78</v>
      </c>
      <c r="C213" s="167" t="s">
        <v>162</v>
      </c>
      <c r="D213" s="169"/>
      <c r="E213" s="44"/>
      <c r="F213" s="28">
        <f>IF(G209="Yes","",(IF(G208="",0.8,(IF(AND(E213="",G208="Yes"),0.9,(IF(AND(E213="",G208="No"),0.8,IF(E213&gt;=80,0,IF(E213&lt;=40,1,IF(E213&gt;=68,ROUND(E213*'Reference Standards'!$B$4+'Reference Standards'!$B$5,2),ROUND(E213*'Reference Standards'!$C$4+'Reference Standards'!$C$5,2)))))))))))</f>
        <v>0.8</v>
      </c>
      <c r="G213" s="401">
        <f>IFERROR(AVERAGE(F213:F215),"")</f>
        <v>0.8</v>
      </c>
      <c r="H213" s="401">
        <f>IFERROR(ROUND(AVERAGE(G213:G215),2),"")</f>
        <v>0.8</v>
      </c>
      <c r="I213" s="414" t="str">
        <f>IF(H213="","",IF(H213&gt;0.69,"Functioning",IF(H213&gt;0.29,"Functioning At Risk",IF(H213&gt;-1,"Not Functioning"))))</f>
        <v>Functioning</v>
      </c>
      <c r="J213" s="429">
        <f>IF(AND(H213="",H216="",H218="",H232="",H235=""),"",ROUND((IF(H213="",0,H213)*0.2)+(IF(H216="",0,H216)*0.2)+(IF(H218="",0,H218)*0.2)+(IF(H232="",0,H232)*0.2)+(IF(H235="",0,H235)*0.2),2))</f>
        <v>0.8</v>
      </c>
    </row>
    <row r="214" spans="1:10" s="5" customFormat="1" ht="15.75" customHeight="1" x14ac:dyDescent="0.25">
      <c r="A214" s="428"/>
      <c r="B214" s="428"/>
      <c r="C214" s="168" t="s">
        <v>164</v>
      </c>
      <c r="D214" s="170"/>
      <c r="E214" s="49"/>
      <c r="F214" s="228" t="str">
        <f>IF(G209="No","",IF(E214="","",  IF(E214&gt;0.95,0,IF(E214&lt;=0.02,1,ROUND(IF(E214&gt;0.26,'Reference Standards'!$B$10*E214+'Reference Standards'!$B$11, IF(E214&lt;0.05, 'Reference Standards'!$D$10*E214+'Reference Standards'!$D$11, 'Reference Standards'!$C$10*E214+'Reference Standards'!$C$11)),2))) ))</f>
        <v/>
      </c>
      <c r="G214" s="402"/>
      <c r="H214" s="402"/>
      <c r="I214" s="414"/>
      <c r="J214" s="429"/>
    </row>
    <row r="215" spans="1:10" s="5" customFormat="1" ht="15.75" x14ac:dyDescent="0.25">
      <c r="A215" s="428"/>
      <c r="B215" s="442"/>
      <c r="C215" s="171" t="s">
        <v>166</v>
      </c>
      <c r="D215" s="172"/>
      <c r="E215" s="49"/>
      <c r="F215" s="227">
        <f>IF(G209="Yes","",(IF(G208="",0.8,(IF(AND(E215="",G208="Yes"),0.9,(IF(AND(E215="",G208="No"),0.8,IF(E215&gt;3.22,0,IF(E215&lt;0,"",ROUND('Reference Standards'!$B$15*E215+'Reference Standards'!$B$16,2))))))))))</f>
        <v>0.8</v>
      </c>
      <c r="G215" s="403"/>
      <c r="H215" s="403"/>
      <c r="I215" s="414"/>
      <c r="J215" s="429"/>
    </row>
    <row r="216" spans="1:10" s="5" customFormat="1" ht="15.75" x14ac:dyDescent="0.25">
      <c r="A216" s="432" t="s">
        <v>4</v>
      </c>
      <c r="B216" s="434" t="s">
        <v>5</v>
      </c>
      <c r="C216" s="17" t="s">
        <v>6</v>
      </c>
      <c r="D216" s="17"/>
      <c r="E216" s="44"/>
      <c r="F216" s="96">
        <f>IF(G208="",0.8,(IF(AND(E216="",G208="Yes"),0.9,(IF(AND(E216="",G208="No"),0.8,ROUND(IF(E216&gt;1.6,0,IF(E216&lt;=1,1,E216^2*'Reference Standards'!$F$2+E216*'Reference Standards'!$F$3+'Reference Standards'!$F$4)),2))))))</f>
        <v>0.8</v>
      </c>
      <c r="G216" s="435">
        <f>IFERROR(AVERAGE(F216:F217),"")</f>
        <v>0.8</v>
      </c>
      <c r="H216" s="436">
        <f>IFERROR(ROUND(AVERAGE(G216),2),"")</f>
        <v>0.8</v>
      </c>
      <c r="I216" s="438" t="str">
        <f>IF(H216="","",IF(H216&gt;0.69,"Functioning",IF(H216&gt;0.29,"Functioning At Risk",IF(H216&gt;-1,"Not Functioning"))))</f>
        <v>Functioning</v>
      </c>
      <c r="J216" s="429"/>
    </row>
    <row r="217" spans="1:10" s="5" customFormat="1" ht="15.75" x14ac:dyDescent="0.25">
      <c r="A217" s="433"/>
      <c r="B217" s="434"/>
      <c r="C217" s="17" t="s">
        <v>7</v>
      </c>
      <c r="D217" s="17"/>
      <c r="E217" s="50"/>
      <c r="F217" s="96">
        <f>IF(G208="",0.8,(IF(AND(E217="",G208="Yes"),0.9,(IF(AND(E217="",G208="No"),0.8,(IF(OR(B208="A",B208="B",B208="Bc",B208="Ba"),IF(E217&lt;1.2,0,IF(E217&gt;=2.2,1,ROUND(IF(E217&lt;1.4,E217*'Reference Standards'!$F$13+'Reference Standards'!$F$14,E217*'Reference Standards'!$G$13+'Reference Standards'!$G$14),2))),IF(OR(B208="C",B208="Cb",B208="E"),IF(E217&lt;2,0,IF(E217&gt;=5,1,ROUND(IF(E217&lt;2.4,E217*'Reference Standards'!$G$8+'Reference Standards'!$G$9,E217*'Reference Standards'!$F$8+'Reference Standards'!$F$9),2)))))))))))</f>
        <v>0.8</v>
      </c>
      <c r="G217" s="435"/>
      <c r="H217" s="437"/>
      <c r="I217" s="439"/>
      <c r="J217" s="429"/>
    </row>
    <row r="218" spans="1:10" s="5" customFormat="1" ht="15.75" x14ac:dyDescent="0.25">
      <c r="A218" s="398" t="s">
        <v>21</v>
      </c>
      <c r="B218" s="440" t="s">
        <v>22</v>
      </c>
      <c r="C218" s="21" t="s">
        <v>103</v>
      </c>
      <c r="D218" s="69"/>
      <c r="E218" s="44"/>
      <c r="F218" s="229" t="str">
        <f>IF(E218="","",IF(E218&gt;=660,1,IF(E218&lt;=430,ROUND('Reference Standards'!$I$4*E218+'Reference Standards'!$I$5,2),ROUND('Reference Standards'!$J$4*E218+'Reference Standards'!$J$5,2))))</f>
        <v/>
      </c>
      <c r="G218" s="423">
        <f>IFERROR(AVERAGE(F218:F219),"")</f>
        <v>0.8</v>
      </c>
      <c r="H218" s="447">
        <f>IFERROR(ROUND(AVERAGE(G218:G231),2),"")</f>
        <v>0.8</v>
      </c>
      <c r="I218" s="449" t="str">
        <f>IF(H218="","",IF(H218&gt;0.69,"Functioning",IF(H218&gt;0.29,"Functioning At Risk",IF(H218&gt;-1,"Not Functioning"))))</f>
        <v>Functioning</v>
      </c>
      <c r="J218" s="429"/>
    </row>
    <row r="219" spans="1:10" s="5" customFormat="1" ht="15.75" x14ac:dyDescent="0.25">
      <c r="A219" s="399"/>
      <c r="B219" s="441"/>
      <c r="C219" s="24" t="s">
        <v>99</v>
      </c>
      <c r="D219" s="70"/>
      <c r="E219" s="50"/>
      <c r="F219" s="98">
        <f>IF(ISNUMBER(E218),"",IF(G208="",0.8,(IF(AND(E219="",G208="Yes"),0.9,(IF(AND(E219="",G208="No"),0.8,IF(E219&gt;=28,1,ROUND(IF(E219&lt;=13,'Reference Standards'!$I$9*E219,'Reference Standards'!$J$9*E219+'Reference Standards'!$J$10),2))))))))</f>
        <v>0.8</v>
      </c>
      <c r="G219" s="426"/>
      <c r="H219" s="447"/>
      <c r="I219" s="449"/>
      <c r="J219" s="429"/>
    </row>
    <row r="220" spans="1:10" s="5" customFormat="1" ht="15.75" x14ac:dyDescent="0.25">
      <c r="A220" s="399"/>
      <c r="B220" s="399" t="s">
        <v>126</v>
      </c>
      <c r="C220" s="19" t="s">
        <v>43</v>
      </c>
      <c r="D220" s="19"/>
      <c r="E220" s="49"/>
      <c r="F220" s="29">
        <f>IF(G208="",0.8,(IF(AND(E220="",G208="Yes"),0.9,(IF(AND(E220="",G208="No"),0.8,IF(OR(E220="Ex/Ex",E220="Ex/VH",E220="Ex/H",E220="Ex/M",E220="VH/Ex",E220="VH/VH", E220="H/Ex",E220="H/VH"),0, IF(OR(E220="M/Ex"),0.1,IF(OR(E220="VH/H",E220="VH/M",E220="H/H",E220="H/M", E220="M/VH"),0.2, IF(OR(E220="Ex/VL",E220="Ex/L", E220="M/H"),0.3, IF(OR(E220="VH/L",E220="H/L"),0.4, IF(OR(E220="VH/VL",E220="H/VL",E220="M/M"),0.5, IF(OR(E220="M/L",E220="L/Ex"),0.6, IF(OR(E220="M/VL",E220="L/VH", E220="L/H",E220="L/M",E220="L/L",E220="L/VL",LEFT(E220)="V"),1)))))))))))))</f>
        <v>0.8</v>
      </c>
      <c r="G220" s="423">
        <f>IFERROR(AVERAGE(F220:F222),"")</f>
        <v>0.80000000000000016</v>
      </c>
      <c r="H220" s="448"/>
      <c r="I220" s="449"/>
      <c r="J220" s="429"/>
    </row>
    <row r="221" spans="1:10" s="5" customFormat="1" ht="15.75" x14ac:dyDescent="0.25">
      <c r="A221" s="399"/>
      <c r="B221" s="399"/>
      <c r="C221" s="20" t="s">
        <v>57</v>
      </c>
      <c r="D221" s="173"/>
      <c r="E221" s="243"/>
      <c r="F221" s="29">
        <f>IF(G208="",0.8,(IF(AND(E221="",G208="Yes"),0.9,(IF(AND(E221="",G208="No"),0.8,ROUND(IF(E221&gt;=75,0,IF(E221&lt;=5,1,IF(E221&gt;10,E221*'Reference Standards'!$I$14+'Reference Standards'!$I$15,'Reference Standards'!$J$14*E221+'Reference Standards'!$J$15))),2))))))</f>
        <v>0.8</v>
      </c>
      <c r="G221" s="424"/>
      <c r="H221" s="448"/>
      <c r="I221" s="449"/>
      <c r="J221" s="429"/>
    </row>
    <row r="222" spans="1:10" s="5" customFormat="1" ht="15.75" x14ac:dyDescent="0.25">
      <c r="A222" s="399"/>
      <c r="B222" s="400"/>
      <c r="C222" s="20" t="s">
        <v>125</v>
      </c>
      <c r="D222" s="20"/>
      <c r="E222" s="50"/>
      <c r="F222" s="98">
        <f>IF(G208="",0.8,(IF(AND(E222="",G208="Yes"),0.9,(IF(AND(E222="",G208="No"),0.8,IF(E222&gt;=50,0,ROUND(E222*'Reference Standards'!$I$18+'Reference Standards'!$I$19,2)))))))</f>
        <v>0.8</v>
      </c>
      <c r="G222" s="426"/>
      <c r="H222" s="448"/>
      <c r="I222" s="449"/>
      <c r="J222" s="429"/>
    </row>
    <row r="223" spans="1:10" s="5" customFormat="1" ht="15.75" x14ac:dyDescent="0.25">
      <c r="A223" s="399"/>
      <c r="B223" s="18" t="s">
        <v>70</v>
      </c>
      <c r="C223" s="26" t="s">
        <v>80</v>
      </c>
      <c r="D223" s="68"/>
      <c r="E223" s="50"/>
      <c r="F223" s="27" t="str">
        <f>IF(E223="","",IF(E223&gt;=50,0,ROUND(E223*'Reference Standards'!$I$22+'Reference Standards'!$I$23,2)))</f>
        <v/>
      </c>
      <c r="G223" s="27" t="str">
        <f>IFERROR(AVERAGE(F223),"")</f>
        <v/>
      </c>
      <c r="H223" s="448"/>
      <c r="I223" s="449"/>
      <c r="J223" s="429"/>
    </row>
    <row r="224" spans="1:10" s="5" customFormat="1" ht="15.75" x14ac:dyDescent="0.25">
      <c r="A224" s="399"/>
      <c r="B224" s="398" t="s">
        <v>45</v>
      </c>
      <c r="C224" s="25" t="s">
        <v>46</v>
      </c>
      <c r="D224" s="25"/>
      <c r="E224" s="53"/>
      <c r="F224" s="230">
        <f>IF(G208="",0.8,(IF(AND(E224="",G208="Yes"),0.9,(IF(AND(E224="",G208="No"),0.8,ROUND( IF(OR(LEFT(B208)="C",B208="E"), IF(OR(E224&lt;=1,E224&gt;=9),0,IF(AND(E224&gt;=3.5,E224&lt;=6),1,IF(E224&lt;3.5, E224*'Reference Standards'!$I$37+'Reference Standards'!$I$38, E224*'Reference Standards'!$J$37+'Reference Standards'!$J$38))),   IF(OR(B208="A",(B208)="B", (B208)="Ba"), IF(E224&gt;=6.5,0, IF(E224&lt;=4, 1, E224^2*'Reference Standards'!$I$26+E224*'Reference Standards'!$I$27+'Reference Standards'!$I$28)), IF(B208="Bc",  IF(E224&gt;=8,0, IF(E224&lt;=5, 1, E224^2*'Reference Standards'!$I$31+E224*'Reference Standards'!$I$32+'Reference Standards'!$I$33))))),2))))))</f>
        <v>0.8</v>
      </c>
      <c r="G224" s="430">
        <f>IFERROR(AVERAGE(F224:F227),"")</f>
        <v>0.80000000000000016</v>
      </c>
      <c r="H224" s="448"/>
      <c r="I224" s="449"/>
      <c r="J224" s="429"/>
    </row>
    <row r="225" spans="1:11" s="5" customFormat="1" ht="15.75" x14ac:dyDescent="0.25">
      <c r="A225" s="399"/>
      <c r="B225" s="399"/>
      <c r="C225" s="19" t="s">
        <v>47</v>
      </c>
      <c r="D225" s="19"/>
      <c r="E225" s="52"/>
      <c r="F225" s="29">
        <f>IF(G208="",0.8,(IF(AND(E225="",G208="Yes"),0.9,(IF(AND(E225="",G208="No"),0.8,ROUND(  IF(E225&lt;=1.1,0, IF(E225&gt;=3,1, IF(E225&lt;2, E225^2*'Reference Standards'!$I$42+  E225*'Reference Standards'!$I$43 + 'Reference Standards'!$I$44,      E225*'Reference Standards'!$J$43+'Reference Standards'!$J$44))),2))))))</f>
        <v>0.8</v>
      </c>
      <c r="G225" s="425"/>
      <c r="H225" s="448"/>
      <c r="I225" s="449"/>
      <c r="J225" s="429"/>
    </row>
    <row r="226" spans="1:11" s="5" customFormat="1" ht="15.75" x14ac:dyDescent="0.25">
      <c r="A226" s="399"/>
      <c r="B226" s="399"/>
      <c r="C226" s="19" t="s">
        <v>104</v>
      </c>
      <c r="D226" s="19"/>
      <c r="E226" s="52"/>
      <c r="F226" s="269">
        <f>IF(G208="",0.8,(IF(AND(E226="",G208="Yes"),0.9,(IF(AND(E226="",G208="No"),0.8,IF(OR(B208="A",LEFT(B208,1)="B"),IF(OR(E226&lt;=20,E226&gt;=90),0,IF(AND(E226&gt;=50,E226&lt;=60),1,IF(E226&lt;50,ROUND(E226*'Reference Standards'!$I$48+'Reference Standards'!$I$49,2),ROUND(E226*'Reference Standards'!$J$48+'Reference Standards'!$J$49,2)))),IF(OR(LEFT(B208)="C",B208="E"),IF(OR(E226&lt;=20,E226&gt;=85),0,IF(AND(E226&lt;=65,E226&gt;=45),1,IF(E226&lt;45,ROUND(E226*'Reference Standards'!$I$53+'Reference Standards'!$I$54,2),ROUND(E226*'Reference Standards'!$J$53+'Reference Standards'!$J$54,2)))))))))))</f>
        <v>0.8</v>
      </c>
      <c r="G226" s="425"/>
      <c r="H226" s="448"/>
      <c r="I226" s="449"/>
      <c r="J226" s="429"/>
    </row>
    <row r="227" spans="1:11" s="5" customFormat="1" ht="15.75" x14ac:dyDescent="0.25">
      <c r="A227" s="399"/>
      <c r="B227" s="400"/>
      <c r="C227" s="23" t="s">
        <v>88</v>
      </c>
      <c r="D227" s="19"/>
      <c r="E227" s="54"/>
      <c r="F227" s="270" t="str">
        <f>IF(E227="","",IF(E227&gt;=1.6,0,IF(E227&lt;=1,1,ROUND('Reference Standards'!$I$57*E227^3+'Reference Standards'!$I$58*E227^2+'Reference Standards'!$I$59*E227+'Reference Standards'!$I$60,2))))</f>
        <v/>
      </c>
      <c r="G227" s="431"/>
      <c r="H227" s="448"/>
      <c r="I227" s="449"/>
      <c r="J227" s="429"/>
    </row>
    <row r="228" spans="1:11" s="5" customFormat="1" ht="15.75" x14ac:dyDescent="0.25">
      <c r="A228" s="399"/>
      <c r="B228" s="398" t="s">
        <v>44</v>
      </c>
      <c r="C228" s="21" t="s">
        <v>182</v>
      </c>
      <c r="D228" s="69"/>
      <c r="E228" s="22"/>
      <c r="F228" s="97">
        <f>IF(G208="",0.8,(IF(AND(E228="",G208="Yes"),0.9,(IF(AND(E228="",G208="No"),0.8,IF(G207="Unconfined Alluvial",IF(E228&gt;=100,1,IF(E228&lt;30,0,ROUND('Reference Standards'!$I$64*E228+'Reference Standards'!$I$65,2))),IF(OR(G207="Confined Alluvial",G207="Colluvial/V-Shaped"),(IF(E228&gt;=100,1,IF(E228&lt;60,0,ROUND('Reference Standards'!$J$64*E228+'Reference Standards'!$J$65,2)))))))))))</f>
        <v>0.8</v>
      </c>
      <c r="G228" s="423">
        <f>IFERROR(AVERAGE(F228:F231),"")</f>
        <v>0.80000000000000016</v>
      </c>
      <c r="H228" s="448"/>
      <c r="I228" s="449"/>
      <c r="J228" s="429"/>
    </row>
    <row r="229" spans="1:11" s="5" customFormat="1" ht="15.75" x14ac:dyDescent="0.25">
      <c r="A229" s="399"/>
      <c r="B229" s="399"/>
      <c r="C229" s="23" t="s">
        <v>183</v>
      </c>
      <c r="D229" s="173"/>
      <c r="E229" s="244"/>
      <c r="F229" s="29">
        <f>IF(G208="",0.8,(IF(AND(E229="",G208="Yes"),0.9,(IF(AND(E229="",G208="No"),0.8,IF(B209="Yes",IF(E229&lt;=50,0,IF(E229&gt;=80,1,ROUND('Reference Standards'!$I$69*E229+'Reference Standards'!$I$70,2))),IF(B209="No",IF(E229&gt;=80,0,IF(E229&lt;=50,1,ROUND(E229*'Reference Standards'!$J$69+'Reference Standards'!$J$70,2))))))))))</f>
        <v>0.8</v>
      </c>
      <c r="G229" s="424"/>
      <c r="H229" s="448"/>
      <c r="I229" s="449"/>
      <c r="J229" s="429"/>
    </row>
    <row r="230" spans="1:11" s="5" customFormat="1" ht="15.75" x14ac:dyDescent="0.25">
      <c r="A230" s="399"/>
      <c r="B230" s="399"/>
      <c r="C230" s="23" t="s">
        <v>184</v>
      </c>
      <c r="D230" s="173"/>
      <c r="E230" s="244"/>
      <c r="F230" s="29">
        <f>IF(G208="",0.8,(IF(AND(E230="",G208="Yes"),0.9,(IF(AND(E230="",G208="No"),0.8,IF(E230&lt;=50,0,IF(E230&gt;=80,1, ROUND(E230*'Reference Standards'!$I$73+'Reference Standards'!$I$74,2))))))))</f>
        <v>0.8</v>
      </c>
      <c r="G230" s="425"/>
      <c r="H230" s="448"/>
      <c r="I230" s="449"/>
      <c r="J230" s="429"/>
    </row>
    <row r="231" spans="1:11" s="5" customFormat="1" ht="15.75" x14ac:dyDescent="0.25">
      <c r="A231" s="399"/>
      <c r="B231" s="400"/>
      <c r="C231" s="443" t="s">
        <v>277</v>
      </c>
      <c r="D231" s="444"/>
      <c r="E231" s="16"/>
      <c r="F231" s="98" t="str">
        <f>IF(OR(B209="",B209="No"),"",IF(AND(E231="",B209="Yes",G208="Yes"),0.9,IF(OR(G208="No",G208=""),0.8,IF(E231&lt;=9,0,IF(E231&gt;=14,1,ROUND('Reference Standards'!$I$77*E231+'Reference Standards'!$I$78,2))))))</f>
        <v/>
      </c>
      <c r="G231" s="426"/>
      <c r="H231" s="448"/>
      <c r="I231" s="449"/>
      <c r="J231" s="429"/>
    </row>
    <row r="232" spans="1:11" s="5" customFormat="1" ht="15.75" x14ac:dyDescent="0.25">
      <c r="A232" s="409" t="s">
        <v>49</v>
      </c>
      <c r="B232" s="174" t="s">
        <v>169</v>
      </c>
      <c r="C232" s="175" t="s">
        <v>176</v>
      </c>
      <c r="D232" s="177"/>
      <c r="E232" s="101"/>
      <c r="F232" s="182">
        <f>IF(G208="",0.8,(IF(AND(E232="",G208="Yes"),0.9,IF(E232&gt;=25,0,IF(E232&lt;=10,1,ROUND(IF(E232&gt;18,'Reference Standards'!$L$4*E232+'Reference Standards'!$L$5,IF(E232&lt;12,'Reference Standards'!$N$4*E232+'Reference Standards'!$N$5,'Reference Standards'!$M$4*E232+'Reference Standards'!$M$5)),2))))))</f>
        <v>0.8</v>
      </c>
      <c r="G232" s="180">
        <f>IFERROR(AVERAGE(F232),"")</f>
        <v>0.8</v>
      </c>
      <c r="H232" s="411">
        <f>IFERROR(ROUND(AVERAGE(G232:G234),2),"")</f>
        <v>0.8</v>
      </c>
      <c r="I232" s="415" t="str">
        <f>IF(H232="","",IF(H232&gt;0.69,"Functioning",IF(H232&gt;0.29,"Functioning At Risk",IF(H232&gt;-1,"Not Functioning"))))</f>
        <v>Functioning</v>
      </c>
      <c r="J232" s="429"/>
    </row>
    <row r="233" spans="1:11" s="5" customFormat="1" ht="15.75" x14ac:dyDescent="0.25">
      <c r="A233" s="410"/>
      <c r="B233" s="176" t="s">
        <v>170</v>
      </c>
      <c r="C233" s="175" t="s">
        <v>177</v>
      </c>
      <c r="D233" s="178"/>
      <c r="E233" s="49"/>
      <c r="F233" s="231">
        <f>IF(G208="",0.8,(IF(AND(E233="",G208="Yes"),0.9,IF(D206="2A",IF(E233&lt;=5.3,0,IF(E233&gt;=8.79,1,ROUND(E233*'Reference Standards'!$L$9+'Reference Standards'!$L$10,2))),IF(D206=7,IF(E233&lt;=0.8,0,IF(E233&gt;=1.25,1,ROUND(E233*'Reference Standards'!$N$9+'Reference Standards'!$N$10,2))),IF(OR(D206="2B", D206="2Bd",D206="2C"),IF(E233&lt;=3.8,0,(IF(E233&gt;=6.3,1,ROUND(E233*'Reference Standards'!$M$9+'Reference Standards'!$M$10,2))))))))))</f>
        <v>0.8</v>
      </c>
      <c r="G233" s="181">
        <f>IFERROR(AVERAGE(F233),"")</f>
        <v>0.8</v>
      </c>
      <c r="H233" s="412"/>
      <c r="I233" s="416"/>
      <c r="J233" s="429"/>
    </row>
    <row r="234" spans="1:11" s="5" customFormat="1" ht="15.75" x14ac:dyDescent="0.25">
      <c r="A234" s="410"/>
      <c r="B234" s="174" t="s">
        <v>172</v>
      </c>
      <c r="C234" s="175" t="s">
        <v>178</v>
      </c>
      <c r="D234" s="179"/>
      <c r="E234" s="101"/>
      <c r="F234" s="182">
        <f>IF(G208="",0.8,(IF(AND(E234="",G208="Yes"),0.9,IF(D206="2A",IF(E234&gt;=12.5,0,IF(E234&lt;=7.5,1,ROUND(E234*'Reference Standards'!$L$15+'Reference Standards'!$L$16,2))),IF(OR(D206="2B",D206="2Bd",D206="2C"),IF(D207="North",IF(E234&gt;=18.8,0,IF(E234&lt;=11.3,1,ROUND(E234*'Reference Standards'!$M$15+'Reference Standards'!$M$16,2))),IF(D207="Central",(IF(E234&gt;=37.5,0,IF(E234&lt;=22.5,1,ROUND(E234*'Reference Standards'!$N$15+'Reference Standards'!$N$16,2)))),IF(E234&gt;=81.2,0,(IF(E234&lt;=48.7,1,ROUND(E234*'Reference Standards'!$O$15+'Reference Standards'!$O$16,2)))))))))))</f>
        <v>0.8</v>
      </c>
      <c r="G234" s="182">
        <f>IFERROR(AVERAGE(F234),"")</f>
        <v>0.8</v>
      </c>
      <c r="H234" s="412"/>
      <c r="I234" s="416"/>
      <c r="J234" s="429"/>
    </row>
    <row r="235" spans="1:11" s="5" customFormat="1" ht="15.75" x14ac:dyDescent="0.25">
      <c r="A235" s="445" t="s">
        <v>50</v>
      </c>
      <c r="B235" s="236" t="s">
        <v>105</v>
      </c>
      <c r="C235" s="40" t="s">
        <v>179</v>
      </c>
      <c r="D235" s="41"/>
      <c r="E235" s="44"/>
      <c r="F235" s="99">
        <f>IF(G208="",0.8,(IF(AND(E234="",G208="Yes"),0.9,IF(D209="Northern Forest Rivers",IF(E235&lt;=38.2,0,IF(E235&gt;=77,1,ROUND(IF(E235&lt;49, 'Reference Standards'!$Q$5*E235+'Reference Standards'!$Q$6, IF(E235&lt;59.8, 'Reference Standards'!$R$5*E235+'Reference Standards'!$R$6, 'Reference Standards'!$S$5*E235+'Reference Standards'!$S$6)),2))),   IF(D209="Northern Forest Streams Riffle-run",IF(E235&lt;40.4,0,IF(E235&gt;=82,1,ROUND(IF(E235&lt;53, 'Reference Standards'!$T$5*E235+'Reference Standards'!$T$6, IF(E235&lt;59.8, 'Reference Standards'!$U$5*E235+'Reference Standards'!$U$6, 'Reference Standards'!$V$5*E235+'Reference Standards'!$V$6) ),2))), IF(D209="Northern Forest Streams Glide-pool",IF(E235&lt;=37,0,IF(E235&gt;=76,1,ROUND(IF(E235&lt;51, 'Reference Standards'!$W$5*E235+'Reference Standards'!$W$6, IF(E235&lt;65.6, 'Reference Standards'!$X$5*E235+'Reference Standards'!$X$6, 'Reference Standards'!$Y$5*E235+'Reference Standards'!$Y$6) ),2))), IF(D209="Northern Coldwater",IF(E235&lt;19.6,0,IF(E235&gt;=52,1,ROUND(IF(E235&lt;32, 'Reference Standards'!$Z$5*E235+'Reference Standards'!$Z$6, IF(E235&lt;44.4,'Reference Standards'!$AA$5*E235+'Reference Standards'!$AA$6, 'Reference Standards'!$AB$5*E235+'Reference Standards'!$AB$6) ),2))), IF(D209="Southern Forest Streams Riffle-run", IF(E235&lt;24,0,IF(E235&gt;=62,1,ROUND(IF(E235&lt;37, 'Reference Standards'!$Q$11*E235+'Reference Standards'!$Q$12, IF(E235&lt;49.6,'Reference Standards'!$R$11*E235+'Reference Standards'!$R$12,'Reference Standards'!$S$11*E235+'Reference Standards'!$S$12)),2))), IF(D209="Southern Forest Streams Glide-pool", IF(E235&lt;29.4,0,IF(E235&gt;=65,1,ROUND(IF(E235&lt;43,'Reference Standards'!$T$11*E235+'Reference Standards'!$T$12, IF(E235&lt;56.6, 'Reference Standards'!$U$11*E235+'Reference Standards'!$U$12,'Reference Standards'!$V$11*E235+'Reference Standards'!$V$12)),2))), IF(D209="Southern Coldwater", IF(E235&lt;29.2,0,IF(E235&gt;=72,1,ROUND(IF(E235&lt;43, 'Reference Standards'!$W$11*E235+'Reference Standards'!$W$12, IF(E235&lt;56.8,'Reference Standards'!$X$11*E235+'Reference Standards'!$X$12, 'Reference Standards'!$Y$11*E235+'Reference Standards'!$Y$12)),2))), IF(D209="Prairie Forest Rivers", IF(E235&lt;20.2,0,IF(E235&gt;=62,1,ROUND(IF(E235&lt;31,'Reference Standards'!$Q$17*E235+'Reference Standards'!$Q$18, IF(E235&lt;41.8,'Reference Standards'!$R$17*E235+'Reference Standards'!$R$18,'Reference Standards'!$S$17*E235+'Reference Standards'!$S$18)),2))), IF(D209="Prairie Streams Glide-Pool", IF(E235&lt;27.4,0,IF(E235&gt;=69,1,ROUND(IF(E235&lt;41,'Reference Standards'!$T$17*E235+'Reference Standards'!$T$18, IF(E235&lt;54.6,'Reference Standards'!$U$17*E235+'Reference Standards'!$U$18, 'Reference Standards'!$V$17*E235+'Reference Standards'!$V$18)),2))) ))))))))))))</f>
        <v>0.8</v>
      </c>
      <c r="G235" s="237">
        <f>IFERROR(AVERAGE(F235),"")</f>
        <v>0.8</v>
      </c>
      <c r="H235" s="450">
        <f>IFERROR(ROUND(AVERAGE(G235:G236),2),"")</f>
        <v>0.8</v>
      </c>
      <c r="I235" s="414" t="str">
        <f>IF(H235="","",IF(H235&gt;0.69,"Functioning",IF(H235&gt;0.29,"Functioning At Risk",IF(H235&gt;-1,"Not Functioning"))))</f>
        <v>Functioning</v>
      </c>
      <c r="J235" s="429"/>
    </row>
    <row r="236" spans="1:11" s="5" customFormat="1" ht="15.75" x14ac:dyDescent="0.25">
      <c r="A236" s="446"/>
      <c r="B236" s="238" t="s">
        <v>54</v>
      </c>
      <c r="C236" s="183" t="s">
        <v>180</v>
      </c>
      <c r="D236" s="184"/>
      <c r="E236" s="101"/>
      <c r="F236" s="99">
        <f>IF(G208="",0.8,(IF(AND(E236="",G208="Yes"),0.9,IF(G206="Northern Rivers",IF(E236&lt;29,0,IF(E236&gt;=66,1,ROUND(IF(E236&lt;38, 'Reference Standards'!$Q$23*E236+'Reference Standards'!$Q$24, IF(E236&lt;47, 'Reference Standards'!$R$23*E236+'Reference Standards'!$R$24, 'Reference Standards'!$S$23*E236+'Reference Standards'!$S$24)),2))),   IF(G206="Northern Streams",IF(E236&lt;35,0,IF(E236&gt;=61,1,ROUND(IF(E236&lt;47, 'Reference Standards'!$T$23*E236+'Reference Standards'!$T$24, IF(E236&lt;56, 'Reference Standards'!$U$23*E236+'Reference Standards'!$U$24, 'Reference Standards'!$V$23*E236+'Reference Standards'!$V$24) ),2))), IF(G206="Northern Headwaters",IF(E236&lt;23,0,IF(E236&gt;=68,1,ROUND(IF(E236&lt;42, 'Reference Standards'!$W$23*E236+'Reference Standards'!$W$24, IF(E236&lt;56, 'Reference Standards'!$X$23*E236+'Reference Standards'!$X$24, 'Reference Standards'!$Y$23*E236+'Reference Standards'!$Y$24) ),2))), IF(G206="Northern Coldwater",IF(E236&lt;25,0,IF(E236&gt;=60,1,ROUND(IF(E236&lt;35, 'Reference Standards'!$Z$23*E236+'Reference Standards'!$Z$24, IF(E236&lt;45, 'Reference Standards'!$AA$23*E236+'Reference Standards'!$AA$24, 'Reference Standards'!$AB$23*E236+'Reference Standards'!$AB$24) ),2))), IF(G206="Southern River", IF(E236&lt;38,0,IF(E236&gt;=71,1,ROUND(IF(E236&lt;49, 'Reference Standards'!$Q$29*E236+'Reference Standards'!$Q$30, IF(E236&lt;60,'Reference Standards'!$R$29*E236+'Reference Standards'!$R$30, 'Reference Standards'!$S$29*E236+'Reference Standards'!$S$30)),2))), IF(G206="Southern Streams", IF(E236&lt;35,0,IF(E236&gt;=66,1,ROUND(IF(E236&lt;50,'Reference Standards'!$T$29*E236+'Reference Standards'!$T$30, IF(E236&lt;59, 'Reference Standards'!$U$29*E236+'Reference Standards'!$U$30, 'Reference Standards'!$V$29*E236+'Reference Standards'!$V$30)),2))), IF(G206="Southern Headwaters", IF(E236&lt;33,0,IF(E236&gt;=74,1,ROUND(IF(E236&lt;55, 'Reference Standards'!$W$29*E236+'Reference Standards'!$W$30, IF(E236&lt;62, 'Reference Standards'!$X$29*E236+'Reference Standards'!$X$30, 'Reference Standards'!$Y$29*E236+'Reference Standards'!$Y$30)),2))), IF(G206="Southern Coldwater", IF(E236&lt;37,0,IF(E236&gt;=82,1,ROUND(IF(E236&lt;50, 'Reference Standards'!$Z$29*E236+'Reference Standards'!$Z$30, IF(E236&lt;63,'Reference Standards'!$AA$29*E236+'Reference Standards'!$AA$30,'Reference Standards'!$AB$29*E236+'Reference Standards'!$AB$30)),2))), IF(G206="Low Gradient", IF(E236&lt;15,0,IF(E236&gt;=70,1,ROUND(IF(E236&lt;42, 'Reference Standards'!$Q$34*E236+'Reference Standards'!$Q$35, IF(E236&lt;52, 'Reference Standards'!$R$34*E236+'Reference Standards'!$R$35, 'Reference Standards'!$S$34*E236+'Reference Standards'!$S$35)),2))) ))))))))))))</f>
        <v>0.8</v>
      </c>
      <c r="G236" s="237">
        <f>IFERROR(AVERAGE(F236),"")</f>
        <v>0.8</v>
      </c>
      <c r="H236" s="450"/>
      <c r="I236" s="414"/>
      <c r="J236" s="429"/>
    </row>
    <row r="237" spans="1:11" s="5" customFormat="1" ht="8.4499999999999993" customHeight="1" x14ac:dyDescent="0.25">
      <c r="I237" s="102"/>
      <c r="J237" s="4"/>
      <c r="K237" s="11"/>
    </row>
    <row r="238" spans="1:11" s="5" customFormat="1" ht="8.4499999999999993" customHeight="1" x14ac:dyDescent="0.25">
      <c r="I238" s="102"/>
      <c r="K238" s="11"/>
    </row>
    <row r="239" spans="1:11" s="5" customFormat="1" ht="21" customHeight="1" x14ac:dyDescent="0.25">
      <c r="A239" s="406" t="s">
        <v>310</v>
      </c>
      <c r="B239" s="407"/>
      <c r="C239" s="407"/>
      <c r="D239" s="407"/>
      <c r="E239" s="407"/>
      <c r="F239" s="407"/>
      <c r="G239" s="407"/>
      <c r="H239" s="407"/>
      <c r="I239" s="407"/>
      <c r="J239" s="408"/>
    </row>
    <row r="240" spans="1:11" s="5" customFormat="1" ht="18" customHeight="1" x14ac:dyDescent="0.25">
      <c r="A240" s="122" t="s">
        <v>68</v>
      </c>
      <c r="B240" s="101"/>
      <c r="C240" s="122" t="s">
        <v>195</v>
      </c>
      <c r="D240" s="48"/>
      <c r="E240" s="165" t="s">
        <v>226</v>
      </c>
      <c r="F240" s="166"/>
      <c r="G240" s="48"/>
      <c r="H240" s="404" t="s">
        <v>137</v>
      </c>
      <c r="I240" s="405"/>
      <c r="J240" s="101"/>
    </row>
    <row r="241" spans="1:10" s="5" customFormat="1" ht="18" customHeight="1" x14ac:dyDescent="0.25">
      <c r="A241" s="122" t="s">
        <v>69</v>
      </c>
      <c r="B241" s="48"/>
      <c r="C241" s="122" t="s">
        <v>205</v>
      </c>
      <c r="D241" s="48"/>
      <c r="E241" s="413" t="s">
        <v>92</v>
      </c>
      <c r="F241" s="413"/>
      <c r="G241" s="48"/>
      <c r="H241" s="404" t="s">
        <v>138</v>
      </c>
      <c r="I241" s="405"/>
      <c r="J241" s="101"/>
    </row>
    <row r="242" spans="1:10" s="5" customFormat="1" ht="18" customHeight="1" x14ac:dyDescent="0.25">
      <c r="A242" s="122" t="s">
        <v>136</v>
      </c>
      <c r="B242" s="48"/>
      <c r="C242" s="122" t="s">
        <v>206</v>
      </c>
      <c r="D242" s="48"/>
      <c r="E242" s="413" t="s">
        <v>267</v>
      </c>
      <c r="F242" s="413"/>
      <c r="G242" s="48"/>
      <c r="H242" s="404" t="s">
        <v>139</v>
      </c>
      <c r="I242" s="405"/>
      <c r="J242" s="101"/>
    </row>
    <row r="243" spans="1:10" s="5" customFormat="1" ht="18" customHeight="1" x14ac:dyDescent="0.25">
      <c r="A243" s="106" t="s">
        <v>261</v>
      </c>
      <c r="B243" s="48"/>
      <c r="C243" s="122" t="s">
        <v>207</v>
      </c>
      <c r="D243" s="48"/>
      <c r="E243" s="225" t="s">
        <v>260</v>
      </c>
      <c r="F243" s="226"/>
      <c r="G243" s="48"/>
      <c r="H243" s="404" t="s">
        <v>140</v>
      </c>
      <c r="I243" s="405"/>
      <c r="J243" s="101"/>
    </row>
    <row r="244" spans="1:10" s="5" customFormat="1" ht="7.9" customHeight="1" x14ac:dyDescent="0.25">
      <c r="A244" s="1"/>
      <c r="B244" s="4"/>
      <c r="C244" s="4"/>
      <c r="D244" s="4"/>
      <c r="E244" s="4"/>
      <c r="F244" s="4"/>
      <c r="G244" s="4"/>
      <c r="H244" s="12"/>
      <c r="I244" s="104"/>
      <c r="J244" s="12"/>
    </row>
    <row r="245" spans="1:10" s="5" customFormat="1" ht="21" x14ac:dyDescent="0.35">
      <c r="A245" s="417" t="s">
        <v>48</v>
      </c>
      <c r="B245" s="418"/>
      <c r="C245" s="418"/>
      <c r="D245" s="418"/>
      <c r="E245" s="418"/>
      <c r="F245" s="419"/>
      <c r="G245" s="420" t="s">
        <v>14</v>
      </c>
      <c r="H245" s="420"/>
      <c r="I245" s="420"/>
      <c r="J245" s="420"/>
    </row>
    <row r="246" spans="1:10" s="5" customFormat="1" ht="15.75" x14ac:dyDescent="0.25">
      <c r="A246" s="46" t="s">
        <v>1</v>
      </c>
      <c r="B246" s="46" t="s">
        <v>2</v>
      </c>
      <c r="C246" s="421" t="s">
        <v>3</v>
      </c>
      <c r="D246" s="422"/>
      <c r="E246" s="46" t="s">
        <v>12</v>
      </c>
      <c r="F246" s="45" t="s">
        <v>13</v>
      </c>
      <c r="G246" s="46" t="s">
        <v>15</v>
      </c>
      <c r="H246" s="46" t="s">
        <v>16</v>
      </c>
      <c r="I246" s="105" t="s">
        <v>16</v>
      </c>
      <c r="J246" s="46" t="s">
        <v>110</v>
      </c>
    </row>
    <row r="247" spans="1:10" s="5" customFormat="1" ht="15.75" customHeight="1" x14ac:dyDescent="0.25">
      <c r="A247" s="427" t="s">
        <v>51</v>
      </c>
      <c r="B247" s="427" t="s">
        <v>78</v>
      </c>
      <c r="C247" s="167" t="s">
        <v>162</v>
      </c>
      <c r="D247" s="169"/>
      <c r="E247" s="44"/>
      <c r="F247" s="28">
        <f>IF(G243="Yes","",(IF(G242="",0.8,(IF(AND(E247="",G242="Yes"),0.9,(IF(AND(E247="",G242="No"),0.8,IF(E247&gt;=80,0,IF(E247&lt;=40,1,IF(E247&gt;=68,ROUND(E247*'Reference Standards'!$B$4+'Reference Standards'!$B$5,2),ROUND(E247*'Reference Standards'!$C$4+'Reference Standards'!$C$5,2)))))))))))</f>
        <v>0.8</v>
      </c>
      <c r="G247" s="401">
        <f>IFERROR(AVERAGE(F247:F249),"")</f>
        <v>0.8</v>
      </c>
      <c r="H247" s="401">
        <f>IFERROR(ROUND(AVERAGE(G247:G249),2),"")</f>
        <v>0.8</v>
      </c>
      <c r="I247" s="414" t="str">
        <f>IF(H247="","",IF(H247&gt;0.69,"Functioning",IF(H247&gt;0.29,"Functioning At Risk",IF(H247&gt;-1,"Not Functioning"))))</f>
        <v>Functioning</v>
      </c>
      <c r="J247" s="429">
        <f>IF(AND(H247="",H250="",H252="",H266="",H269=""),"",ROUND((IF(H247="",0,H247)*0.2)+(IF(H250="",0,H250)*0.2)+(IF(H252="",0,H252)*0.2)+(IF(H266="",0,H266)*0.2)+(IF(H269="",0,H269)*0.2),2))</f>
        <v>0.8</v>
      </c>
    </row>
    <row r="248" spans="1:10" s="5" customFormat="1" ht="15.75" customHeight="1" x14ac:dyDescent="0.25">
      <c r="A248" s="428"/>
      <c r="B248" s="428"/>
      <c r="C248" s="168" t="s">
        <v>164</v>
      </c>
      <c r="D248" s="170"/>
      <c r="E248" s="49"/>
      <c r="F248" s="228" t="str">
        <f>IF(G243="No","",IF(E248="","",  IF(E248&gt;0.95,0,IF(E248&lt;=0.02,1,ROUND(IF(E248&gt;0.26,'Reference Standards'!$B$10*E248+'Reference Standards'!$B$11, IF(E248&lt;0.05, 'Reference Standards'!$D$10*E248+'Reference Standards'!$D$11, 'Reference Standards'!$C$10*E248+'Reference Standards'!$C$11)),2))) ))</f>
        <v/>
      </c>
      <c r="G248" s="402"/>
      <c r="H248" s="402"/>
      <c r="I248" s="414"/>
      <c r="J248" s="429"/>
    </row>
    <row r="249" spans="1:10" s="5" customFormat="1" ht="15.75" x14ac:dyDescent="0.25">
      <c r="A249" s="428"/>
      <c r="B249" s="442"/>
      <c r="C249" s="171" t="s">
        <v>166</v>
      </c>
      <c r="D249" s="172"/>
      <c r="E249" s="49"/>
      <c r="F249" s="227">
        <f>IF(G243="Yes","",(IF(G242="",0.8,(IF(AND(E249="",G242="Yes"),0.9,(IF(AND(E249="",G242="No"),0.8,IF(E249&gt;3.22,0,IF(E249&lt;0,"",ROUND('Reference Standards'!$B$15*E249+'Reference Standards'!$B$16,2))))))))))</f>
        <v>0.8</v>
      </c>
      <c r="G249" s="403"/>
      <c r="H249" s="403"/>
      <c r="I249" s="414"/>
      <c r="J249" s="429"/>
    </row>
    <row r="250" spans="1:10" s="5" customFormat="1" ht="15.75" x14ac:dyDescent="0.25">
      <c r="A250" s="432" t="s">
        <v>4</v>
      </c>
      <c r="B250" s="434" t="s">
        <v>5</v>
      </c>
      <c r="C250" s="17" t="s">
        <v>6</v>
      </c>
      <c r="D250" s="17"/>
      <c r="E250" s="44"/>
      <c r="F250" s="96">
        <f>IF(G242="",0.8,(IF(AND(E250="",G242="Yes"),0.9,(IF(AND(E250="",G242="No"),0.8,ROUND(IF(E250&gt;1.6,0,IF(E250&lt;=1,1,E250^2*'Reference Standards'!$F$2+E250*'Reference Standards'!$F$3+'Reference Standards'!$F$4)),2))))))</f>
        <v>0.8</v>
      </c>
      <c r="G250" s="435">
        <f>IFERROR(AVERAGE(F250:F251),"")</f>
        <v>0.8</v>
      </c>
      <c r="H250" s="436">
        <f>IFERROR(ROUND(AVERAGE(G250),2),"")</f>
        <v>0.8</v>
      </c>
      <c r="I250" s="438" t="str">
        <f>IF(H250="","",IF(H250&gt;0.69,"Functioning",IF(H250&gt;0.29,"Functioning At Risk",IF(H250&gt;-1,"Not Functioning"))))</f>
        <v>Functioning</v>
      </c>
      <c r="J250" s="429"/>
    </row>
    <row r="251" spans="1:10" s="5" customFormat="1" ht="15.75" x14ac:dyDescent="0.25">
      <c r="A251" s="433"/>
      <c r="B251" s="434"/>
      <c r="C251" s="17" t="s">
        <v>7</v>
      </c>
      <c r="D251" s="17"/>
      <c r="E251" s="50"/>
      <c r="F251" s="96">
        <f>IF(G242="",0.8,(IF(AND(E251="",G242="Yes"),0.9,(IF(AND(E251="",G242="No"),0.8,(IF(OR(B242="A",B242="B",B242="Bc",B242="Ba"),IF(E251&lt;1.2,0,IF(E251&gt;=2.2,1,ROUND(IF(E251&lt;1.4,E251*'Reference Standards'!$F$13+'Reference Standards'!$F$14,E251*'Reference Standards'!$G$13+'Reference Standards'!$G$14),2))),IF(OR(B242="C",B242="Cb",B242="E"),IF(E251&lt;2,0,IF(E251&gt;=5,1,ROUND(IF(E251&lt;2.4,E251*'Reference Standards'!$G$8+'Reference Standards'!$G$9,E251*'Reference Standards'!$F$8+'Reference Standards'!$F$9),2)))))))))))</f>
        <v>0.8</v>
      </c>
      <c r="G251" s="435"/>
      <c r="H251" s="437"/>
      <c r="I251" s="439"/>
      <c r="J251" s="429"/>
    </row>
    <row r="252" spans="1:10" s="5" customFormat="1" ht="15.75" x14ac:dyDescent="0.25">
      <c r="A252" s="398" t="s">
        <v>21</v>
      </c>
      <c r="B252" s="440" t="s">
        <v>22</v>
      </c>
      <c r="C252" s="21" t="s">
        <v>103</v>
      </c>
      <c r="D252" s="69"/>
      <c r="E252" s="44"/>
      <c r="F252" s="229" t="str">
        <f>IF(E252="","",IF(E252&gt;=660,1,IF(E252&lt;=430,ROUND('Reference Standards'!$I$4*E252+'Reference Standards'!$I$5,2),ROUND('Reference Standards'!$J$4*E252+'Reference Standards'!$J$5,2))))</f>
        <v/>
      </c>
      <c r="G252" s="423">
        <f>IFERROR(AVERAGE(F252:F253),"")</f>
        <v>0.8</v>
      </c>
      <c r="H252" s="447">
        <f>IFERROR(ROUND(AVERAGE(G252:G265),2),"")</f>
        <v>0.8</v>
      </c>
      <c r="I252" s="449" t="str">
        <f>IF(H252="","",IF(H252&gt;0.69,"Functioning",IF(H252&gt;0.29,"Functioning At Risk",IF(H252&gt;-1,"Not Functioning"))))</f>
        <v>Functioning</v>
      </c>
      <c r="J252" s="429"/>
    </row>
    <row r="253" spans="1:10" s="5" customFormat="1" ht="15.75" x14ac:dyDescent="0.25">
      <c r="A253" s="399"/>
      <c r="B253" s="441"/>
      <c r="C253" s="24" t="s">
        <v>99</v>
      </c>
      <c r="D253" s="70"/>
      <c r="E253" s="50"/>
      <c r="F253" s="98">
        <f>IF(ISNUMBER(E252),"",IF(G242="",0.8,(IF(AND(E253="",G242="Yes"),0.9,(IF(AND(E253="",G242="No"),0.8,IF(E253&gt;=28,1,ROUND(IF(E253&lt;=13,'Reference Standards'!$I$9*E253,'Reference Standards'!$J$9*E253+'Reference Standards'!$J$10),2))))))))</f>
        <v>0.8</v>
      </c>
      <c r="G253" s="426"/>
      <c r="H253" s="447"/>
      <c r="I253" s="449"/>
      <c r="J253" s="429"/>
    </row>
    <row r="254" spans="1:10" s="5" customFormat="1" ht="15.75" x14ac:dyDescent="0.25">
      <c r="A254" s="399"/>
      <c r="B254" s="399" t="s">
        <v>126</v>
      </c>
      <c r="C254" s="19" t="s">
        <v>43</v>
      </c>
      <c r="D254" s="19"/>
      <c r="E254" s="49"/>
      <c r="F254" s="29">
        <f>IF(G242="",0.8,(IF(AND(E254="",G242="Yes"),0.9,(IF(AND(E254="",G242="No"),0.8,IF(OR(E254="Ex/Ex",E254="Ex/VH",E254="Ex/H",E254="Ex/M",E254="VH/Ex",E254="VH/VH", E254="H/Ex",E254="H/VH"),0, IF(OR(E254="M/Ex"),0.1,IF(OR(E254="VH/H",E254="VH/M",E254="H/H",E254="H/M", E254="M/VH"),0.2, IF(OR(E254="Ex/VL",E254="Ex/L", E254="M/H"),0.3, IF(OR(E254="VH/L",E254="H/L"),0.4, IF(OR(E254="VH/VL",E254="H/VL",E254="M/M"),0.5, IF(OR(E254="M/L",E254="L/Ex"),0.6, IF(OR(E254="M/VL",E254="L/VH", E254="L/H",E254="L/M",E254="L/L",E254="L/VL",LEFT(E254)="V"),1)))))))))))))</f>
        <v>0.8</v>
      </c>
      <c r="G254" s="423">
        <f>IFERROR(AVERAGE(F254:F256),"")</f>
        <v>0.80000000000000016</v>
      </c>
      <c r="H254" s="448"/>
      <c r="I254" s="449"/>
      <c r="J254" s="429"/>
    </row>
    <row r="255" spans="1:10" s="5" customFormat="1" ht="15.75" x14ac:dyDescent="0.25">
      <c r="A255" s="399"/>
      <c r="B255" s="399"/>
      <c r="C255" s="20" t="s">
        <v>57</v>
      </c>
      <c r="D255" s="173"/>
      <c r="E255" s="243"/>
      <c r="F255" s="29">
        <f>IF(G242="",0.8,(IF(AND(E255="",G242="Yes"),0.9,(IF(AND(E255="",G242="No"),0.8,ROUND(IF(E255&gt;=75,0,IF(E255&lt;=5,1,IF(E255&gt;10,E255*'Reference Standards'!$I$14+'Reference Standards'!$I$15,'Reference Standards'!$J$14*E255+'Reference Standards'!$J$15))),2))))))</f>
        <v>0.8</v>
      </c>
      <c r="G255" s="424"/>
      <c r="H255" s="448"/>
      <c r="I255" s="449"/>
      <c r="J255" s="429"/>
    </row>
    <row r="256" spans="1:10" s="5" customFormat="1" ht="15.75" x14ac:dyDescent="0.25">
      <c r="A256" s="399"/>
      <c r="B256" s="400"/>
      <c r="C256" s="20" t="s">
        <v>125</v>
      </c>
      <c r="D256" s="20"/>
      <c r="E256" s="50"/>
      <c r="F256" s="98">
        <f>IF(G242="",0.8,(IF(AND(E256="",G242="Yes"),0.9,(IF(AND(E256="",G242="No"),0.8,IF(E256&gt;=50,0,ROUND(E256*'Reference Standards'!$I$18+'Reference Standards'!$I$19,2)))))))</f>
        <v>0.8</v>
      </c>
      <c r="G256" s="426"/>
      <c r="H256" s="448"/>
      <c r="I256" s="449"/>
      <c r="J256" s="429"/>
    </row>
    <row r="257" spans="1:11" s="5" customFormat="1" ht="15.75" x14ac:dyDescent="0.25">
      <c r="A257" s="399"/>
      <c r="B257" s="18" t="s">
        <v>70</v>
      </c>
      <c r="C257" s="26" t="s">
        <v>80</v>
      </c>
      <c r="D257" s="68"/>
      <c r="E257" s="50"/>
      <c r="F257" s="27" t="str">
        <f>IF(E257="","",IF(E257&gt;=50,0,ROUND(E257*'Reference Standards'!$I$22+'Reference Standards'!$I$23,2)))</f>
        <v/>
      </c>
      <c r="G257" s="27" t="str">
        <f>IFERROR(AVERAGE(F257),"")</f>
        <v/>
      </c>
      <c r="H257" s="448"/>
      <c r="I257" s="449"/>
      <c r="J257" s="429"/>
    </row>
    <row r="258" spans="1:11" s="5" customFormat="1" ht="15.75" x14ac:dyDescent="0.25">
      <c r="A258" s="399"/>
      <c r="B258" s="398" t="s">
        <v>45</v>
      </c>
      <c r="C258" s="25" t="s">
        <v>46</v>
      </c>
      <c r="D258" s="25"/>
      <c r="E258" s="53"/>
      <c r="F258" s="230">
        <f>IF(G242="",0.8,(IF(AND(E258="",G242="Yes"),0.9,(IF(AND(E258="",G242="No"),0.8,ROUND( IF(OR(LEFT(B242)="C",B242="E"), IF(OR(E258&lt;=1,E258&gt;=9),0,IF(AND(E258&gt;=3.5,E258&lt;=6),1,IF(E258&lt;3.5, E258*'Reference Standards'!$I$37+'Reference Standards'!$I$38, E258*'Reference Standards'!$J$37+'Reference Standards'!$J$38))),   IF(OR(B242="A",(B242)="B", (B242)="Ba"), IF(E258&gt;=6.5,0, IF(E258&lt;=4, 1, E258^2*'Reference Standards'!$I$26+E258*'Reference Standards'!$I$27+'Reference Standards'!$I$28)), IF(B242="Bc",  IF(E258&gt;=8,0, IF(E258&lt;=5, 1, E258^2*'Reference Standards'!$I$31+E258*'Reference Standards'!$I$32+'Reference Standards'!$I$33))))),2))))))</f>
        <v>0.8</v>
      </c>
      <c r="G258" s="430">
        <f>IFERROR(AVERAGE(F258:F261),"")</f>
        <v>0.80000000000000016</v>
      </c>
      <c r="H258" s="448"/>
      <c r="I258" s="449"/>
      <c r="J258" s="429"/>
    </row>
    <row r="259" spans="1:11" s="5" customFormat="1" ht="15.75" x14ac:dyDescent="0.25">
      <c r="A259" s="399"/>
      <c r="B259" s="399"/>
      <c r="C259" s="19" t="s">
        <v>47</v>
      </c>
      <c r="D259" s="19"/>
      <c r="E259" s="52"/>
      <c r="F259" s="29">
        <f>IF(G242="",0.8,(IF(AND(E259="",G242="Yes"),0.9,(IF(AND(E259="",G242="No"),0.8,ROUND(  IF(E259&lt;=1.1,0, IF(E259&gt;=3,1, IF(E259&lt;2, E259^2*'Reference Standards'!$I$42+  E259*'Reference Standards'!$I$43 + 'Reference Standards'!$I$44,      E259*'Reference Standards'!$J$43+'Reference Standards'!$J$44))),2))))))</f>
        <v>0.8</v>
      </c>
      <c r="G259" s="425"/>
      <c r="H259" s="448"/>
      <c r="I259" s="449"/>
      <c r="J259" s="429"/>
    </row>
    <row r="260" spans="1:11" s="5" customFormat="1" ht="15.75" x14ac:dyDescent="0.25">
      <c r="A260" s="399"/>
      <c r="B260" s="399"/>
      <c r="C260" s="19" t="s">
        <v>104</v>
      </c>
      <c r="D260" s="19"/>
      <c r="E260" s="52"/>
      <c r="F260" s="269">
        <f>IF(G242="",0.8,(IF(AND(E260="",G242="Yes"),0.9,(IF(AND(E260="",G242="No"),0.8,IF(OR(B242="A",LEFT(B242,1)="B"),IF(OR(E260&lt;=20,E260&gt;=90),0,IF(AND(E260&gt;=50,E260&lt;=60),1,IF(E260&lt;50,ROUND(E260*'Reference Standards'!$I$48+'Reference Standards'!$I$49,2),ROUND(E260*'Reference Standards'!$J$48+'Reference Standards'!$J$49,2)))),IF(OR(LEFT(B242)="C",B242="E"),IF(OR(E260&lt;=20,E260&gt;=85),0,IF(AND(E260&lt;=65,E260&gt;=45),1,IF(E260&lt;45,ROUND(E260*'Reference Standards'!$I$53+'Reference Standards'!$I$54,2),ROUND(E260*'Reference Standards'!$J$53+'Reference Standards'!$J$54,2)))))))))))</f>
        <v>0.8</v>
      </c>
      <c r="G260" s="425"/>
      <c r="H260" s="448"/>
      <c r="I260" s="449"/>
      <c r="J260" s="429"/>
    </row>
    <row r="261" spans="1:11" s="5" customFormat="1" ht="15.75" x14ac:dyDescent="0.25">
      <c r="A261" s="399"/>
      <c r="B261" s="400"/>
      <c r="C261" s="23" t="s">
        <v>88</v>
      </c>
      <c r="D261" s="19"/>
      <c r="E261" s="54"/>
      <c r="F261" s="270" t="str">
        <f>IF(E261="","",IF(E261&gt;=1.6,0,IF(E261&lt;=1,1,ROUND('Reference Standards'!$I$57*E261^3+'Reference Standards'!$I$58*E261^2+'Reference Standards'!$I$59*E261+'Reference Standards'!$I$60,2))))</f>
        <v/>
      </c>
      <c r="G261" s="431"/>
      <c r="H261" s="448"/>
      <c r="I261" s="449"/>
      <c r="J261" s="429"/>
    </row>
    <row r="262" spans="1:11" s="5" customFormat="1" ht="15.75" x14ac:dyDescent="0.25">
      <c r="A262" s="399"/>
      <c r="B262" s="398" t="s">
        <v>44</v>
      </c>
      <c r="C262" s="21" t="s">
        <v>182</v>
      </c>
      <c r="D262" s="69"/>
      <c r="E262" s="22"/>
      <c r="F262" s="97">
        <f>IF(G242="",0.8,(IF(AND(E262="",G242="Yes"),0.9,(IF(AND(E262="",G242="No"),0.8,IF(G241="Unconfined Alluvial",IF(E262&gt;=100,1,IF(E262&lt;30,0,ROUND('Reference Standards'!$I$64*E262+'Reference Standards'!$I$65,2))),IF(OR(G241="Confined Alluvial",G241="Colluvial/V-Shaped"),(IF(E262&gt;=100,1,IF(E262&lt;60,0,ROUND('Reference Standards'!$J$64*E262+'Reference Standards'!$J$65,2)))))))))))</f>
        <v>0.8</v>
      </c>
      <c r="G262" s="423">
        <f>IFERROR(AVERAGE(F262:F265),"")</f>
        <v>0.80000000000000016</v>
      </c>
      <c r="H262" s="448"/>
      <c r="I262" s="449"/>
      <c r="J262" s="429"/>
    </row>
    <row r="263" spans="1:11" s="5" customFormat="1" ht="15.75" x14ac:dyDescent="0.25">
      <c r="A263" s="399"/>
      <c r="B263" s="399"/>
      <c r="C263" s="23" t="s">
        <v>183</v>
      </c>
      <c r="D263" s="173"/>
      <c r="E263" s="244"/>
      <c r="F263" s="29">
        <f>IF(G242="",0.8,(IF(AND(E263="",G242="Yes"),0.9,(IF(AND(E263="",G242="No"),0.8,IF(B243="Yes",IF(E263&lt;=50,0,IF(E263&gt;=80,1,ROUND('Reference Standards'!$I$69*E263+'Reference Standards'!$I$70,2))),IF(B243="No",IF(E263&gt;=80,0,IF(E263&lt;=50,1,ROUND(E263*'Reference Standards'!$J$69+'Reference Standards'!$J$70,2))))))))))</f>
        <v>0.8</v>
      </c>
      <c r="G263" s="424"/>
      <c r="H263" s="448"/>
      <c r="I263" s="449"/>
      <c r="J263" s="429"/>
    </row>
    <row r="264" spans="1:11" s="5" customFormat="1" ht="15.75" x14ac:dyDescent="0.25">
      <c r="A264" s="399"/>
      <c r="B264" s="399"/>
      <c r="C264" s="23" t="s">
        <v>184</v>
      </c>
      <c r="D264" s="173"/>
      <c r="E264" s="244"/>
      <c r="F264" s="29">
        <f>IF(G242="",0.8,(IF(AND(E264="",G242="Yes"),0.9,(IF(AND(E264="",G242="No"),0.8,IF(E264&lt;=50,0,IF(E264&gt;=80,1, ROUND(E264*'Reference Standards'!$I$73+'Reference Standards'!$I$74,2))))))))</f>
        <v>0.8</v>
      </c>
      <c r="G264" s="425"/>
      <c r="H264" s="448"/>
      <c r="I264" s="449"/>
      <c r="J264" s="429"/>
    </row>
    <row r="265" spans="1:11" s="5" customFormat="1" ht="15.75" x14ac:dyDescent="0.25">
      <c r="A265" s="399"/>
      <c r="B265" s="400"/>
      <c r="C265" s="443" t="s">
        <v>277</v>
      </c>
      <c r="D265" s="444"/>
      <c r="E265" s="16"/>
      <c r="F265" s="98" t="str">
        <f>IF(OR(B243="",B243="No"),"",IF(AND(E265="",B243="Yes",G242="Yes"),0.9,IF(OR(G242="No",G242=""),0.8,IF(E265&lt;=9,0,IF(E265&gt;=14,1,ROUND('Reference Standards'!$I$77*E265+'Reference Standards'!$I$78,2))))))</f>
        <v/>
      </c>
      <c r="G265" s="426"/>
      <c r="H265" s="448"/>
      <c r="I265" s="449"/>
      <c r="J265" s="429"/>
    </row>
    <row r="266" spans="1:11" s="5" customFormat="1" ht="15.75" x14ac:dyDescent="0.25">
      <c r="A266" s="409" t="s">
        <v>49</v>
      </c>
      <c r="B266" s="174" t="s">
        <v>169</v>
      </c>
      <c r="C266" s="175" t="s">
        <v>176</v>
      </c>
      <c r="D266" s="177"/>
      <c r="E266" s="101"/>
      <c r="F266" s="182">
        <f>IF(G242="",0.8,(IF(AND(E266="",G242="Yes"),0.9,IF(E266&gt;=25,0,IF(E266&lt;=10,1,ROUND(IF(E266&gt;18,'Reference Standards'!$L$4*E266+'Reference Standards'!$L$5,IF(E266&lt;12,'Reference Standards'!$N$4*E266+'Reference Standards'!$N$5,'Reference Standards'!$M$4*E266+'Reference Standards'!$M$5)),2))))))</f>
        <v>0.8</v>
      </c>
      <c r="G266" s="180">
        <f>IFERROR(AVERAGE(F266),"")</f>
        <v>0.8</v>
      </c>
      <c r="H266" s="411">
        <f>IFERROR(ROUND(AVERAGE(G266:G268),2),"")</f>
        <v>0.8</v>
      </c>
      <c r="I266" s="415" t="str">
        <f>IF(H266="","",IF(H266&gt;0.69,"Functioning",IF(H266&gt;0.29,"Functioning At Risk",IF(H266&gt;-1,"Not Functioning"))))</f>
        <v>Functioning</v>
      </c>
      <c r="J266" s="429"/>
    </row>
    <row r="267" spans="1:11" s="5" customFormat="1" ht="15.75" x14ac:dyDescent="0.25">
      <c r="A267" s="410"/>
      <c r="B267" s="176" t="s">
        <v>170</v>
      </c>
      <c r="C267" s="175" t="s">
        <v>177</v>
      </c>
      <c r="D267" s="178"/>
      <c r="E267" s="49"/>
      <c r="F267" s="231">
        <f>IF(G242="",0.8,(IF(AND(E267="",G242="Yes"),0.9,IF(D240="2A",IF(E267&lt;=5.3,0,IF(E267&gt;=8.79,1,ROUND(E267*'Reference Standards'!$L$9+'Reference Standards'!$L$10,2))),IF(D240=7,IF(E267&lt;=0.8,0,IF(E267&gt;=1.25,1,ROUND(E267*'Reference Standards'!$N$9+'Reference Standards'!$N$10,2))),IF(OR(D240="2B", D240="2Bd",D240="2C"),IF(E267&lt;=3.8,0,(IF(E267&gt;=6.3,1,ROUND(E267*'Reference Standards'!$M$9+'Reference Standards'!$M$10,2))))))))))</f>
        <v>0.8</v>
      </c>
      <c r="G267" s="181">
        <f>IFERROR(AVERAGE(F267),"")</f>
        <v>0.8</v>
      </c>
      <c r="H267" s="412"/>
      <c r="I267" s="416"/>
      <c r="J267" s="429"/>
    </row>
    <row r="268" spans="1:11" s="5" customFormat="1" ht="15.75" x14ac:dyDescent="0.25">
      <c r="A268" s="410"/>
      <c r="B268" s="174" t="s">
        <v>172</v>
      </c>
      <c r="C268" s="175" t="s">
        <v>178</v>
      </c>
      <c r="D268" s="179"/>
      <c r="E268" s="101"/>
      <c r="F268" s="182">
        <f>IF(G242="",0.8,(IF(AND(E268="",G242="Yes"),0.9,IF(D240="2A",IF(E268&gt;=12.5,0,IF(E268&lt;=7.5,1,ROUND(E268*'Reference Standards'!$L$15+'Reference Standards'!$L$16,2))),IF(OR(D240="2B",D240="2Bd",D240="2C"),IF(D241="North",IF(E268&gt;=18.8,0,IF(E268&lt;=11.3,1,ROUND(E268*'Reference Standards'!$M$15+'Reference Standards'!$M$16,2))),IF(D241="Central",(IF(E268&gt;=37.5,0,IF(E268&lt;=22.5,1,ROUND(E268*'Reference Standards'!$N$15+'Reference Standards'!$N$16,2)))),IF(E268&gt;=81.2,0,(IF(E268&lt;=48.7,1,ROUND(E268*'Reference Standards'!$O$15+'Reference Standards'!$O$16,2)))))))))))</f>
        <v>0.8</v>
      </c>
      <c r="G268" s="182">
        <f>IFERROR(AVERAGE(F268),"")</f>
        <v>0.8</v>
      </c>
      <c r="H268" s="412"/>
      <c r="I268" s="416"/>
      <c r="J268" s="429"/>
    </row>
    <row r="269" spans="1:11" s="5" customFormat="1" ht="15.75" x14ac:dyDescent="0.25">
      <c r="A269" s="445" t="s">
        <v>50</v>
      </c>
      <c r="B269" s="236" t="s">
        <v>105</v>
      </c>
      <c r="C269" s="40" t="s">
        <v>179</v>
      </c>
      <c r="D269" s="41"/>
      <c r="E269" s="44"/>
      <c r="F269" s="99">
        <f>IF(G242="",0.8,(IF(AND(E268="",G242="Yes"),0.9,IF(D243="Northern Forest Rivers",IF(E269&lt;=38.2,0,IF(E269&gt;=77,1,ROUND(IF(E269&lt;49, 'Reference Standards'!$Q$5*E269+'Reference Standards'!$Q$6, IF(E269&lt;59.8, 'Reference Standards'!$R$5*E269+'Reference Standards'!$R$6, 'Reference Standards'!$S$5*E269+'Reference Standards'!$S$6)),2))),   IF(D243="Northern Forest Streams Riffle-run",IF(E269&lt;40.4,0,IF(E269&gt;=82,1,ROUND(IF(E269&lt;53, 'Reference Standards'!$T$5*E269+'Reference Standards'!$T$6, IF(E269&lt;59.8, 'Reference Standards'!$U$5*E269+'Reference Standards'!$U$6, 'Reference Standards'!$V$5*E269+'Reference Standards'!$V$6) ),2))), IF(D243="Northern Forest Streams Glide-pool",IF(E269&lt;=37,0,IF(E269&gt;=76,1,ROUND(IF(E269&lt;51, 'Reference Standards'!$W$5*E269+'Reference Standards'!$W$6, IF(E269&lt;65.6, 'Reference Standards'!$X$5*E269+'Reference Standards'!$X$6, 'Reference Standards'!$Y$5*E269+'Reference Standards'!$Y$6) ),2))), IF(D243="Northern Coldwater",IF(E269&lt;19.6,0,IF(E269&gt;=52,1,ROUND(IF(E269&lt;32, 'Reference Standards'!$Z$5*E269+'Reference Standards'!$Z$6, IF(E269&lt;44.4,'Reference Standards'!$AA$5*E269+'Reference Standards'!$AA$6, 'Reference Standards'!$AB$5*E269+'Reference Standards'!$AB$6) ),2))), IF(D243="Southern Forest Streams Riffle-run", IF(E269&lt;24,0,IF(E269&gt;=62,1,ROUND(IF(E269&lt;37, 'Reference Standards'!$Q$11*E269+'Reference Standards'!$Q$12, IF(E269&lt;49.6,'Reference Standards'!$R$11*E269+'Reference Standards'!$R$12,'Reference Standards'!$S$11*E269+'Reference Standards'!$S$12)),2))), IF(D243="Southern Forest Streams Glide-pool", IF(E269&lt;29.4,0,IF(E269&gt;=65,1,ROUND(IF(E269&lt;43,'Reference Standards'!$T$11*E269+'Reference Standards'!$T$12, IF(E269&lt;56.6, 'Reference Standards'!$U$11*E269+'Reference Standards'!$U$12,'Reference Standards'!$V$11*E269+'Reference Standards'!$V$12)),2))), IF(D243="Southern Coldwater", IF(E269&lt;29.2,0,IF(E269&gt;=72,1,ROUND(IF(E269&lt;43, 'Reference Standards'!$W$11*E269+'Reference Standards'!$W$12, IF(E269&lt;56.8,'Reference Standards'!$X$11*E269+'Reference Standards'!$X$12, 'Reference Standards'!$Y$11*E269+'Reference Standards'!$Y$12)),2))), IF(D243="Prairie Forest Rivers", IF(E269&lt;20.2,0,IF(E269&gt;=62,1,ROUND(IF(E269&lt;31,'Reference Standards'!$Q$17*E269+'Reference Standards'!$Q$18, IF(E269&lt;41.8,'Reference Standards'!$R$17*E269+'Reference Standards'!$R$18,'Reference Standards'!$S$17*E269+'Reference Standards'!$S$18)),2))), IF(D243="Prairie Streams Glide-Pool", IF(E269&lt;27.4,0,IF(E269&gt;=69,1,ROUND(IF(E269&lt;41,'Reference Standards'!$T$17*E269+'Reference Standards'!$T$18, IF(E269&lt;54.6,'Reference Standards'!$U$17*E269+'Reference Standards'!$U$18, 'Reference Standards'!$V$17*E269+'Reference Standards'!$V$18)),2))) ))))))))))))</f>
        <v>0.8</v>
      </c>
      <c r="G269" s="237">
        <f>IFERROR(AVERAGE(F269),"")</f>
        <v>0.8</v>
      </c>
      <c r="H269" s="450">
        <f>IFERROR(ROUND(AVERAGE(G269:G270),2),"")</f>
        <v>0.8</v>
      </c>
      <c r="I269" s="414" t="str">
        <f>IF(H269="","",IF(H269&gt;0.69,"Functioning",IF(H269&gt;0.29,"Functioning At Risk",IF(H269&gt;-1,"Not Functioning"))))</f>
        <v>Functioning</v>
      </c>
      <c r="J269" s="429"/>
    </row>
    <row r="270" spans="1:11" s="5" customFormat="1" ht="15.75" x14ac:dyDescent="0.25">
      <c r="A270" s="446"/>
      <c r="B270" s="238" t="s">
        <v>54</v>
      </c>
      <c r="C270" s="183" t="s">
        <v>180</v>
      </c>
      <c r="D270" s="184"/>
      <c r="E270" s="101"/>
      <c r="F270" s="99">
        <f>IF(G242="",0.8,(IF(AND(E270="",G242="Yes"),0.9,IF(G240="Northern Rivers",IF(E270&lt;29,0,IF(E270&gt;=66,1,ROUND(IF(E270&lt;38, 'Reference Standards'!$Q$23*E270+'Reference Standards'!$Q$24, IF(E270&lt;47, 'Reference Standards'!$R$23*E270+'Reference Standards'!$R$24, 'Reference Standards'!$S$23*E270+'Reference Standards'!$S$24)),2))),   IF(G240="Northern Streams",IF(E270&lt;35,0,IF(E270&gt;=61,1,ROUND(IF(E270&lt;47, 'Reference Standards'!$T$23*E270+'Reference Standards'!$T$24, IF(E270&lt;56, 'Reference Standards'!$U$23*E270+'Reference Standards'!$U$24, 'Reference Standards'!$V$23*E270+'Reference Standards'!$V$24) ),2))), IF(G240="Northern Headwaters",IF(E270&lt;23,0,IF(E270&gt;=68,1,ROUND(IF(E270&lt;42, 'Reference Standards'!$W$23*E270+'Reference Standards'!$W$24, IF(E270&lt;56, 'Reference Standards'!$X$23*E270+'Reference Standards'!$X$24, 'Reference Standards'!$Y$23*E270+'Reference Standards'!$Y$24) ),2))), IF(G240="Northern Coldwater",IF(E270&lt;25,0,IF(E270&gt;=60,1,ROUND(IF(E270&lt;35, 'Reference Standards'!$Z$23*E270+'Reference Standards'!$Z$24, IF(E270&lt;45, 'Reference Standards'!$AA$23*E270+'Reference Standards'!$AA$24, 'Reference Standards'!$AB$23*E270+'Reference Standards'!$AB$24) ),2))), IF(G240="Southern River", IF(E270&lt;38,0,IF(E270&gt;=71,1,ROUND(IF(E270&lt;49, 'Reference Standards'!$Q$29*E270+'Reference Standards'!$Q$30, IF(E270&lt;60,'Reference Standards'!$R$29*E270+'Reference Standards'!$R$30, 'Reference Standards'!$S$29*E270+'Reference Standards'!$S$30)),2))), IF(G240="Southern Streams", IF(E270&lt;35,0,IF(E270&gt;=66,1,ROUND(IF(E270&lt;50,'Reference Standards'!$T$29*E270+'Reference Standards'!$T$30, IF(E270&lt;59, 'Reference Standards'!$U$29*E270+'Reference Standards'!$U$30, 'Reference Standards'!$V$29*E270+'Reference Standards'!$V$30)),2))), IF(G240="Southern Headwaters", IF(E270&lt;33,0,IF(E270&gt;=74,1,ROUND(IF(E270&lt;55, 'Reference Standards'!$W$29*E270+'Reference Standards'!$W$30, IF(E270&lt;62, 'Reference Standards'!$X$29*E270+'Reference Standards'!$X$30, 'Reference Standards'!$Y$29*E270+'Reference Standards'!$Y$30)),2))), IF(G240="Southern Coldwater", IF(E270&lt;37,0,IF(E270&gt;=82,1,ROUND(IF(E270&lt;50, 'Reference Standards'!$Z$29*E270+'Reference Standards'!$Z$30, IF(E270&lt;63,'Reference Standards'!$AA$29*E270+'Reference Standards'!$AA$30,'Reference Standards'!$AB$29*E270+'Reference Standards'!$AB$30)),2))), IF(G240="Low Gradient", IF(E270&lt;15,0,IF(E270&gt;=70,1,ROUND(IF(E270&lt;42, 'Reference Standards'!$Q$34*E270+'Reference Standards'!$Q$35, IF(E270&lt;52, 'Reference Standards'!$R$34*E270+'Reference Standards'!$R$35, 'Reference Standards'!$S$34*E270+'Reference Standards'!$S$35)),2))) ))))))))))))</f>
        <v>0.8</v>
      </c>
      <c r="G270" s="237">
        <f>IFERROR(AVERAGE(F270),"")</f>
        <v>0.8</v>
      </c>
      <c r="H270" s="450"/>
      <c r="I270" s="414"/>
      <c r="J270" s="429"/>
    </row>
    <row r="271" spans="1:11" s="5" customFormat="1" ht="4.9000000000000004" customHeight="1" x14ac:dyDescent="0.25">
      <c r="I271" s="102"/>
      <c r="J271" s="4"/>
      <c r="K271" s="11"/>
    </row>
    <row r="272" spans="1:11" s="5" customFormat="1" ht="4.9000000000000004" customHeight="1" x14ac:dyDescent="0.25">
      <c r="I272" s="102"/>
      <c r="K272" s="11"/>
    </row>
    <row r="273" spans="1:10" s="5" customFormat="1" ht="21" customHeight="1" x14ac:dyDescent="0.25">
      <c r="A273" s="406" t="s">
        <v>310</v>
      </c>
      <c r="B273" s="407"/>
      <c r="C273" s="407"/>
      <c r="D273" s="407"/>
      <c r="E273" s="407"/>
      <c r="F273" s="407"/>
      <c r="G273" s="407"/>
      <c r="H273" s="407"/>
      <c r="I273" s="407"/>
      <c r="J273" s="408"/>
    </row>
    <row r="274" spans="1:10" s="5" customFormat="1" ht="18" customHeight="1" x14ac:dyDescent="0.25">
      <c r="A274" s="122" t="s">
        <v>68</v>
      </c>
      <c r="B274" s="101"/>
      <c r="C274" s="122" t="s">
        <v>195</v>
      </c>
      <c r="D274" s="48"/>
      <c r="E274" s="165" t="s">
        <v>226</v>
      </c>
      <c r="F274" s="166"/>
      <c r="G274" s="48"/>
      <c r="H274" s="404" t="s">
        <v>137</v>
      </c>
      <c r="I274" s="405"/>
      <c r="J274" s="101"/>
    </row>
    <row r="275" spans="1:10" s="5" customFormat="1" ht="18" customHeight="1" x14ac:dyDescent="0.25">
      <c r="A275" s="122" t="s">
        <v>69</v>
      </c>
      <c r="B275" s="48"/>
      <c r="C275" s="122" t="s">
        <v>205</v>
      </c>
      <c r="D275" s="48"/>
      <c r="E275" s="413" t="s">
        <v>92</v>
      </c>
      <c r="F275" s="413"/>
      <c r="G275" s="48"/>
      <c r="H275" s="404" t="s">
        <v>138</v>
      </c>
      <c r="I275" s="405"/>
      <c r="J275" s="101"/>
    </row>
    <row r="276" spans="1:10" s="5" customFormat="1" ht="18" customHeight="1" x14ac:dyDescent="0.25">
      <c r="A276" s="122" t="s">
        <v>136</v>
      </c>
      <c r="B276" s="48"/>
      <c r="C276" s="122" t="s">
        <v>206</v>
      </c>
      <c r="D276" s="48"/>
      <c r="E276" s="413" t="s">
        <v>267</v>
      </c>
      <c r="F276" s="413"/>
      <c r="G276" s="48"/>
      <c r="H276" s="404" t="s">
        <v>139</v>
      </c>
      <c r="I276" s="405"/>
      <c r="J276" s="101"/>
    </row>
    <row r="277" spans="1:10" s="5" customFormat="1" ht="18" customHeight="1" x14ac:dyDescent="0.25">
      <c r="A277" s="106" t="s">
        <v>261</v>
      </c>
      <c r="B277" s="48"/>
      <c r="C277" s="122" t="s">
        <v>207</v>
      </c>
      <c r="D277" s="48"/>
      <c r="E277" s="225" t="s">
        <v>260</v>
      </c>
      <c r="F277" s="226"/>
      <c r="G277" s="48"/>
      <c r="H277" s="404" t="s">
        <v>140</v>
      </c>
      <c r="I277" s="405"/>
      <c r="J277" s="101"/>
    </row>
    <row r="278" spans="1:10" s="5" customFormat="1" ht="4.9000000000000004" customHeight="1" x14ac:dyDescent="0.25">
      <c r="A278" s="1"/>
      <c r="B278" s="4"/>
      <c r="C278" s="4"/>
      <c r="D278" s="4"/>
      <c r="E278" s="4"/>
      <c r="F278" s="4"/>
      <c r="G278" s="4"/>
      <c r="H278" s="12"/>
      <c r="I278" s="104"/>
      <c r="J278" s="12"/>
    </row>
    <row r="279" spans="1:10" s="5" customFormat="1" ht="21" x14ac:dyDescent="0.35">
      <c r="A279" s="417" t="s">
        <v>48</v>
      </c>
      <c r="B279" s="418"/>
      <c r="C279" s="418"/>
      <c r="D279" s="418"/>
      <c r="E279" s="418"/>
      <c r="F279" s="419"/>
      <c r="G279" s="420" t="s">
        <v>14</v>
      </c>
      <c r="H279" s="420"/>
      <c r="I279" s="420"/>
      <c r="J279" s="420"/>
    </row>
    <row r="280" spans="1:10" s="5" customFormat="1" ht="15.75" x14ac:dyDescent="0.25">
      <c r="A280" s="46" t="s">
        <v>1</v>
      </c>
      <c r="B280" s="46" t="s">
        <v>2</v>
      </c>
      <c r="C280" s="421" t="s">
        <v>3</v>
      </c>
      <c r="D280" s="422"/>
      <c r="E280" s="46" t="s">
        <v>12</v>
      </c>
      <c r="F280" s="45" t="s">
        <v>13</v>
      </c>
      <c r="G280" s="46" t="s">
        <v>15</v>
      </c>
      <c r="H280" s="46" t="s">
        <v>16</v>
      </c>
      <c r="I280" s="105" t="s">
        <v>16</v>
      </c>
      <c r="J280" s="46" t="s">
        <v>110</v>
      </c>
    </row>
    <row r="281" spans="1:10" s="5" customFormat="1" ht="15.75" customHeight="1" x14ac:dyDescent="0.25">
      <c r="A281" s="427" t="s">
        <v>51</v>
      </c>
      <c r="B281" s="427" t="s">
        <v>78</v>
      </c>
      <c r="C281" s="167" t="s">
        <v>162</v>
      </c>
      <c r="D281" s="169"/>
      <c r="E281" s="44"/>
      <c r="F281" s="28">
        <f>IF(G277="Yes","",(IF(G276="",0.8,(IF(AND(E281="",G276="Yes"),0.9,(IF(AND(E281="",G276="No"),0.8,IF(E281&gt;=80,0,IF(E281&lt;=40,1,IF(E281&gt;=68,ROUND(E281*'Reference Standards'!$B$4+'Reference Standards'!$B$5,2),ROUND(E281*'Reference Standards'!$C$4+'Reference Standards'!$C$5,2)))))))))))</f>
        <v>0.8</v>
      </c>
      <c r="G281" s="401">
        <f>IFERROR(AVERAGE(F281:F283),"")</f>
        <v>0.8</v>
      </c>
      <c r="H281" s="401">
        <f>IFERROR(ROUND(AVERAGE(G281:G283),2),"")</f>
        <v>0.8</v>
      </c>
      <c r="I281" s="414" t="str">
        <f>IF(H281="","",IF(H281&gt;0.69,"Functioning",IF(H281&gt;0.29,"Functioning At Risk",IF(H281&gt;-1,"Not Functioning"))))</f>
        <v>Functioning</v>
      </c>
      <c r="J281" s="429">
        <f>IF(AND(H281="",H284="",H286="",H300="",H303=""),"",ROUND((IF(H281="",0,H281)*0.2)+(IF(H284="",0,H284)*0.2)+(IF(H286="",0,H286)*0.2)+(IF(H300="",0,H300)*0.2)+(IF(H303="",0,H303)*0.2),2))</f>
        <v>0.8</v>
      </c>
    </row>
    <row r="282" spans="1:10" s="5" customFormat="1" ht="15.75" customHeight="1" x14ac:dyDescent="0.25">
      <c r="A282" s="428"/>
      <c r="B282" s="428"/>
      <c r="C282" s="168" t="s">
        <v>164</v>
      </c>
      <c r="D282" s="170"/>
      <c r="E282" s="49"/>
      <c r="F282" s="228" t="str">
        <f>IF(G277="No","",IF(E282="","",  IF(E282&gt;0.95,0,IF(E282&lt;=0.02,1,ROUND(IF(E282&gt;0.26,'Reference Standards'!$B$10*E282+'Reference Standards'!$B$11, IF(E282&lt;0.05, 'Reference Standards'!$D$10*E282+'Reference Standards'!$D$11, 'Reference Standards'!$C$10*E282+'Reference Standards'!$C$11)),2))) ))</f>
        <v/>
      </c>
      <c r="G282" s="402"/>
      <c r="H282" s="402"/>
      <c r="I282" s="414"/>
      <c r="J282" s="429"/>
    </row>
    <row r="283" spans="1:10" s="5" customFormat="1" ht="15.75" x14ac:dyDescent="0.25">
      <c r="A283" s="428"/>
      <c r="B283" s="442"/>
      <c r="C283" s="171" t="s">
        <v>166</v>
      </c>
      <c r="D283" s="172"/>
      <c r="E283" s="49"/>
      <c r="F283" s="227">
        <f>IF(G277="Yes","",(IF(G276="",0.8,(IF(AND(E283="",G276="Yes"),0.9,(IF(AND(E283="",G276="No"),0.8,IF(E283&gt;3.22,0,IF(E283&lt;0,"",ROUND('Reference Standards'!$B$15*E283+'Reference Standards'!$B$16,2))))))))))</f>
        <v>0.8</v>
      </c>
      <c r="G283" s="403"/>
      <c r="H283" s="403"/>
      <c r="I283" s="414"/>
      <c r="J283" s="429"/>
    </row>
    <row r="284" spans="1:10" s="5" customFormat="1" ht="15.75" x14ac:dyDescent="0.25">
      <c r="A284" s="432" t="s">
        <v>4</v>
      </c>
      <c r="B284" s="434" t="s">
        <v>5</v>
      </c>
      <c r="C284" s="17" t="s">
        <v>6</v>
      </c>
      <c r="D284" s="17"/>
      <c r="E284" s="44"/>
      <c r="F284" s="96">
        <f>IF(G276="",0.8,(IF(AND(E284="",G276="Yes"),0.9,(IF(AND(E284="",G276="No"),0.8,ROUND(IF(E284&gt;1.6,0,IF(E284&lt;=1,1,E284^2*'Reference Standards'!$F$2+E284*'Reference Standards'!$F$3+'Reference Standards'!$F$4)),2))))))</f>
        <v>0.8</v>
      </c>
      <c r="G284" s="435">
        <f>IFERROR(AVERAGE(F284:F285),"")</f>
        <v>0.8</v>
      </c>
      <c r="H284" s="436">
        <f>IFERROR(ROUND(AVERAGE(G284),2),"")</f>
        <v>0.8</v>
      </c>
      <c r="I284" s="438" t="str">
        <f>IF(H284="","",IF(H284&gt;0.69,"Functioning",IF(H284&gt;0.29,"Functioning At Risk",IF(H284&gt;-1,"Not Functioning"))))</f>
        <v>Functioning</v>
      </c>
      <c r="J284" s="429"/>
    </row>
    <row r="285" spans="1:10" s="5" customFormat="1" ht="15.75" x14ac:dyDescent="0.25">
      <c r="A285" s="433"/>
      <c r="B285" s="434"/>
      <c r="C285" s="17" t="s">
        <v>7</v>
      </c>
      <c r="D285" s="17"/>
      <c r="E285" s="50"/>
      <c r="F285" s="96">
        <f>IF(G276="",0.8,(IF(AND(E285="",G276="Yes"),0.9,(IF(AND(E285="",G276="No"),0.8,(IF(OR(B276="A",B276="B",B276="Bc",B276="Ba"),IF(E285&lt;1.2,0,IF(E285&gt;=2.2,1,ROUND(IF(E285&lt;1.4,E285*'Reference Standards'!$F$13+'Reference Standards'!$F$14,E285*'Reference Standards'!$G$13+'Reference Standards'!$G$14),2))),IF(OR(B276="C",B276="Cb",B276="E"),IF(E285&lt;2,0,IF(E285&gt;=5,1,ROUND(IF(E285&lt;2.4,E285*'Reference Standards'!$G$8+'Reference Standards'!$G$9,E285*'Reference Standards'!$F$8+'Reference Standards'!$F$9),2)))))))))))</f>
        <v>0.8</v>
      </c>
      <c r="G285" s="435"/>
      <c r="H285" s="437"/>
      <c r="I285" s="439"/>
      <c r="J285" s="429"/>
    </row>
    <row r="286" spans="1:10" s="5" customFormat="1" ht="15.75" x14ac:dyDescent="0.25">
      <c r="A286" s="398" t="s">
        <v>21</v>
      </c>
      <c r="B286" s="440" t="s">
        <v>22</v>
      </c>
      <c r="C286" s="21" t="s">
        <v>103</v>
      </c>
      <c r="D286" s="69"/>
      <c r="E286" s="44"/>
      <c r="F286" s="229" t="str">
        <f>IF(E286="","",IF(E286&gt;=660,1,IF(E286&lt;=430,ROUND('Reference Standards'!$I$4*E286+'Reference Standards'!$I$5,2),ROUND('Reference Standards'!$J$4*E286+'Reference Standards'!$J$5,2))))</f>
        <v/>
      </c>
      <c r="G286" s="423">
        <f>IFERROR(AVERAGE(F286:F287),"")</f>
        <v>0.8</v>
      </c>
      <c r="H286" s="447">
        <f>IFERROR(ROUND(AVERAGE(G286:G299),2),"")</f>
        <v>0.8</v>
      </c>
      <c r="I286" s="449" t="str">
        <f>IF(H286="","",IF(H286&gt;0.69,"Functioning",IF(H286&gt;0.29,"Functioning At Risk",IF(H286&gt;-1,"Not Functioning"))))</f>
        <v>Functioning</v>
      </c>
      <c r="J286" s="429"/>
    </row>
    <row r="287" spans="1:10" s="5" customFormat="1" ht="15.75" x14ac:dyDescent="0.25">
      <c r="A287" s="399"/>
      <c r="B287" s="441"/>
      <c r="C287" s="24" t="s">
        <v>99</v>
      </c>
      <c r="D287" s="70"/>
      <c r="E287" s="50"/>
      <c r="F287" s="98">
        <f>IF(ISNUMBER(E286),"",IF(G276="",0.8,(IF(AND(E287="",G276="Yes"),0.9,(IF(AND(E287="",G276="No"),0.8,IF(E287&gt;=28,1,ROUND(IF(E287&lt;=13,'Reference Standards'!$I$9*E287,'Reference Standards'!$J$9*E287+'Reference Standards'!$J$10),2))))))))</f>
        <v>0.8</v>
      </c>
      <c r="G287" s="426"/>
      <c r="H287" s="447"/>
      <c r="I287" s="449"/>
      <c r="J287" s="429"/>
    </row>
    <row r="288" spans="1:10" s="5" customFormat="1" ht="15.75" x14ac:dyDescent="0.25">
      <c r="A288" s="399"/>
      <c r="B288" s="399" t="s">
        <v>126</v>
      </c>
      <c r="C288" s="19" t="s">
        <v>43</v>
      </c>
      <c r="D288" s="19"/>
      <c r="E288" s="49"/>
      <c r="F288" s="29">
        <f>IF(G276="",0.8,(IF(AND(E288="",G276="Yes"),0.9,(IF(AND(E288="",G276="No"),0.8,IF(OR(E288="Ex/Ex",E288="Ex/VH",E288="Ex/H",E288="Ex/M",E288="VH/Ex",E288="VH/VH", E288="H/Ex",E288="H/VH"),0, IF(OR(E288="M/Ex"),0.1,IF(OR(E288="VH/H",E288="VH/M",E288="H/H",E288="H/M", E288="M/VH"),0.2, IF(OR(E288="Ex/VL",E288="Ex/L", E288="M/H"),0.3, IF(OR(E288="VH/L",E288="H/L"),0.4, IF(OR(E288="VH/VL",E288="H/VL",E288="M/M"),0.5, IF(OR(E288="M/L",E288="L/Ex"),0.6, IF(OR(E288="M/VL",E288="L/VH", E288="L/H",E288="L/M",E288="L/L",E288="L/VL",LEFT(E288)="V"),1)))))))))))))</f>
        <v>0.8</v>
      </c>
      <c r="G288" s="423">
        <f>IFERROR(AVERAGE(F288:F290),"")</f>
        <v>0.80000000000000016</v>
      </c>
      <c r="H288" s="448"/>
      <c r="I288" s="449"/>
      <c r="J288" s="429"/>
    </row>
    <row r="289" spans="1:10" s="5" customFormat="1" ht="15.75" x14ac:dyDescent="0.25">
      <c r="A289" s="399"/>
      <c r="B289" s="399"/>
      <c r="C289" s="20" t="s">
        <v>57</v>
      </c>
      <c r="D289" s="173"/>
      <c r="E289" s="243"/>
      <c r="F289" s="29">
        <f>IF(G276="",0.8,(IF(AND(E289="",G276="Yes"),0.9,(IF(AND(E289="",G276="No"),0.8,ROUND(IF(E289&gt;=75,0,IF(E289&lt;=5,1,IF(E289&gt;10,E289*'Reference Standards'!$I$14+'Reference Standards'!$I$15,'Reference Standards'!$J$14*E289+'Reference Standards'!$J$15))),2))))))</f>
        <v>0.8</v>
      </c>
      <c r="G289" s="424"/>
      <c r="H289" s="448"/>
      <c r="I289" s="449"/>
      <c r="J289" s="429"/>
    </row>
    <row r="290" spans="1:10" s="5" customFormat="1" ht="15.75" x14ac:dyDescent="0.25">
      <c r="A290" s="399"/>
      <c r="B290" s="400"/>
      <c r="C290" s="20" t="s">
        <v>125</v>
      </c>
      <c r="D290" s="20"/>
      <c r="E290" s="50"/>
      <c r="F290" s="98">
        <f>IF(G276="",0.8,(IF(AND(E290="",G276="Yes"),0.9,(IF(AND(E290="",G276="No"),0.8,IF(E290&gt;=50,0,ROUND(E290*'Reference Standards'!$I$18+'Reference Standards'!$I$19,2)))))))</f>
        <v>0.8</v>
      </c>
      <c r="G290" s="426"/>
      <c r="H290" s="448"/>
      <c r="I290" s="449"/>
      <c r="J290" s="429"/>
    </row>
    <row r="291" spans="1:10" s="5" customFormat="1" ht="15.75" x14ac:dyDescent="0.25">
      <c r="A291" s="399"/>
      <c r="B291" s="18" t="s">
        <v>70</v>
      </c>
      <c r="C291" s="26" t="s">
        <v>80</v>
      </c>
      <c r="D291" s="68"/>
      <c r="E291" s="50"/>
      <c r="F291" s="27" t="str">
        <f>IF(E291="","",IF(E291&gt;=50,0,ROUND(E291*'Reference Standards'!$I$22+'Reference Standards'!$I$23,2)))</f>
        <v/>
      </c>
      <c r="G291" s="27" t="str">
        <f>IFERROR(AVERAGE(F291),"")</f>
        <v/>
      </c>
      <c r="H291" s="448"/>
      <c r="I291" s="449"/>
      <c r="J291" s="429"/>
    </row>
    <row r="292" spans="1:10" s="5" customFormat="1" ht="15.75" x14ac:dyDescent="0.25">
      <c r="A292" s="399"/>
      <c r="B292" s="398" t="s">
        <v>45</v>
      </c>
      <c r="C292" s="25" t="s">
        <v>46</v>
      </c>
      <c r="D292" s="25"/>
      <c r="E292" s="53"/>
      <c r="F292" s="230">
        <f>IF(G276="",0.8,(IF(AND(E292="",G276="Yes"),0.9,(IF(AND(E292="",G276="No"),0.8,ROUND( IF(OR(LEFT(B276)="C",B276="E"), IF(OR(E292&lt;=1,E292&gt;=9),0,IF(AND(E292&gt;=3.5,E292&lt;=6),1,IF(E292&lt;3.5, E292*'Reference Standards'!$I$37+'Reference Standards'!$I$38, E292*'Reference Standards'!$J$37+'Reference Standards'!$J$38))),   IF(OR(B276="A",(B276)="B", (B276)="Ba"), IF(E292&gt;=6.5,0, IF(E292&lt;=4, 1, E292^2*'Reference Standards'!$I$26+E292*'Reference Standards'!$I$27+'Reference Standards'!$I$28)), IF(B276="Bc",  IF(E292&gt;=8,0, IF(E292&lt;=5, 1, E292^2*'Reference Standards'!$I$31+E292*'Reference Standards'!$I$32+'Reference Standards'!$I$33))))),2))))))</f>
        <v>0.8</v>
      </c>
      <c r="G292" s="430">
        <f>IFERROR(AVERAGE(F292:F295),"")</f>
        <v>0.80000000000000016</v>
      </c>
      <c r="H292" s="448"/>
      <c r="I292" s="449"/>
      <c r="J292" s="429"/>
    </row>
    <row r="293" spans="1:10" s="5" customFormat="1" ht="15.75" x14ac:dyDescent="0.25">
      <c r="A293" s="399"/>
      <c r="B293" s="399"/>
      <c r="C293" s="19" t="s">
        <v>47</v>
      </c>
      <c r="D293" s="19"/>
      <c r="E293" s="52"/>
      <c r="F293" s="29">
        <f>IF(G276="",0.8,(IF(AND(E293="",G276="Yes"),0.9,(IF(AND(E293="",G276="No"),0.8,ROUND(  IF(E293&lt;=1.1,0, IF(E293&gt;=3,1, IF(E293&lt;2, E293^2*'Reference Standards'!$I$42+  E293*'Reference Standards'!$I$43 + 'Reference Standards'!$I$44,      E293*'Reference Standards'!$J$43+'Reference Standards'!$J$44))),2))))))</f>
        <v>0.8</v>
      </c>
      <c r="G293" s="425"/>
      <c r="H293" s="448"/>
      <c r="I293" s="449"/>
      <c r="J293" s="429"/>
    </row>
    <row r="294" spans="1:10" s="5" customFormat="1" ht="15.75" x14ac:dyDescent="0.25">
      <c r="A294" s="399"/>
      <c r="B294" s="399"/>
      <c r="C294" s="19" t="s">
        <v>104</v>
      </c>
      <c r="D294" s="19"/>
      <c r="E294" s="52"/>
      <c r="F294" s="269">
        <f>IF(G276="",0.8,(IF(AND(E294="",G276="Yes"),0.9,(IF(AND(E294="",G276="No"),0.8,IF(OR(B276="A",LEFT(B276,1)="B"),IF(OR(E294&lt;=20,E294&gt;=90),0,IF(AND(E294&gt;=50,E294&lt;=60),1,IF(E294&lt;50,ROUND(E294*'Reference Standards'!$I$48+'Reference Standards'!$I$49,2),ROUND(E294*'Reference Standards'!$J$48+'Reference Standards'!$J$49,2)))),IF(OR(LEFT(B276)="C",B276="E"),IF(OR(E294&lt;=20,E294&gt;=85),0,IF(AND(E294&lt;=65,E294&gt;=45),1,IF(E294&lt;45,ROUND(E294*'Reference Standards'!$I$53+'Reference Standards'!$I$54,2),ROUND(E294*'Reference Standards'!$J$53+'Reference Standards'!$J$54,2)))))))))))</f>
        <v>0.8</v>
      </c>
      <c r="G294" s="425"/>
      <c r="H294" s="448"/>
      <c r="I294" s="449"/>
      <c r="J294" s="429"/>
    </row>
    <row r="295" spans="1:10" s="5" customFormat="1" ht="15.75" x14ac:dyDescent="0.25">
      <c r="A295" s="399"/>
      <c r="B295" s="400"/>
      <c r="C295" s="23" t="s">
        <v>88</v>
      </c>
      <c r="D295" s="19"/>
      <c r="E295" s="54"/>
      <c r="F295" s="270" t="str">
        <f>IF(E295="","",IF(E295&gt;=1.6,0,IF(E295&lt;=1,1,ROUND('Reference Standards'!$I$57*E295^3+'Reference Standards'!$I$58*E295^2+'Reference Standards'!$I$59*E295+'Reference Standards'!$I$60,2))))</f>
        <v/>
      </c>
      <c r="G295" s="431"/>
      <c r="H295" s="448"/>
      <c r="I295" s="449"/>
      <c r="J295" s="429"/>
    </row>
    <row r="296" spans="1:10" s="5" customFormat="1" ht="15.75" x14ac:dyDescent="0.25">
      <c r="A296" s="399"/>
      <c r="B296" s="398" t="s">
        <v>44</v>
      </c>
      <c r="C296" s="21" t="s">
        <v>182</v>
      </c>
      <c r="D296" s="69"/>
      <c r="E296" s="22"/>
      <c r="F296" s="97">
        <f>IF(G276="",0.8,(IF(AND(E296="",G276="Yes"),0.9,(IF(AND(E296="",G276="No"),0.8,IF(G275="Unconfined Alluvial",IF(E296&gt;=100,1,IF(E296&lt;30,0,ROUND('Reference Standards'!$I$64*E296+'Reference Standards'!$I$65,2))),IF(OR(G275="Confined Alluvial",G275="Colluvial/V-Shaped"),(IF(E296&gt;=100,1,IF(E296&lt;60,0,ROUND('Reference Standards'!$J$64*E296+'Reference Standards'!$J$65,2)))))))))))</f>
        <v>0.8</v>
      </c>
      <c r="G296" s="423">
        <f>IFERROR(AVERAGE(F296:F299),"")</f>
        <v>0.80000000000000016</v>
      </c>
      <c r="H296" s="448"/>
      <c r="I296" s="449"/>
      <c r="J296" s="429"/>
    </row>
    <row r="297" spans="1:10" s="5" customFormat="1" ht="15.75" x14ac:dyDescent="0.25">
      <c r="A297" s="399"/>
      <c r="B297" s="399"/>
      <c r="C297" s="23" t="s">
        <v>183</v>
      </c>
      <c r="D297" s="173"/>
      <c r="E297" s="244"/>
      <c r="F297" s="29">
        <f>IF(G276="",0.8,(IF(AND(E297="",G276="Yes"),0.9,(IF(AND(E297="",G276="No"),0.8,IF(B277="Yes",IF(E297&lt;=50,0,IF(E297&gt;=80,1,ROUND('Reference Standards'!$I$69*E297+'Reference Standards'!$I$70,2))),IF(B277="No",IF(E297&gt;=80,0,IF(E297&lt;=50,1,ROUND(E297*'Reference Standards'!$J$69+'Reference Standards'!$J$70,2))))))))))</f>
        <v>0.8</v>
      </c>
      <c r="G297" s="424"/>
      <c r="H297" s="448"/>
      <c r="I297" s="449"/>
      <c r="J297" s="429"/>
    </row>
    <row r="298" spans="1:10" s="5" customFormat="1" ht="15.75" x14ac:dyDescent="0.25">
      <c r="A298" s="399"/>
      <c r="B298" s="399"/>
      <c r="C298" s="23" t="s">
        <v>184</v>
      </c>
      <c r="D298" s="173"/>
      <c r="E298" s="244"/>
      <c r="F298" s="29">
        <f>IF(G276="",0.8,(IF(AND(E298="",G276="Yes"),0.9,(IF(AND(E298="",G276="No"),0.8,IF(E298&lt;=50,0,IF(E298&gt;=80,1, ROUND(E298*'Reference Standards'!$I$73+'Reference Standards'!$I$74,2))))))))</f>
        <v>0.8</v>
      </c>
      <c r="G298" s="425"/>
      <c r="H298" s="448"/>
      <c r="I298" s="449"/>
      <c r="J298" s="429"/>
    </row>
    <row r="299" spans="1:10" s="5" customFormat="1" ht="15.75" x14ac:dyDescent="0.25">
      <c r="A299" s="399"/>
      <c r="B299" s="400"/>
      <c r="C299" s="443" t="s">
        <v>277</v>
      </c>
      <c r="D299" s="444"/>
      <c r="E299" s="16"/>
      <c r="F299" s="98" t="str">
        <f>IF(OR(B277="",B277="No"),"",IF(AND(E299="",B277="Yes",G276="Yes"),0.9,IF(OR(G276="No",G276=""),0.8,IF(E299&lt;=9,0,IF(E299&gt;=14,1,ROUND('Reference Standards'!$I$77*E299+'Reference Standards'!$I$78,2))))))</f>
        <v/>
      </c>
      <c r="G299" s="426"/>
      <c r="H299" s="448"/>
      <c r="I299" s="449"/>
      <c r="J299" s="429"/>
    </row>
    <row r="300" spans="1:10" s="5" customFormat="1" ht="15.75" x14ac:dyDescent="0.25">
      <c r="A300" s="409" t="s">
        <v>49</v>
      </c>
      <c r="B300" s="174" t="s">
        <v>169</v>
      </c>
      <c r="C300" s="175" t="s">
        <v>176</v>
      </c>
      <c r="D300" s="177"/>
      <c r="E300" s="101"/>
      <c r="F300" s="182">
        <f>IF(G276="",0.8,(IF(AND(E300="",G276="Yes"),0.9,IF(E300&gt;=25,0,IF(E300&lt;=10,1,ROUND(IF(E300&gt;18,'Reference Standards'!$L$4*E300+'Reference Standards'!$L$5,IF(E300&lt;12,'Reference Standards'!$N$4*E300+'Reference Standards'!$N$5,'Reference Standards'!$M$4*E300+'Reference Standards'!$M$5)),2))))))</f>
        <v>0.8</v>
      </c>
      <c r="G300" s="180">
        <f>IFERROR(AVERAGE(F300),"")</f>
        <v>0.8</v>
      </c>
      <c r="H300" s="411">
        <f>IFERROR(ROUND(AVERAGE(G300:G302),2),"")</f>
        <v>0.8</v>
      </c>
      <c r="I300" s="415" t="str">
        <f>IF(H300="","",IF(H300&gt;0.69,"Functioning",IF(H300&gt;0.29,"Functioning At Risk",IF(H300&gt;-1,"Not Functioning"))))</f>
        <v>Functioning</v>
      </c>
      <c r="J300" s="429"/>
    </row>
    <row r="301" spans="1:10" s="5" customFormat="1" ht="15.75" x14ac:dyDescent="0.25">
      <c r="A301" s="410"/>
      <c r="B301" s="176" t="s">
        <v>170</v>
      </c>
      <c r="C301" s="175" t="s">
        <v>177</v>
      </c>
      <c r="D301" s="178"/>
      <c r="E301" s="49"/>
      <c r="F301" s="231">
        <f>IF(G276="",0.8,(IF(AND(E301="",G276="Yes"),0.9,IF(D274="2A",IF(E301&lt;=5.3,0,IF(E301&gt;=8.79,1,ROUND(E301*'Reference Standards'!$L$9+'Reference Standards'!$L$10,2))),IF(D274=7,IF(E301&lt;=0.8,0,IF(E301&gt;=1.25,1,ROUND(E301*'Reference Standards'!$N$9+'Reference Standards'!$N$10,2))),IF(OR(D274="2B", D274="2Bd",D274="2C"),IF(E301&lt;=3.8,0,(IF(E301&gt;=6.3,1,ROUND(E301*'Reference Standards'!$M$9+'Reference Standards'!$M$10,2))))))))))</f>
        <v>0.8</v>
      </c>
      <c r="G301" s="181">
        <f>IFERROR(AVERAGE(F301),"")</f>
        <v>0.8</v>
      </c>
      <c r="H301" s="412"/>
      <c r="I301" s="416"/>
      <c r="J301" s="429"/>
    </row>
    <row r="302" spans="1:10" s="5" customFormat="1" ht="15.75" x14ac:dyDescent="0.25">
      <c r="A302" s="410"/>
      <c r="B302" s="174" t="s">
        <v>172</v>
      </c>
      <c r="C302" s="175" t="s">
        <v>178</v>
      </c>
      <c r="D302" s="179"/>
      <c r="E302" s="101"/>
      <c r="F302" s="182">
        <f>IF(G276="",0.8,(IF(AND(E302="",G276="Yes"),0.9,IF(D274="2A",IF(E302&gt;=12.5,0,IF(E302&lt;=7.5,1,ROUND(E302*'Reference Standards'!$L$15+'Reference Standards'!$L$16,2))),IF(OR(D274="2B",D274="2Bd",D274="2C"),IF(D275="North",IF(E302&gt;=18.8,0,IF(E302&lt;=11.3,1,ROUND(E302*'Reference Standards'!$M$15+'Reference Standards'!$M$16,2))),IF(D275="Central",(IF(E302&gt;=37.5,0,IF(E302&lt;=22.5,1,ROUND(E302*'Reference Standards'!$N$15+'Reference Standards'!$N$16,2)))),IF(E302&gt;=81.2,0,(IF(E302&lt;=48.7,1,ROUND(E302*'Reference Standards'!$O$15+'Reference Standards'!$O$16,2)))))))))))</f>
        <v>0.8</v>
      </c>
      <c r="G302" s="182">
        <f>IFERROR(AVERAGE(F302),"")</f>
        <v>0.8</v>
      </c>
      <c r="H302" s="412"/>
      <c r="I302" s="416"/>
      <c r="J302" s="429"/>
    </row>
    <row r="303" spans="1:10" s="5" customFormat="1" ht="15.75" x14ac:dyDescent="0.25">
      <c r="A303" s="445" t="s">
        <v>50</v>
      </c>
      <c r="B303" s="236" t="s">
        <v>105</v>
      </c>
      <c r="C303" s="40" t="s">
        <v>179</v>
      </c>
      <c r="D303" s="41"/>
      <c r="E303" s="44"/>
      <c r="F303" s="99">
        <f>IF(G276="",0.8,(IF(AND(E302="",G276="Yes"),0.9,IF(D277="Northern Forest Rivers",IF(E303&lt;=38.2,0,IF(E303&gt;=77,1,ROUND(IF(E303&lt;49, 'Reference Standards'!$Q$5*E303+'Reference Standards'!$Q$6, IF(E303&lt;59.8, 'Reference Standards'!$R$5*E303+'Reference Standards'!$R$6, 'Reference Standards'!$S$5*E303+'Reference Standards'!$S$6)),2))),   IF(D277="Northern Forest Streams Riffle-run",IF(E303&lt;40.4,0,IF(E303&gt;=82,1,ROUND(IF(E303&lt;53, 'Reference Standards'!$T$5*E303+'Reference Standards'!$T$6, IF(E303&lt;59.8, 'Reference Standards'!$U$5*E303+'Reference Standards'!$U$6, 'Reference Standards'!$V$5*E303+'Reference Standards'!$V$6) ),2))), IF(D277="Northern Forest Streams Glide-pool",IF(E303&lt;=37,0,IF(E303&gt;=76,1,ROUND(IF(E303&lt;51, 'Reference Standards'!$W$5*E303+'Reference Standards'!$W$6, IF(E303&lt;65.6, 'Reference Standards'!$X$5*E303+'Reference Standards'!$X$6, 'Reference Standards'!$Y$5*E303+'Reference Standards'!$Y$6) ),2))), IF(D277="Northern Coldwater",IF(E303&lt;19.6,0,IF(E303&gt;=52,1,ROUND(IF(E303&lt;32, 'Reference Standards'!$Z$5*E303+'Reference Standards'!$Z$6, IF(E303&lt;44.4,'Reference Standards'!$AA$5*E303+'Reference Standards'!$AA$6, 'Reference Standards'!$AB$5*E303+'Reference Standards'!$AB$6) ),2))), IF(D277="Southern Forest Streams Riffle-run", IF(E303&lt;24,0,IF(E303&gt;=62,1,ROUND(IF(E303&lt;37, 'Reference Standards'!$Q$11*E303+'Reference Standards'!$Q$12, IF(E303&lt;49.6,'Reference Standards'!$R$11*E303+'Reference Standards'!$R$12,'Reference Standards'!$S$11*E303+'Reference Standards'!$S$12)),2))), IF(D277="Southern Forest Streams Glide-pool", IF(E303&lt;29.4,0,IF(E303&gt;=65,1,ROUND(IF(E303&lt;43,'Reference Standards'!$T$11*E303+'Reference Standards'!$T$12, IF(E303&lt;56.6, 'Reference Standards'!$U$11*E303+'Reference Standards'!$U$12,'Reference Standards'!$V$11*E303+'Reference Standards'!$V$12)),2))), IF(D277="Southern Coldwater", IF(E303&lt;29.2,0,IF(E303&gt;=72,1,ROUND(IF(E303&lt;43, 'Reference Standards'!$W$11*E303+'Reference Standards'!$W$12, IF(E303&lt;56.8,'Reference Standards'!$X$11*E303+'Reference Standards'!$X$12, 'Reference Standards'!$Y$11*E303+'Reference Standards'!$Y$12)),2))), IF(D277="Prairie Forest Rivers", IF(E303&lt;20.2,0,IF(E303&gt;=62,1,ROUND(IF(E303&lt;31,'Reference Standards'!$Q$17*E303+'Reference Standards'!$Q$18, IF(E303&lt;41.8,'Reference Standards'!$R$17*E303+'Reference Standards'!$R$18,'Reference Standards'!$S$17*E303+'Reference Standards'!$S$18)),2))), IF(D277="Prairie Streams Glide-Pool", IF(E303&lt;27.4,0,IF(E303&gt;=69,1,ROUND(IF(E303&lt;41,'Reference Standards'!$T$17*E303+'Reference Standards'!$T$18, IF(E303&lt;54.6,'Reference Standards'!$U$17*E303+'Reference Standards'!$U$18, 'Reference Standards'!$V$17*E303+'Reference Standards'!$V$18)),2))) ))))))))))))</f>
        <v>0.8</v>
      </c>
      <c r="G303" s="237">
        <f>IFERROR(AVERAGE(F303),"")</f>
        <v>0.8</v>
      </c>
      <c r="H303" s="450">
        <f>IFERROR(ROUND(AVERAGE(G303:G304),2),"")</f>
        <v>0.8</v>
      </c>
      <c r="I303" s="414" t="str">
        <f>IF(H303="","",IF(H303&gt;0.69,"Functioning",IF(H303&gt;0.29,"Functioning At Risk",IF(H303&gt;-1,"Not Functioning"))))</f>
        <v>Functioning</v>
      </c>
      <c r="J303" s="429"/>
    </row>
    <row r="304" spans="1:10" s="5" customFormat="1" ht="15.75" x14ac:dyDescent="0.25">
      <c r="A304" s="446"/>
      <c r="B304" s="238" t="s">
        <v>54</v>
      </c>
      <c r="C304" s="183" t="s">
        <v>180</v>
      </c>
      <c r="D304" s="184"/>
      <c r="E304" s="101"/>
      <c r="F304" s="99">
        <f>IF(G276="",0.8,(IF(AND(E304="",G276="Yes"),0.9,IF(G274="Northern Rivers",IF(E304&lt;29,0,IF(E304&gt;=66,1,ROUND(IF(E304&lt;38, 'Reference Standards'!$Q$23*E304+'Reference Standards'!$Q$24, IF(E304&lt;47, 'Reference Standards'!$R$23*E304+'Reference Standards'!$R$24, 'Reference Standards'!$S$23*E304+'Reference Standards'!$S$24)),2))),   IF(G274="Northern Streams",IF(E304&lt;35,0,IF(E304&gt;=61,1,ROUND(IF(E304&lt;47, 'Reference Standards'!$T$23*E304+'Reference Standards'!$T$24, IF(E304&lt;56, 'Reference Standards'!$U$23*E304+'Reference Standards'!$U$24, 'Reference Standards'!$V$23*E304+'Reference Standards'!$V$24) ),2))), IF(G274="Northern Headwaters",IF(E304&lt;23,0,IF(E304&gt;=68,1,ROUND(IF(E304&lt;42, 'Reference Standards'!$W$23*E304+'Reference Standards'!$W$24, IF(E304&lt;56, 'Reference Standards'!$X$23*E304+'Reference Standards'!$X$24, 'Reference Standards'!$Y$23*E304+'Reference Standards'!$Y$24) ),2))), IF(G274="Northern Coldwater",IF(E304&lt;25,0,IF(E304&gt;=60,1,ROUND(IF(E304&lt;35, 'Reference Standards'!$Z$23*E304+'Reference Standards'!$Z$24, IF(E304&lt;45, 'Reference Standards'!$AA$23*E304+'Reference Standards'!$AA$24, 'Reference Standards'!$AB$23*E304+'Reference Standards'!$AB$24) ),2))), IF(G274="Southern River", IF(E304&lt;38,0,IF(E304&gt;=71,1,ROUND(IF(E304&lt;49, 'Reference Standards'!$Q$29*E304+'Reference Standards'!$Q$30, IF(E304&lt;60,'Reference Standards'!$R$29*E304+'Reference Standards'!$R$30, 'Reference Standards'!$S$29*E304+'Reference Standards'!$S$30)),2))), IF(G274="Southern Streams", IF(E304&lt;35,0,IF(E304&gt;=66,1,ROUND(IF(E304&lt;50,'Reference Standards'!$T$29*E304+'Reference Standards'!$T$30, IF(E304&lt;59, 'Reference Standards'!$U$29*E304+'Reference Standards'!$U$30, 'Reference Standards'!$V$29*E304+'Reference Standards'!$V$30)),2))), IF(G274="Southern Headwaters", IF(E304&lt;33,0,IF(E304&gt;=74,1,ROUND(IF(E304&lt;55, 'Reference Standards'!$W$29*E304+'Reference Standards'!$W$30, IF(E304&lt;62, 'Reference Standards'!$X$29*E304+'Reference Standards'!$X$30, 'Reference Standards'!$Y$29*E304+'Reference Standards'!$Y$30)),2))), IF(G274="Southern Coldwater", IF(E304&lt;37,0,IF(E304&gt;=82,1,ROUND(IF(E304&lt;50, 'Reference Standards'!$Z$29*E304+'Reference Standards'!$Z$30, IF(E304&lt;63,'Reference Standards'!$AA$29*E304+'Reference Standards'!$AA$30,'Reference Standards'!$AB$29*E304+'Reference Standards'!$AB$30)),2))), IF(G274="Low Gradient", IF(E304&lt;15,0,IF(E304&gt;=70,1,ROUND(IF(E304&lt;42, 'Reference Standards'!$Q$34*E304+'Reference Standards'!$Q$35, IF(E304&lt;52, 'Reference Standards'!$R$34*E304+'Reference Standards'!$R$35, 'Reference Standards'!$S$34*E304+'Reference Standards'!$S$35)),2))) ))))))))))))</f>
        <v>0.8</v>
      </c>
      <c r="G304" s="237">
        <f>IFERROR(AVERAGE(F304),"")</f>
        <v>0.8</v>
      </c>
      <c r="H304" s="450"/>
      <c r="I304" s="414"/>
      <c r="J304" s="429"/>
    </row>
    <row r="305" spans="1:11" s="5" customFormat="1" ht="6.6" customHeight="1" x14ac:dyDescent="0.25">
      <c r="I305" s="102"/>
      <c r="J305" s="4"/>
      <c r="K305" s="11"/>
    </row>
    <row r="306" spans="1:11" s="5" customFormat="1" ht="6.6" customHeight="1" x14ac:dyDescent="0.25">
      <c r="I306" s="102"/>
      <c r="K306" s="11"/>
    </row>
    <row r="307" spans="1:11" s="5" customFormat="1" ht="21" customHeight="1" x14ac:dyDescent="0.25">
      <c r="A307" s="406" t="s">
        <v>310</v>
      </c>
      <c r="B307" s="407"/>
      <c r="C307" s="407"/>
      <c r="D307" s="407"/>
      <c r="E307" s="407"/>
      <c r="F307" s="407"/>
      <c r="G307" s="407"/>
      <c r="H307" s="407"/>
      <c r="I307" s="407"/>
      <c r="J307" s="408"/>
    </row>
    <row r="308" spans="1:11" s="5" customFormat="1" ht="16.149999999999999" customHeight="1" x14ac:dyDescent="0.25">
      <c r="A308" s="122" t="s">
        <v>68</v>
      </c>
      <c r="B308" s="101"/>
      <c r="C308" s="122" t="s">
        <v>195</v>
      </c>
      <c r="D308" s="48"/>
      <c r="E308" s="165" t="s">
        <v>226</v>
      </c>
      <c r="F308" s="166"/>
      <c r="G308" s="48"/>
      <c r="H308" s="404" t="s">
        <v>137</v>
      </c>
      <c r="I308" s="405"/>
      <c r="J308" s="101"/>
    </row>
    <row r="309" spans="1:11" s="5" customFormat="1" ht="16.149999999999999" customHeight="1" x14ac:dyDescent="0.25">
      <c r="A309" s="122" t="s">
        <v>69</v>
      </c>
      <c r="B309" s="48"/>
      <c r="C309" s="122" t="s">
        <v>205</v>
      </c>
      <c r="D309" s="48"/>
      <c r="E309" s="413" t="s">
        <v>92</v>
      </c>
      <c r="F309" s="413"/>
      <c r="G309" s="48"/>
      <c r="H309" s="404" t="s">
        <v>138</v>
      </c>
      <c r="I309" s="405"/>
      <c r="J309" s="101"/>
    </row>
    <row r="310" spans="1:11" s="5" customFormat="1" ht="16.149999999999999" customHeight="1" x14ac:dyDescent="0.25">
      <c r="A310" s="122" t="s">
        <v>136</v>
      </c>
      <c r="B310" s="48"/>
      <c r="C310" s="122" t="s">
        <v>206</v>
      </c>
      <c r="D310" s="48"/>
      <c r="E310" s="413" t="s">
        <v>267</v>
      </c>
      <c r="F310" s="413"/>
      <c r="G310" s="48"/>
      <c r="H310" s="404" t="s">
        <v>139</v>
      </c>
      <c r="I310" s="405"/>
      <c r="J310" s="101"/>
    </row>
    <row r="311" spans="1:11" s="5" customFormat="1" ht="16.149999999999999" customHeight="1" x14ac:dyDescent="0.25">
      <c r="A311" s="106" t="s">
        <v>261</v>
      </c>
      <c r="B311" s="48"/>
      <c r="C311" s="122" t="s">
        <v>207</v>
      </c>
      <c r="D311" s="48"/>
      <c r="E311" s="225" t="s">
        <v>260</v>
      </c>
      <c r="F311" s="226"/>
      <c r="G311" s="48"/>
      <c r="H311" s="404" t="s">
        <v>140</v>
      </c>
      <c r="I311" s="405"/>
      <c r="J311" s="101"/>
    </row>
    <row r="312" spans="1:11" s="5" customFormat="1" ht="6" customHeight="1" x14ac:dyDescent="0.25">
      <c r="A312" s="1"/>
      <c r="B312" s="4"/>
      <c r="C312" s="4"/>
      <c r="D312" s="4"/>
      <c r="E312" s="4"/>
      <c r="F312" s="4"/>
      <c r="G312" s="4"/>
      <c r="H312" s="12"/>
      <c r="I312" s="104"/>
      <c r="J312" s="12"/>
    </row>
    <row r="313" spans="1:11" s="5" customFormat="1" ht="21" x14ac:dyDescent="0.35">
      <c r="A313" s="417" t="s">
        <v>48</v>
      </c>
      <c r="B313" s="418"/>
      <c r="C313" s="418"/>
      <c r="D313" s="418"/>
      <c r="E313" s="418"/>
      <c r="F313" s="419"/>
      <c r="G313" s="420" t="s">
        <v>14</v>
      </c>
      <c r="H313" s="420"/>
      <c r="I313" s="420"/>
      <c r="J313" s="420"/>
    </row>
    <row r="314" spans="1:11" s="5" customFormat="1" ht="15.75" x14ac:dyDescent="0.25">
      <c r="A314" s="46" t="s">
        <v>1</v>
      </c>
      <c r="B314" s="46" t="s">
        <v>2</v>
      </c>
      <c r="C314" s="421" t="s">
        <v>3</v>
      </c>
      <c r="D314" s="422"/>
      <c r="E314" s="46" t="s">
        <v>12</v>
      </c>
      <c r="F314" s="45" t="s">
        <v>13</v>
      </c>
      <c r="G314" s="46" t="s">
        <v>15</v>
      </c>
      <c r="H314" s="46" t="s">
        <v>16</v>
      </c>
      <c r="I314" s="105" t="s">
        <v>16</v>
      </c>
      <c r="J314" s="46" t="s">
        <v>110</v>
      </c>
    </row>
    <row r="315" spans="1:11" s="5" customFormat="1" ht="15.75" x14ac:dyDescent="0.25">
      <c r="A315" s="427" t="s">
        <v>51</v>
      </c>
      <c r="B315" s="427" t="s">
        <v>78</v>
      </c>
      <c r="C315" s="167" t="s">
        <v>162</v>
      </c>
      <c r="D315" s="169"/>
      <c r="E315" s="44"/>
      <c r="F315" s="28">
        <f>IF(G311="Yes","",(IF(G310="",0.8,(IF(AND(E315="",G310="Yes"),0.9,(IF(AND(E315="",G310="No"),0.8,IF(E315&gt;=80,0,IF(E315&lt;=40,1,IF(E315&gt;=68,ROUND(E315*'Reference Standards'!$B$4+'Reference Standards'!$B$5,2),ROUND(E315*'Reference Standards'!$C$4+'Reference Standards'!$C$5,2)))))))))))</f>
        <v>0.8</v>
      </c>
      <c r="G315" s="401">
        <f>IFERROR(AVERAGE(F315:F317),"")</f>
        <v>0.8</v>
      </c>
      <c r="H315" s="401">
        <f>IFERROR(ROUND(AVERAGE(G315:G317),2),"")</f>
        <v>0.8</v>
      </c>
      <c r="I315" s="414" t="str">
        <f>IF(H315="","",IF(H315&gt;0.69,"Functioning",IF(H315&gt;0.29,"Functioning At Risk",IF(H315&gt;-1,"Not Functioning"))))</f>
        <v>Functioning</v>
      </c>
      <c r="J315" s="429">
        <f>IF(AND(H315="",H318="",H320="",H334="",H337=""),"",ROUND((IF(H315="",0,H315)*0.2)+(IF(H318="",0,H318)*0.2)+(IF(H320="",0,H320)*0.2)+(IF(H334="",0,H334)*0.2)+(IF(H337="",0,H337)*0.2),2))</f>
        <v>0.8</v>
      </c>
    </row>
    <row r="316" spans="1:11" s="5" customFormat="1" ht="15.75" x14ac:dyDescent="0.25">
      <c r="A316" s="428"/>
      <c r="B316" s="428"/>
      <c r="C316" s="168" t="s">
        <v>164</v>
      </c>
      <c r="D316" s="170"/>
      <c r="E316" s="49"/>
      <c r="F316" s="228" t="str">
        <f>IF(G311="No","",IF(E316="","",  IF(E316&gt;0.95,0,IF(E316&lt;=0.02,1,ROUND(IF(E316&gt;0.26,'Reference Standards'!$B$10*E316+'Reference Standards'!$B$11, IF(E316&lt;0.05, 'Reference Standards'!$D$10*E316+'Reference Standards'!$D$11, 'Reference Standards'!$C$10*E316+'Reference Standards'!$C$11)),2))) ))</f>
        <v/>
      </c>
      <c r="G316" s="402"/>
      <c r="H316" s="402"/>
      <c r="I316" s="414"/>
      <c r="J316" s="429"/>
    </row>
    <row r="317" spans="1:11" s="5" customFormat="1" ht="15.75" x14ac:dyDescent="0.25">
      <c r="A317" s="428"/>
      <c r="B317" s="442"/>
      <c r="C317" s="171" t="s">
        <v>166</v>
      </c>
      <c r="D317" s="172"/>
      <c r="E317" s="49"/>
      <c r="F317" s="227">
        <f>IF(G311="Yes","",(IF(G310="",0.8,(IF(AND(E317="",G310="Yes"),0.9,(IF(AND(E317="",G310="No"),0.8,IF(E317&gt;3.22,0,IF(E317&lt;0,"",ROUND('Reference Standards'!$B$15*E317+'Reference Standards'!$B$16,2))))))))))</f>
        <v>0.8</v>
      </c>
      <c r="G317" s="403"/>
      <c r="H317" s="403"/>
      <c r="I317" s="414"/>
      <c r="J317" s="429"/>
    </row>
    <row r="318" spans="1:11" s="5" customFormat="1" ht="15.75" x14ac:dyDescent="0.25">
      <c r="A318" s="432" t="s">
        <v>4</v>
      </c>
      <c r="B318" s="434" t="s">
        <v>5</v>
      </c>
      <c r="C318" s="17" t="s">
        <v>6</v>
      </c>
      <c r="D318" s="17"/>
      <c r="E318" s="44"/>
      <c r="F318" s="96">
        <f>IF(G310="",0.8,(IF(AND(E318="",G310="Yes"),0.9,(IF(AND(E318="",G310="No"),0.8,ROUND(IF(E318&gt;1.6,0,IF(E318&lt;=1,1,E318^2*'Reference Standards'!$F$2+E318*'Reference Standards'!$F$3+'Reference Standards'!$F$4)),2))))))</f>
        <v>0.8</v>
      </c>
      <c r="G318" s="435">
        <f>IFERROR(AVERAGE(F318:F319),"")</f>
        <v>0.8</v>
      </c>
      <c r="H318" s="436">
        <f>IFERROR(ROUND(AVERAGE(G318),2),"")</f>
        <v>0.8</v>
      </c>
      <c r="I318" s="438" t="str">
        <f>IF(H318="","",IF(H318&gt;0.69,"Functioning",IF(H318&gt;0.29,"Functioning At Risk",IF(H318&gt;-1,"Not Functioning"))))</f>
        <v>Functioning</v>
      </c>
      <c r="J318" s="429"/>
    </row>
    <row r="319" spans="1:11" s="5" customFormat="1" ht="15.75" x14ac:dyDescent="0.25">
      <c r="A319" s="433"/>
      <c r="B319" s="434"/>
      <c r="C319" s="17" t="s">
        <v>7</v>
      </c>
      <c r="D319" s="17"/>
      <c r="E319" s="50"/>
      <c r="F319" s="96">
        <f>IF(G310="",0.8,(IF(AND(E319="",G310="Yes"),0.9,(IF(AND(E319="",G310="No"),0.8,(IF(OR(B310="A",B310="B",B310="Bc",B310="Ba"),IF(E319&lt;1.2,0,IF(E319&gt;=2.2,1,ROUND(IF(E319&lt;1.4,E319*'Reference Standards'!$F$13+'Reference Standards'!$F$14,E319*'Reference Standards'!$G$13+'Reference Standards'!$G$14),2))),IF(OR(B310="C",B310="Cb",B310="E"),IF(E319&lt;2,0,IF(E319&gt;=5,1,ROUND(IF(E319&lt;2.4,E319*'Reference Standards'!$G$8+'Reference Standards'!$G$9,E319*'Reference Standards'!$F$8+'Reference Standards'!$F$9),2)))))))))))</f>
        <v>0.8</v>
      </c>
      <c r="G319" s="435"/>
      <c r="H319" s="437"/>
      <c r="I319" s="439"/>
      <c r="J319" s="429"/>
    </row>
    <row r="320" spans="1:11" s="5" customFormat="1" ht="15.75" customHeight="1" x14ac:dyDescent="0.25">
      <c r="A320" s="398" t="s">
        <v>21</v>
      </c>
      <c r="B320" s="440" t="s">
        <v>22</v>
      </c>
      <c r="C320" s="21" t="s">
        <v>103</v>
      </c>
      <c r="D320" s="69"/>
      <c r="E320" s="44"/>
      <c r="F320" s="229" t="str">
        <f>IF(E320="","",IF(E320&gt;=660,1,IF(E320&lt;=430,ROUND('Reference Standards'!$I$4*E320+'Reference Standards'!$I$5,2),ROUND('Reference Standards'!$J$4*E320+'Reference Standards'!$J$5,2))))</f>
        <v/>
      </c>
      <c r="G320" s="423">
        <f>IFERROR(AVERAGE(F320:F321),"")</f>
        <v>0.8</v>
      </c>
      <c r="H320" s="447">
        <f>IFERROR(ROUND(AVERAGE(G320:G333),2),"")</f>
        <v>0.8</v>
      </c>
      <c r="I320" s="449" t="str">
        <f>IF(H320="","",IF(H320&gt;0.69,"Functioning",IF(H320&gt;0.29,"Functioning At Risk",IF(H320&gt;-1,"Not Functioning"))))</f>
        <v>Functioning</v>
      </c>
      <c r="J320" s="429"/>
    </row>
    <row r="321" spans="1:10" s="5" customFormat="1" ht="15.75" x14ac:dyDescent="0.25">
      <c r="A321" s="399"/>
      <c r="B321" s="441"/>
      <c r="C321" s="24" t="s">
        <v>99</v>
      </c>
      <c r="D321" s="70"/>
      <c r="E321" s="50"/>
      <c r="F321" s="98">
        <f>IF(ISNUMBER(E320),"",IF(G310="",0.8,(IF(AND(E321="",G310="Yes"),0.9,(IF(AND(E321="",G310="No"),0.8,IF(E321&gt;=28,1,ROUND(IF(E321&lt;=13,'Reference Standards'!$I$9*E321,'Reference Standards'!$J$9*E321+'Reference Standards'!$J$10),2))))))))</f>
        <v>0.8</v>
      </c>
      <c r="G321" s="426"/>
      <c r="H321" s="447"/>
      <c r="I321" s="449"/>
      <c r="J321" s="429"/>
    </row>
    <row r="322" spans="1:10" s="5" customFormat="1" ht="15.75" x14ac:dyDescent="0.25">
      <c r="A322" s="399"/>
      <c r="B322" s="399" t="s">
        <v>126</v>
      </c>
      <c r="C322" s="19" t="s">
        <v>43</v>
      </c>
      <c r="D322" s="19"/>
      <c r="E322" s="49"/>
      <c r="F322" s="29">
        <f>IF(G310="",0.8,(IF(AND(E322="",G310="Yes"),0.9,(IF(AND(E322="",G310="No"),0.8,IF(OR(E322="Ex/Ex",E322="Ex/VH",E322="Ex/H",E322="Ex/M",E322="VH/Ex",E322="VH/VH", E322="H/Ex",E322="H/VH"),0, IF(OR(E322="M/Ex"),0.1,IF(OR(E322="VH/H",E322="VH/M",E322="H/H",E322="H/M", E322="M/VH"),0.2, IF(OR(E322="Ex/VL",E322="Ex/L", E322="M/H"),0.3, IF(OR(E322="VH/L",E322="H/L"),0.4, IF(OR(E322="VH/VL",E322="H/VL",E322="M/M"),0.5, IF(OR(E322="M/L",E322="L/Ex"),0.6, IF(OR(E322="M/VL",E322="L/VH", E322="L/H",E322="L/M",E322="L/L",E322="L/VL",LEFT(E322)="V"),1)))))))))))))</f>
        <v>0.8</v>
      </c>
      <c r="G322" s="423">
        <f>IFERROR(AVERAGE(F322:F324),"")</f>
        <v>0.80000000000000016</v>
      </c>
      <c r="H322" s="448"/>
      <c r="I322" s="449"/>
      <c r="J322" s="429"/>
    </row>
    <row r="323" spans="1:10" s="5" customFormat="1" ht="15.75" x14ac:dyDescent="0.25">
      <c r="A323" s="399"/>
      <c r="B323" s="399"/>
      <c r="C323" s="20" t="s">
        <v>57</v>
      </c>
      <c r="D323" s="173"/>
      <c r="E323" s="243"/>
      <c r="F323" s="29">
        <f>IF(G310="",0.8,(IF(AND(E323="",G310="Yes"),0.9,(IF(AND(E323="",G310="No"),0.8,ROUND(IF(E323&gt;=75,0,IF(E323&lt;=5,1,IF(E323&gt;10,E323*'Reference Standards'!$I$14+'Reference Standards'!$I$15,'Reference Standards'!$J$14*E323+'Reference Standards'!$J$15))),2))))))</f>
        <v>0.8</v>
      </c>
      <c r="G323" s="424"/>
      <c r="H323" s="448"/>
      <c r="I323" s="449"/>
      <c r="J323" s="429"/>
    </row>
    <row r="324" spans="1:10" s="5" customFormat="1" ht="15.75" x14ac:dyDescent="0.25">
      <c r="A324" s="399"/>
      <c r="B324" s="400"/>
      <c r="C324" s="20" t="s">
        <v>125</v>
      </c>
      <c r="D324" s="20"/>
      <c r="E324" s="50"/>
      <c r="F324" s="98">
        <f>IF(G310="",0.8,(IF(AND(E324="",G310="Yes"),0.9,(IF(AND(E324="",G310="No"),0.8,IF(E324&gt;=50,0,ROUND(E324*'Reference Standards'!$I$18+'Reference Standards'!$I$19,2)))))))</f>
        <v>0.8</v>
      </c>
      <c r="G324" s="426"/>
      <c r="H324" s="448"/>
      <c r="I324" s="449"/>
      <c r="J324" s="429"/>
    </row>
    <row r="325" spans="1:10" s="5" customFormat="1" ht="15.75" x14ac:dyDescent="0.25">
      <c r="A325" s="399"/>
      <c r="B325" s="18" t="s">
        <v>70</v>
      </c>
      <c r="C325" s="26" t="s">
        <v>80</v>
      </c>
      <c r="D325" s="68"/>
      <c r="E325" s="50"/>
      <c r="F325" s="27" t="str">
        <f>IF(E325="","",IF(E325&gt;=50,0,ROUND(E325*'Reference Standards'!$I$22+'Reference Standards'!$I$23,2)))</f>
        <v/>
      </c>
      <c r="G325" s="27" t="str">
        <f>IFERROR(AVERAGE(F325),"")</f>
        <v/>
      </c>
      <c r="H325" s="448"/>
      <c r="I325" s="449"/>
      <c r="J325" s="429"/>
    </row>
    <row r="326" spans="1:10" s="5" customFormat="1" ht="15.75" x14ac:dyDescent="0.25">
      <c r="A326" s="399"/>
      <c r="B326" s="398" t="s">
        <v>45</v>
      </c>
      <c r="C326" s="25" t="s">
        <v>46</v>
      </c>
      <c r="D326" s="25"/>
      <c r="E326" s="53"/>
      <c r="F326" s="230">
        <f>IF(G310="",0.8,(IF(AND(E326="",G310="Yes"),0.9,(IF(AND(E326="",G310="No"),0.8,ROUND( IF(OR(LEFT(B310)="C",B310="E"), IF(OR(E326&lt;=1,E326&gt;=9),0,IF(AND(E326&gt;=3.5,E326&lt;=6),1,IF(E326&lt;3.5, E326*'Reference Standards'!$I$37+'Reference Standards'!$I$38, E326*'Reference Standards'!$J$37+'Reference Standards'!$J$38))),   IF(OR(B310="A",(B310)="B", (B310)="Ba"), IF(E326&gt;=6.5,0, IF(E326&lt;=4, 1, E326^2*'Reference Standards'!$I$26+E326*'Reference Standards'!$I$27+'Reference Standards'!$I$28)), IF(B310="Bc",  IF(E326&gt;=8,0, IF(E326&lt;=5, 1, E326^2*'Reference Standards'!$I$31+E326*'Reference Standards'!$I$32+'Reference Standards'!$I$33))))),2))))))</f>
        <v>0.8</v>
      </c>
      <c r="G326" s="430">
        <f>IFERROR(AVERAGE(F326:F329),"")</f>
        <v>0.80000000000000016</v>
      </c>
      <c r="H326" s="448"/>
      <c r="I326" s="449"/>
      <c r="J326" s="429"/>
    </row>
    <row r="327" spans="1:10" s="5" customFormat="1" ht="15.75" x14ac:dyDescent="0.25">
      <c r="A327" s="399"/>
      <c r="B327" s="399"/>
      <c r="C327" s="19" t="s">
        <v>47</v>
      </c>
      <c r="D327" s="19"/>
      <c r="E327" s="52"/>
      <c r="F327" s="29">
        <f>IF(G310="",0.8,(IF(AND(E327="",G310="Yes"),0.9,(IF(AND(E327="",G310="No"),0.8,ROUND(  IF(E327&lt;=1.1,0, IF(E327&gt;=3,1, IF(E327&lt;2, E327^2*'Reference Standards'!$I$42+  E327*'Reference Standards'!$I$43 + 'Reference Standards'!$I$44,      E327*'Reference Standards'!$J$43+'Reference Standards'!$J$44))),2))))))</f>
        <v>0.8</v>
      </c>
      <c r="G327" s="425"/>
      <c r="H327" s="448"/>
      <c r="I327" s="449"/>
      <c r="J327" s="429"/>
    </row>
    <row r="328" spans="1:10" s="5" customFormat="1" ht="15.75" x14ac:dyDescent="0.25">
      <c r="A328" s="399"/>
      <c r="B328" s="399"/>
      <c r="C328" s="19" t="s">
        <v>104</v>
      </c>
      <c r="D328" s="19"/>
      <c r="E328" s="52"/>
      <c r="F328" s="269">
        <f>IF(G310="",0.8,(IF(AND(E328="",G310="Yes"),0.9,(IF(AND(E328="",G310="No"),0.8,IF(OR(B310="A",LEFT(B310,1)="B"),IF(OR(E328&lt;=20,E328&gt;=90),0,IF(AND(E328&gt;=50,E328&lt;=60),1,IF(E328&lt;50,ROUND(E328*'Reference Standards'!$I$48+'Reference Standards'!$I$49,2),ROUND(E328*'Reference Standards'!$J$48+'Reference Standards'!$J$49,2)))),IF(OR(LEFT(B310)="C",B310="E"),IF(OR(E328&lt;=20,E328&gt;=85),0,IF(AND(E328&lt;=65,E328&gt;=45),1,IF(E328&lt;45,ROUND(E328*'Reference Standards'!$I$53+'Reference Standards'!$I$54,2),ROUND(E328*'Reference Standards'!$J$53+'Reference Standards'!$J$54,2)))))))))))</f>
        <v>0.8</v>
      </c>
      <c r="G328" s="425"/>
      <c r="H328" s="448"/>
      <c r="I328" s="449"/>
      <c r="J328" s="429"/>
    </row>
    <row r="329" spans="1:10" s="5" customFormat="1" ht="15.75" x14ac:dyDescent="0.25">
      <c r="A329" s="399"/>
      <c r="B329" s="400"/>
      <c r="C329" s="23" t="s">
        <v>88</v>
      </c>
      <c r="D329" s="19"/>
      <c r="E329" s="54"/>
      <c r="F329" s="270" t="str">
        <f>IF(E329="","",IF(E329&gt;=1.6,0,IF(E329&lt;=1,1,ROUND('Reference Standards'!$I$57*E329^3+'Reference Standards'!$I$58*E329^2+'Reference Standards'!$I$59*E329+'Reference Standards'!$I$60,2))))</f>
        <v/>
      </c>
      <c r="G329" s="431"/>
      <c r="H329" s="448"/>
      <c r="I329" s="449"/>
      <c r="J329" s="429"/>
    </row>
    <row r="330" spans="1:10" s="5" customFormat="1" ht="15.75" x14ac:dyDescent="0.25">
      <c r="A330" s="399"/>
      <c r="B330" s="398" t="s">
        <v>44</v>
      </c>
      <c r="C330" s="21" t="s">
        <v>182</v>
      </c>
      <c r="D330" s="69"/>
      <c r="E330" s="22"/>
      <c r="F330" s="97">
        <f>IF(G310="",0.8,(IF(AND(E330="",G310="Yes"),0.9,(IF(AND(E330="",G310="No"),0.8,IF(G309="Unconfined Alluvial",IF(E330&gt;=100,1,IF(E330&lt;30,0,ROUND('Reference Standards'!$I$64*E330+'Reference Standards'!$I$65,2))),IF(OR(G309="Confined Alluvial",G309="Colluvial/V-Shaped"),(IF(E330&gt;=100,1,IF(E330&lt;60,0,ROUND('Reference Standards'!$J$64*E330+'Reference Standards'!$J$65,2)))))))))))</f>
        <v>0.8</v>
      </c>
      <c r="G330" s="423">
        <f>IFERROR(AVERAGE(F330:F333),"")</f>
        <v>0.80000000000000016</v>
      </c>
      <c r="H330" s="448"/>
      <c r="I330" s="449"/>
      <c r="J330" s="429"/>
    </row>
    <row r="331" spans="1:10" s="5" customFormat="1" ht="15.75" x14ac:dyDescent="0.25">
      <c r="A331" s="399"/>
      <c r="B331" s="399"/>
      <c r="C331" s="23" t="s">
        <v>183</v>
      </c>
      <c r="D331" s="173"/>
      <c r="E331" s="244"/>
      <c r="F331" s="29">
        <f>IF(G310="",0.8,(IF(AND(E331="",G310="Yes"),0.9,(IF(AND(E331="",G310="No"),0.8,IF(B311="Yes",IF(E331&lt;=50,0,IF(E331&gt;=80,1,ROUND('Reference Standards'!$I$69*E331+'Reference Standards'!$I$70,2))),IF(B311="No",IF(E331&gt;=80,0,IF(E331&lt;=50,1,ROUND(E331*'Reference Standards'!$J$69+'Reference Standards'!$J$70,2))))))))))</f>
        <v>0.8</v>
      </c>
      <c r="G331" s="424"/>
      <c r="H331" s="448"/>
      <c r="I331" s="449"/>
      <c r="J331" s="429"/>
    </row>
    <row r="332" spans="1:10" s="5" customFormat="1" ht="15.75" x14ac:dyDescent="0.25">
      <c r="A332" s="399"/>
      <c r="B332" s="399"/>
      <c r="C332" s="23" t="s">
        <v>184</v>
      </c>
      <c r="D332" s="173"/>
      <c r="E332" s="244"/>
      <c r="F332" s="29">
        <f>IF(G310="",0.8,(IF(AND(E332="",G310="Yes"),0.9,(IF(AND(E332="",G310="No"),0.8,IF(E332&lt;=50,0,IF(E332&gt;=80,1, ROUND(E332*'Reference Standards'!$I$73+'Reference Standards'!$I$74,2))))))))</f>
        <v>0.8</v>
      </c>
      <c r="G332" s="425"/>
      <c r="H332" s="448"/>
      <c r="I332" s="449"/>
      <c r="J332" s="429"/>
    </row>
    <row r="333" spans="1:10" s="5" customFormat="1" ht="15.75" x14ac:dyDescent="0.25">
      <c r="A333" s="399"/>
      <c r="B333" s="400"/>
      <c r="C333" s="443" t="s">
        <v>277</v>
      </c>
      <c r="D333" s="444"/>
      <c r="E333" s="16"/>
      <c r="F333" s="98" t="str">
        <f>IF(OR(B311="",B311="No"),"",IF(AND(E333="",B311="Yes",G310="Yes"),0.9,IF(OR(G310="No",G310=""),0.8,IF(E333&lt;=9,0,IF(E333&gt;=14,1,ROUND('Reference Standards'!$I$77*E333+'Reference Standards'!$I$78,2))))))</f>
        <v/>
      </c>
      <c r="G333" s="426"/>
      <c r="H333" s="448"/>
      <c r="I333" s="449"/>
      <c r="J333" s="429"/>
    </row>
    <row r="334" spans="1:10" s="5" customFormat="1" ht="15.75" x14ac:dyDescent="0.25">
      <c r="A334" s="409" t="s">
        <v>49</v>
      </c>
      <c r="B334" s="174" t="s">
        <v>169</v>
      </c>
      <c r="C334" s="175" t="s">
        <v>176</v>
      </c>
      <c r="D334" s="177"/>
      <c r="E334" s="101"/>
      <c r="F334" s="182">
        <f>IF(G310="",0.8,(IF(AND(E334="",G310="Yes"),0.9,IF(E334&gt;=25,0,IF(E334&lt;=10,1,ROUND(IF(E334&gt;18,'Reference Standards'!$L$4*E334+'Reference Standards'!$L$5,IF(E334&lt;12,'Reference Standards'!$N$4*E334+'Reference Standards'!$N$5,'Reference Standards'!$M$4*E334+'Reference Standards'!$M$5)),2))))))</f>
        <v>0.8</v>
      </c>
      <c r="G334" s="180">
        <f>IFERROR(AVERAGE(F334),"")</f>
        <v>0.8</v>
      </c>
      <c r="H334" s="411">
        <f>IFERROR(ROUND(AVERAGE(G334:G336),2),"")</f>
        <v>0.8</v>
      </c>
      <c r="I334" s="415" t="str">
        <f>IF(H334="","",IF(H334&gt;0.69,"Functioning",IF(H334&gt;0.29,"Functioning At Risk",IF(H334&gt;-1,"Not Functioning"))))</f>
        <v>Functioning</v>
      </c>
      <c r="J334" s="429"/>
    </row>
    <row r="335" spans="1:10" s="5" customFormat="1" ht="15.75" x14ac:dyDescent="0.25">
      <c r="A335" s="410"/>
      <c r="B335" s="176" t="s">
        <v>170</v>
      </c>
      <c r="C335" s="175" t="s">
        <v>177</v>
      </c>
      <c r="D335" s="178"/>
      <c r="E335" s="49"/>
      <c r="F335" s="231">
        <f>IF(G310="",0.8,(IF(AND(E335="",G310="Yes"),0.9,IF(D308="2A",IF(E335&lt;=5.3,0,IF(E335&gt;=8.79,1,ROUND(E335*'Reference Standards'!$L$9+'Reference Standards'!$L$10,2))),IF(D308=7,IF(E335&lt;=0.8,0,IF(E335&gt;=1.25,1,ROUND(E335*'Reference Standards'!$N$9+'Reference Standards'!$N$10,2))),IF(OR(D308="2B", D308="2Bd",D308="2C"),IF(E335&lt;=3.8,0,(IF(E335&gt;=6.3,1,ROUND(E335*'Reference Standards'!$M$9+'Reference Standards'!$M$10,2))))))))))</f>
        <v>0.8</v>
      </c>
      <c r="G335" s="181">
        <f>IFERROR(AVERAGE(F335),"")</f>
        <v>0.8</v>
      </c>
      <c r="H335" s="412"/>
      <c r="I335" s="416"/>
      <c r="J335" s="429"/>
    </row>
    <row r="336" spans="1:10" s="5" customFormat="1" ht="15.75" x14ac:dyDescent="0.25">
      <c r="A336" s="410"/>
      <c r="B336" s="174" t="s">
        <v>172</v>
      </c>
      <c r="C336" s="175" t="s">
        <v>178</v>
      </c>
      <c r="D336" s="179"/>
      <c r="E336" s="101"/>
      <c r="F336" s="182">
        <f>IF(G310="",0.8,(IF(AND(E336="",G310="Yes"),0.9,IF(D308="2A",IF(E336&gt;=12.5,0,IF(E336&lt;=7.5,1,ROUND(E336*'Reference Standards'!$L$15+'Reference Standards'!$L$16,2))),IF(OR(D308="2B",D308="2Bd",D308="2C"),IF(D309="North",IF(E336&gt;=18.8,0,IF(E336&lt;=11.3,1,ROUND(E336*'Reference Standards'!$M$15+'Reference Standards'!$M$16,2))),IF(D309="Central",(IF(E336&gt;=37.5,0,IF(E336&lt;=22.5,1,ROUND(E336*'Reference Standards'!$N$15+'Reference Standards'!$N$16,2)))),IF(E336&gt;=81.2,0,(IF(E336&lt;=48.7,1,ROUND(E336*'Reference Standards'!$O$15+'Reference Standards'!$O$16,2)))))))))))</f>
        <v>0.8</v>
      </c>
      <c r="G336" s="182">
        <f>IFERROR(AVERAGE(F336),"")</f>
        <v>0.8</v>
      </c>
      <c r="H336" s="412"/>
      <c r="I336" s="416"/>
      <c r="J336" s="429"/>
    </row>
    <row r="337" spans="1:10" s="5" customFormat="1" ht="15.75" customHeight="1" x14ac:dyDescent="0.25">
      <c r="A337" s="445" t="s">
        <v>50</v>
      </c>
      <c r="B337" s="236" t="s">
        <v>105</v>
      </c>
      <c r="C337" s="40" t="s">
        <v>179</v>
      </c>
      <c r="D337" s="41"/>
      <c r="E337" s="44"/>
      <c r="F337" s="99">
        <f>IF(G310="",0.8,(IF(AND(E336="",G310="Yes"),0.9,IF(D311="Northern Forest Rivers",IF(E337&lt;=38.2,0,IF(E337&gt;=77,1,ROUND(IF(E337&lt;49, 'Reference Standards'!$Q$5*E337+'Reference Standards'!$Q$6, IF(E337&lt;59.8, 'Reference Standards'!$R$5*E337+'Reference Standards'!$R$6, 'Reference Standards'!$S$5*E337+'Reference Standards'!$S$6)),2))),   IF(D311="Northern Forest Streams Riffle-run",IF(E337&lt;40.4,0,IF(E337&gt;=82,1,ROUND(IF(E337&lt;53, 'Reference Standards'!$T$5*E337+'Reference Standards'!$T$6, IF(E337&lt;59.8, 'Reference Standards'!$U$5*E337+'Reference Standards'!$U$6, 'Reference Standards'!$V$5*E337+'Reference Standards'!$V$6) ),2))), IF(D311="Northern Forest Streams Glide-pool",IF(E337&lt;=37,0,IF(E337&gt;=76,1,ROUND(IF(E337&lt;51, 'Reference Standards'!$W$5*E337+'Reference Standards'!$W$6, IF(E337&lt;65.6, 'Reference Standards'!$X$5*E337+'Reference Standards'!$X$6, 'Reference Standards'!$Y$5*E337+'Reference Standards'!$Y$6) ),2))), IF(D311="Northern Coldwater",IF(E337&lt;19.6,0,IF(E337&gt;=52,1,ROUND(IF(E337&lt;32, 'Reference Standards'!$Z$5*E337+'Reference Standards'!$Z$6, IF(E337&lt;44.4,'Reference Standards'!$AA$5*E337+'Reference Standards'!$AA$6, 'Reference Standards'!$AB$5*E337+'Reference Standards'!$AB$6) ),2))), IF(D311="Southern Forest Streams Riffle-run", IF(E337&lt;24,0,IF(E337&gt;=62,1,ROUND(IF(E337&lt;37, 'Reference Standards'!$Q$11*E337+'Reference Standards'!$Q$12, IF(E337&lt;49.6,'Reference Standards'!$R$11*E337+'Reference Standards'!$R$12,'Reference Standards'!$S$11*E337+'Reference Standards'!$S$12)),2))), IF(D311="Southern Forest Streams Glide-pool", IF(E337&lt;29.4,0,IF(E337&gt;=65,1,ROUND(IF(E337&lt;43,'Reference Standards'!$T$11*E337+'Reference Standards'!$T$12, IF(E337&lt;56.6, 'Reference Standards'!$U$11*E337+'Reference Standards'!$U$12,'Reference Standards'!$V$11*E337+'Reference Standards'!$V$12)),2))), IF(D311="Southern Coldwater", IF(E337&lt;29.2,0,IF(E337&gt;=72,1,ROUND(IF(E337&lt;43, 'Reference Standards'!$W$11*E337+'Reference Standards'!$W$12, IF(E337&lt;56.8,'Reference Standards'!$X$11*E337+'Reference Standards'!$X$12, 'Reference Standards'!$Y$11*E337+'Reference Standards'!$Y$12)),2))), IF(D311="Prairie Forest Rivers", IF(E337&lt;20.2,0,IF(E337&gt;=62,1,ROUND(IF(E337&lt;31,'Reference Standards'!$Q$17*E337+'Reference Standards'!$Q$18, IF(E337&lt;41.8,'Reference Standards'!$R$17*E337+'Reference Standards'!$R$18,'Reference Standards'!$S$17*E337+'Reference Standards'!$S$18)),2))), IF(D311="Prairie Streams Glide-Pool", IF(E337&lt;27.4,0,IF(E337&gt;=69,1,ROUND(IF(E337&lt;41,'Reference Standards'!$T$17*E337+'Reference Standards'!$T$18, IF(E337&lt;54.6,'Reference Standards'!$U$17*E337+'Reference Standards'!$U$18, 'Reference Standards'!$V$17*E337+'Reference Standards'!$V$18)),2))) ))))))))))))</f>
        <v>0.8</v>
      </c>
      <c r="G337" s="237">
        <f>IFERROR(AVERAGE(F337),"")</f>
        <v>0.8</v>
      </c>
      <c r="H337" s="450">
        <f>IFERROR(ROUND(AVERAGE(G337:G338),2),"")</f>
        <v>0.8</v>
      </c>
      <c r="I337" s="414" t="str">
        <f>IF(H337="","",IF(H337&gt;0.69,"Functioning",IF(H337&gt;0.29,"Functioning At Risk",IF(H337&gt;-1,"Not Functioning"))))</f>
        <v>Functioning</v>
      </c>
      <c r="J337" s="429"/>
    </row>
    <row r="338" spans="1:10" s="5" customFormat="1" ht="15.75" x14ac:dyDescent="0.25">
      <c r="A338" s="446"/>
      <c r="B338" s="238" t="s">
        <v>54</v>
      </c>
      <c r="C338" s="183" t="s">
        <v>180</v>
      </c>
      <c r="D338" s="184"/>
      <c r="E338" s="101"/>
      <c r="F338" s="99">
        <f>IF(G310="",0.8,(IF(AND(E338="",G310="Yes"),0.9,IF(G308="Northern Rivers",IF(E338&lt;29,0,IF(E338&gt;=66,1,ROUND(IF(E338&lt;38, 'Reference Standards'!$Q$23*E338+'Reference Standards'!$Q$24, IF(E338&lt;47, 'Reference Standards'!$R$23*E338+'Reference Standards'!$R$24, 'Reference Standards'!$S$23*E338+'Reference Standards'!$S$24)),2))),   IF(G308="Northern Streams",IF(E338&lt;35,0,IF(E338&gt;=61,1,ROUND(IF(E338&lt;47, 'Reference Standards'!$T$23*E338+'Reference Standards'!$T$24, IF(E338&lt;56, 'Reference Standards'!$U$23*E338+'Reference Standards'!$U$24, 'Reference Standards'!$V$23*E338+'Reference Standards'!$V$24) ),2))), IF(G308="Northern Headwaters",IF(E338&lt;23,0,IF(E338&gt;=68,1,ROUND(IF(E338&lt;42, 'Reference Standards'!$W$23*E338+'Reference Standards'!$W$24, IF(E338&lt;56, 'Reference Standards'!$X$23*E338+'Reference Standards'!$X$24, 'Reference Standards'!$Y$23*E338+'Reference Standards'!$Y$24) ),2))), IF(G308="Northern Coldwater",IF(E338&lt;25,0,IF(E338&gt;=60,1,ROUND(IF(E338&lt;35, 'Reference Standards'!$Z$23*E338+'Reference Standards'!$Z$24, IF(E338&lt;45, 'Reference Standards'!$AA$23*E338+'Reference Standards'!$AA$24, 'Reference Standards'!$AB$23*E338+'Reference Standards'!$AB$24) ),2))), IF(G308="Southern River", IF(E338&lt;38,0,IF(E338&gt;=71,1,ROUND(IF(E338&lt;49, 'Reference Standards'!$Q$29*E338+'Reference Standards'!$Q$30, IF(E338&lt;60,'Reference Standards'!$R$29*E338+'Reference Standards'!$R$30, 'Reference Standards'!$S$29*E338+'Reference Standards'!$S$30)),2))), IF(G308="Southern Streams", IF(E338&lt;35,0,IF(E338&gt;=66,1,ROUND(IF(E338&lt;50,'Reference Standards'!$T$29*E338+'Reference Standards'!$T$30, IF(E338&lt;59, 'Reference Standards'!$U$29*E338+'Reference Standards'!$U$30, 'Reference Standards'!$V$29*E338+'Reference Standards'!$V$30)),2))), IF(G308="Southern Headwaters", IF(E338&lt;33,0,IF(E338&gt;=74,1,ROUND(IF(E338&lt;55, 'Reference Standards'!$W$29*E338+'Reference Standards'!$W$30, IF(E338&lt;62, 'Reference Standards'!$X$29*E338+'Reference Standards'!$X$30, 'Reference Standards'!$Y$29*E338+'Reference Standards'!$Y$30)),2))), IF(G308="Southern Coldwater", IF(E338&lt;37,0,IF(E338&gt;=82,1,ROUND(IF(E338&lt;50, 'Reference Standards'!$Z$29*E338+'Reference Standards'!$Z$30, IF(E338&lt;63,'Reference Standards'!$AA$29*E338+'Reference Standards'!$AA$30,'Reference Standards'!$AB$29*E338+'Reference Standards'!$AB$30)),2))), IF(G308="Low Gradient", IF(E338&lt;15,0,IF(E338&gt;=70,1,ROUND(IF(E338&lt;42, 'Reference Standards'!$Q$34*E338+'Reference Standards'!$Q$35, IF(E338&lt;52, 'Reference Standards'!$R$34*E338+'Reference Standards'!$R$35, 'Reference Standards'!$S$34*E338+'Reference Standards'!$S$35)),2))) ))))))))))))</f>
        <v>0.8</v>
      </c>
      <c r="G338" s="237">
        <f>IFERROR(AVERAGE(F338),"")</f>
        <v>0.8</v>
      </c>
      <c r="H338" s="450"/>
      <c r="I338" s="414"/>
      <c r="J338" s="429"/>
    </row>
    <row r="339" spans="1:10" x14ac:dyDescent="0.25">
      <c r="A339" s="5"/>
      <c r="B339" s="5"/>
      <c r="C339" s="5"/>
      <c r="E339" s="5"/>
      <c r="F339" s="5"/>
      <c r="H339" s="5"/>
      <c r="J339" s="4"/>
    </row>
  </sheetData>
  <sheetProtection password="9A39" sheet="1" formatColumns="0"/>
  <dataConsolidate/>
  <mergeCells count="390">
    <mergeCell ref="C265:D265"/>
    <mergeCell ref="B281:B283"/>
    <mergeCell ref="G281:G283"/>
    <mergeCell ref="C299:D299"/>
    <mergeCell ref="B315:B317"/>
    <mergeCell ref="G315:G317"/>
    <mergeCell ref="G288:G290"/>
    <mergeCell ref="G292:G295"/>
    <mergeCell ref="G296:G299"/>
    <mergeCell ref="G279:J279"/>
    <mergeCell ref="H266:H268"/>
    <mergeCell ref="I266:I268"/>
    <mergeCell ref="H269:H270"/>
    <mergeCell ref="I269:I270"/>
    <mergeCell ref="J281:J304"/>
    <mergeCell ref="E310:F310"/>
    <mergeCell ref="I315:I317"/>
    <mergeCell ref="H252:H265"/>
    <mergeCell ref="I252:I265"/>
    <mergeCell ref="H276:I276"/>
    <mergeCell ref="C129:D129"/>
    <mergeCell ref="B111:B113"/>
    <mergeCell ref="G111:G113"/>
    <mergeCell ref="B145:B147"/>
    <mergeCell ref="G145:G147"/>
    <mergeCell ref="C163:D163"/>
    <mergeCell ref="B179:B181"/>
    <mergeCell ref="G179:G181"/>
    <mergeCell ref="C197:D197"/>
    <mergeCell ref="G177:J177"/>
    <mergeCell ref="I164:I166"/>
    <mergeCell ref="H167:H168"/>
    <mergeCell ref="I167:I168"/>
    <mergeCell ref="A171:J171"/>
    <mergeCell ref="H172:I172"/>
    <mergeCell ref="H173:I173"/>
    <mergeCell ref="H174:I174"/>
    <mergeCell ref="H175:I175"/>
    <mergeCell ref="J145:J168"/>
    <mergeCell ref="B152:B154"/>
    <mergeCell ref="G152:G154"/>
    <mergeCell ref="B156:B159"/>
    <mergeCell ref="G156:G159"/>
    <mergeCell ref="H145:H147"/>
    <mergeCell ref="I43:I45"/>
    <mergeCell ref="C61:D61"/>
    <mergeCell ref="J43:J66"/>
    <mergeCell ref="B77:B79"/>
    <mergeCell ref="G77:G79"/>
    <mergeCell ref="E71:F71"/>
    <mergeCell ref="E72:F72"/>
    <mergeCell ref="A75:F75"/>
    <mergeCell ref="G75:J75"/>
    <mergeCell ref="C76:D76"/>
    <mergeCell ref="A46:A47"/>
    <mergeCell ref="A62:A64"/>
    <mergeCell ref="H62:H64"/>
    <mergeCell ref="I62:I64"/>
    <mergeCell ref="A65:A66"/>
    <mergeCell ref="H65:H66"/>
    <mergeCell ref="I65:I66"/>
    <mergeCell ref="A48:A61"/>
    <mergeCell ref="A43:A45"/>
    <mergeCell ref="B43:B45"/>
    <mergeCell ref="G43:G45"/>
    <mergeCell ref="H48:H61"/>
    <mergeCell ref="I48:I61"/>
    <mergeCell ref="E139:F139"/>
    <mergeCell ref="E173:F173"/>
    <mergeCell ref="E207:F207"/>
    <mergeCell ref="E241:F241"/>
    <mergeCell ref="E275:F275"/>
    <mergeCell ref="E309:F309"/>
    <mergeCell ref="A286:A299"/>
    <mergeCell ref="B286:B287"/>
    <mergeCell ref="E276:F276"/>
    <mergeCell ref="B288:B290"/>
    <mergeCell ref="B292:B295"/>
    <mergeCell ref="B296:B299"/>
    <mergeCell ref="A279:F279"/>
    <mergeCell ref="C280:D280"/>
    <mergeCell ref="A266:A268"/>
    <mergeCell ref="A269:A270"/>
    <mergeCell ref="B213:B215"/>
    <mergeCell ref="A177:F177"/>
    <mergeCell ref="C178:D178"/>
    <mergeCell ref="A211:F211"/>
    <mergeCell ref="A167:A168"/>
    <mergeCell ref="E174:F174"/>
    <mergeCell ref="C231:D231"/>
    <mergeCell ref="B247:B249"/>
    <mergeCell ref="A99:A100"/>
    <mergeCell ref="H99:H100"/>
    <mergeCell ref="I99:I100"/>
    <mergeCell ref="A77:A79"/>
    <mergeCell ref="A80:A81"/>
    <mergeCell ref="A82:A95"/>
    <mergeCell ref="E242:F242"/>
    <mergeCell ref="I303:I304"/>
    <mergeCell ref="H218:H231"/>
    <mergeCell ref="I218:I231"/>
    <mergeCell ref="C212:D212"/>
    <mergeCell ref="H209:I209"/>
    <mergeCell ref="A184:A197"/>
    <mergeCell ref="B184:B185"/>
    <mergeCell ref="G184:G185"/>
    <mergeCell ref="H184:H197"/>
    <mergeCell ref="I184:I197"/>
    <mergeCell ref="A198:A200"/>
    <mergeCell ref="H198:H200"/>
    <mergeCell ref="I198:I200"/>
    <mergeCell ref="A201:A202"/>
    <mergeCell ref="H201:H202"/>
    <mergeCell ref="I201:I202"/>
    <mergeCell ref="E105:F105"/>
    <mergeCell ref="A337:A338"/>
    <mergeCell ref="H337:H338"/>
    <mergeCell ref="I337:I338"/>
    <mergeCell ref="A313:F313"/>
    <mergeCell ref="G313:J313"/>
    <mergeCell ref="C314:D314"/>
    <mergeCell ref="J315:J338"/>
    <mergeCell ref="A318:A319"/>
    <mergeCell ref="B318:B319"/>
    <mergeCell ref="G318:G319"/>
    <mergeCell ref="H318:H319"/>
    <mergeCell ref="I318:I319"/>
    <mergeCell ref="A320:A333"/>
    <mergeCell ref="B320:B321"/>
    <mergeCell ref="G320:G321"/>
    <mergeCell ref="H320:H333"/>
    <mergeCell ref="I320:I333"/>
    <mergeCell ref="B322:B324"/>
    <mergeCell ref="B330:B333"/>
    <mergeCell ref="G330:G333"/>
    <mergeCell ref="A315:A317"/>
    <mergeCell ref="H315:H317"/>
    <mergeCell ref="C333:D333"/>
    <mergeCell ref="G326:G329"/>
    <mergeCell ref="A334:A336"/>
    <mergeCell ref="H334:H336"/>
    <mergeCell ref="I334:I336"/>
    <mergeCell ref="H281:H283"/>
    <mergeCell ref="I281:I283"/>
    <mergeCell ref="A284:A285"/>
    <mergeCell ref="B284:B285"/>
    <mergeCell ref="G284:G285"/>
    <mergeCell ref="H284:H285"/>
    <mergeCell ref="I284:I285"/>
    <mergeCell ref="A281:A283"/>
    <mergeCell ref="G286:G287"/>
    <mergeCell ref="H286:H299"/>
    <mergeCell ref="I286:I299"/>
    <mergeCell ref="A300:A302"/>
    <mergeCell ref="H300:H302"/>
    <mergeCell ref="I300:I302"/>
    <mergeCell ref="A303:A304"/>
    <mergeCell ref="H303:H304"/>
    <mergeCell ref="H310:I310"/>
    <mergeCell ref="H311:I311"/>
    <mergeCell ref="G322:G324"/>
    <mergeCell ref="B326:B329"/>
    <mergeCell ref="A213:A215"/>
    <mergeCell ref="H213:H215"/>
    <mergeCell ref="I213:I215"/>
    <mergeCell ref="A232:A234"/>
    <mergeCell ref="H232:H234"/>
    <mergeCell ref="I232:I234"/>
    <mergeCell ref="A235:A236"/>
    <mergeCell ref="H235:H236"/>
    <mergeCell ref="I235:I236"/>
    <mergeCell ref="A216:A217"/>
    <mergeCell ref="B216:B217"/>
    <mergeCell ref="G216:G217"/>
    <mergeCell ref="H216:H217"/>
    <mergeCell ref="I216:I217"/>
    <mergeCell ref="A218:A231"/>
    <mergeCell ref="B218:B219"/>
    <mergeCell ref="G218:G219"/>
    <mergeCell ref="G213:G215"/>
    <mergeCell ref="I182:I183"/>
    <mergeCell ref="G182:G183"/>
    <mergeCell ref="J213:J236"/>
    <mergeCell ref="B220:B222"/>
    <mergeCell ref="G220:G222"/>
    <mergeCell ref="B224:B227"/>
    <mergeCell ref="G224:G227"/>
    <mergeCell ref="B228:B231"/>
    <mergeCell ref="G228:G231"/>
    <mergeCell ref="A150:A163"/>
    <mergeCell ref="B150:B151"/>
    <mergeCell ref="G150:G151"/>
    <mergeCell ref="H150:H163"/>
    <mergeCell ref="I150:I163"/>
    <mergeCell ref="G211:J211"/>
    <mergeCell ref="J179:J202"/>
    <mergeCell ref="B186:B188"/>
    <mergeCell ref="G186:G188"/>
    <mergeCell ref="B190:B193"/>
    <mergeCell ref="G190:G193"/>
    <mergeCell ref="B194:B197"/>
    <mergeCell ref="G194:G197"/>
    <mergeCell ref="A179:A181"/>
    <mergeCell ref="H179:H181"/>
    <mergeCell ref="I179:I181"/>
    <mergeCell ref="A182:A183"/>
    <mergeCell ref="B182:B183"/>
    <mergeCell ref="E208:F208"/>
    <mergeCell ref="A205:J205"/>
    <mergeCell ref="H206:I206"/>
    <mergeCell ref="H207:I207"/>
    <mergeCell ref="H208:I208"/>
    <mergeCell ref="H182:H183"/>
    <mergeCell ref="A164:A166"/>
    <mergeCell ref="H164:H166"/>
    <mergeCell ref="C144:D144"/>
    <mergeCell ref="A130:A132"/>
    <mergeCell ref="H130:H132"/>
    <mergeCell ref="I130:I132"/>
    <mergeCell ref="A133:A134"/>
    <mergeCell ref="H133:H134"/>
    <mergeCell ref="I133:I134"/>
    <mergeCell ref="E140:F140"/>
    <mergeCell ref="A137:J137"/>
    <mergeCell ref="H138:I138"/>
    <mergeCell ref="H139:I139"/>
    <mergeCell ref="H140:I140"/>
    <mergeCell ref="H141:I141"/>
    <mergeCell ref="B160:B163"/>
    <mergeCell ref="G160:G163"/>
    <mergeCell ref="A145:A147"/>
    <mergeCell ref="I145:I147"/>
    <mergeCell ref="A148:A149"/>
    <mergeCell ref="B148:B149"/>
    <mergeCell ref="G148:G149"/>
    <mergeCell ref="H148:H149"/>
    <mergeCell ref="I148:I149"/>
    <mergeCell ref="A116:A129"/>
    <mergeCell ref="B116:B117"/>
    <mergeCell ref="G116:G117"/>
    <mergeCell ref="H116:H129"/>
    <mergeCell ref="I116:I129"/>
    <mergeCell ref="A109:F109"/>
    <mergeCell ref="G109:J109"/>
    <mergeCell ref="C110:D110"/>
    <mergeCell ref="A143:F143"/>
    <mergeCell ref="G143:J143"/>
    <mergeCell ref="J111:J134"/>
    <mergeCell ref="B118:B120"/>
    <mergeCell ref="G118:G120"/>
    <mergeCell ref="B122:B125"/>
    <mergeCell ref="G122:G125"/>
    <mergeCell ref="B126:B129"/>
    <mergeCell ref="G126:G129"/>
    <mergeCell ref="A111:A113"/>
    <mergeCell ref="H111:H113"/>
    <mergeCell ref="I111:I113"/>
    <mergeCell ref="A114:A115"/>
    <mergeCell ref="B114:B115"/>
    <mergeCell ref="H114:H115"/>
    <mergeCell ref="I114:I115"/>
    <mergeCell ref="G114:G115"/>
    <mergeCell ref="J77:J100"/>
    <mergeCell ref="B84:B86"/>
    <mergeCell ref="G84:G86"/>
    <mergeCell ref="B88:B91"/>
    <mergeCell ref="G88:G91"/>
    <mergeCell ref="B92:B95"/>
    <mergeCell ref="G92:G95"/>
    <mergeCell ref="H77:H79"/>
    <mergeCell ref="I77:I79"/>
    <mergeCell ref="B80:B81"/>
    <mergeCell ref="G80:G81"/>
    <mergeCell ref="H80:H81"/>
    <mergeCell ref="I80:I81"/>
    <mergeCell ref="B82:B83"/>
    <mergeCell ref="G82:G83"/>
    <mergeCell ref="H82:H95"/>
    <mergeCell ref="I82:I95"/>
    <mergeCell ref="H107:I107"/>
    <mergeCell ref="C95:D95"/>
    <mergeCell ref="I96:I98"/>
    <mergeCell ref="E106:F106"/>
    <mergeCell ref="A31:A32"/>
    <mergeCell ref="A12:A13"/>
    <mergeCell ref="A28:A30"/>
    <mergeCell ref="E38:F38"/>
    <mergeCell ref="A41:F41"/>
    <mergeCell ref="G41:J41"/>
    <mergeCell ref="C42:D42"/>
    <mergeCell ref="H39:I39"/>
    <mergeCell ref="J9:J32"/>
    <mergeCell ref="I9:I11"/>
    <mergeCell ref="G12:G13"/>
    <mergeCell ref="H14:H27"/>
    <mergeCell ref="I14:I27"/>
    <mergeCell ref="H31:H32"/>
    <mergeCell ref="I12:I13"/>
    <mergeCell ref="G24:G27"/>
    <mergeCell ref="H12:H13"/>
    <mergeCell ref="G14:G15"/>
    <mergeCell ref="G16:G18"/>
    <mergeCell ref="B14:B15"/>
    <mergeCell ref="H28:H30"/>
    <mergeCell ref="B12:B13"/>
    <mergeCell ref="B16:B18"/>
    <mergeCell ref="B24:B27"/>
    <mergeCell ref="G9:G11"/>
    <mergeCell ref="B50:B52"/>
    <mergeCell ref="G50:G52"/>
    <mergeCell ref="B54:B57"/>
    <mergeCell ref="G46:G47"/>
    <mergeCell ref="H46:H47"/>
    <mergeCell ref="G54:G57"/>
    <mergeCell ref="B58:B61"/>
    <mergeCell ref="G58:G61"/>
    <mergeCell ref="B46:B47"/>
    <mergeCell ref="H43:H45"/>
    <mergeCell ref="G252:G253"/>
    <mergeCell ref="I46:I47"/>
    <mergeCell ref="B48:B49"/>
    <mergeCell ref="G48:G49"/>
    <mergeCell ref="H5:I5"/>
    <mergeCell ref="H4:I4"/>
    <mergeCell ref="H3:I3"/>
    <mergeCell ref="H2:I2"/>
    <mergeCell ref="A1:J1"/>
    <mergeCell ref="A35:J35"/>
    <mergeCell ref="H36:I36"/>
    <mergeCell ref="H37:I37"/>
    <mergeCell ref="H38:I38"/>
    <mergeCell ref="A7:F7"/>
    <mergeCell ref="A9:A11"/>
    <mergeCell ref="H9:H11"/>
    <mergeCell ref="G7:J7"/>
    <mergeCell ref="C8:D8"/>
    <mergeCell ref="E4:F4"/>
    <mergeCell ref="E3:F3"/>
    <mergeCell ref="B9:B11"/>
    <mergeCell ref="B20:B23"/>
    <mergeCell ref="G20:G23"/>
    <mergeCell ref="C27:D27"/>
    <mergeCell ref="H275:I275"/>
    <mergeCell ref="E37:F37"/>
    <mergeCell ref="I31:I32"/>
    <mergeCell ref="I28:I30"/>
    <mergeCell ref="A245:F245"/>
    <mergeCell ref="G245:J245"/>
    <mergeCell ref="C246:D246"/>
    <mergeCell ref="G262:G265"/>
    <mergeCell ref="A247:A249"/>
    <mergeCell ref="H247:H249"/>
    <mergeCell ref="I247:I249"/>
    <mergeCell ref="J247:J270"/>
    <mergeCell ref="B254:B256"/>
    <mergeCell ref="G254:G256"/>
    <mergeCell ref="B258:B261"/>
    <mergeCell ref="G258:G261"/>
    <mergeCell ref="B262:B265"/>
    <mergeCell ref="A250:A251"/>
    <mergeCell ref="B250:B251"/>
    <mergeCell ref="G250:G251"/>
    <mergeCell ref="H250:H251"/>
    <mergeCell ref="I250:I251"/>
    <mergeCell ref="A252:A265"/>
    <mergeCell ref="B252:B253"/>
    <mergeCell ref="A14:A27"/>
    <mergeCell ref="G247:G249"/>
    <mergeCell ref="H277:I277"/>
    <mergeCell ref="A307:J307"/>
    <mergeCell ref="H308:I308"/>
    <mergeCell ref="H309:I309"/>
    <mergeCell ref="A69:J69"/>
    <mergeCell ref="H70:I70"/>
    <mergeCell ref="H71:I71"/>
    <mergeCell ref="H72:I72"/>
    <mergeCell ref="H73:I73"/>
    <mergeCell ref="A103:J103"/>
    <mergeCell ref="H104:I104"/>
    <mergeCell ref="H105:I105"/>
    <mergeCell ref="H106:I106"/>
    <mergeCell ref="A96:A98"/>
    <mergeCell ref="H96:H98"/>
    <mergeCell ref="A239:J239"/>
    <mergeCell ref="H240:I240"/>
    <mergeCell ref="H241:I241"/>
    <mergeCell ref="H242:I242"/>
    <mergeCell ref="H243:I243"/>
    <mergeCell ref="A273:J273"/>
    <mergeCell ref="H274:I274"/>
  </mergeCells>
  <conditionalFormatting sqref="A8:C8 A12:D12 H14:I15 H12:I12 K7:L11 G7 A14:D14 C13:D13 E8:J8 H33:L33 K5:K6 K34 L1:M2 D17 A6:I6 A40 A74 A108 A142 A176 A210 A244 A278 A312 I9:J11 A3:D5 C15:D16 K12:K18 D29:D31 I31:I32 A31:A32 K24:K32 I65:I66 A65:A66 A1:A2 C2:D2">
    <cfRule type="beginsWith" dxfId="2186" priority="6671" stopIfTrue="1" operator="beginsWith" text="Functioning At Risk">
      <formula>LEFT(A1,LEN("Functioning At Risk"))="Functioning At Risk"</formula>
    </cfRule>
    <cfRule type="beginsWith" dxfId="2185" priority="6672" stopIfTrue="1" operator="beginsWith" text="Not Functioning">
      <formula>LEFT(A1,LEN("Not Functioning"))="Not Functioning"</formula>
    </cfRule>
    <cfRule type="containsText" dxfId="2184" priority="6673" operator="containsText" text="Functioning">
      <formula>NOT(ISERROR(SEARCH("Functioning",A1)))</formula>
    </cfRule>
  </conditionalFormatting>
  <conditionalFormatting sqref="D5">
    <cfRule type="beginsWith" dxfId="2183" priority="6014" stopIfTrue="1" operator="beginsWith" text="Functioning At Risk">
      <formula>LEFT(D5,LEN("Functioning At Risk"))="Functioning At Risk"</formula>
    </cfRule>
    <cfRule type="beginsWith" dxfId="2182" priority="6015" stopIfTrue="1" operator="beginsWith" text="Not Functioning">
      <formula>LEFT(D5,LEN("Not Functioning"))="Not Functioning"</formula>
    </cfRule>
    <cfRule type="containsText" dxfId="2181" priority="6016" operator="containsText" text="Functioning">
      <formula>NOT(ISERROR(SEARCH("Functioning",D5)))</formula>
    </cfRule>
  </conditionalFormatting>
  <conditionalFormatting sqref="A28">
    <cfRule type="beginsWith" dxfId="2180" priority="5835" stopIfTrue="1" operator="beginsWith" text="Functioning At Risk">
      <formula>LEFT(A28,LEN("Functioning At Risk"))="Functioning At Risk"</formula>
    </cfRule>
    <cfRule type="beginsWith" dxfId="2179" priority="5836" stopIfTrue="1" operator="beginsWith" text="Not Functioning">
      <formula>LEFT(A28,LEN("Not Functioning"))="Not Functioning"</formula>
    </cfRule>
    <cfRule type="containsText" dxfId="2178" priority="5837" operator="containsText" text="Functioning">
      <formula>NOT(ISERROR(SEARCH("Functioning",A28)))</formula>
    </cfRule>
  </conditionalFormatting>
  <conditionalFormatting sqref="H28">
    <cfRule type="beginsWith" dxfId="2177" priority="5832" stopIfTrue="1" operator="beginsWith" text="Functioning At Risk">
      <formula>LEFT(H28,LEN("Functioning At Risk"))="Functioning At Risk"</formula>
    </cfRule>
    <cfRule type="beginsWith" dxfId="2176" priority="5833" stopIfTrue="1" operator="beginsWith" text="Not Functioning">
      <formula>LEFT(H28,LEN("Not Functioning"))="Not Functioning"</formula>
    </cfRule>
    <cfRule type="containsText" dxfId="2175" priority="5834" operator="containsText" text="Functioning">
      <formula>NOT(ISERROR(SEARCH("Functioning",H28)))</formula>
    </cfRule>
  </conditionalFormatting>
  <conditionalFormatting sqref="I28">
    <cfRule type="beginsWith" dxfId="2174" priority="5829" stopIfTrue="1" operator="beginsWith" text="Functioning At Risk">
      <formula>LEFT(I28,LEN("Functioning At Risk"))="Functioning At Risk"</formula>
    </cfRule>
    <cfRule type="beginsWith" dxfId="2173" priority="5830" stopIfTrue="1" operator="beginsWith" text="Not Functioning">
      <formula>LEFT(I28,LEN("Not Functioning"))="Not Functioning"</formula>
    </cfRule>
    <cfRule type="containsText" dxfId="2172" priority="5831" operator="containsText" text="Functioning">
      <formula>NOT(ISERROR(SEARCH("Functioning",I28)))</formula>
    </cfRule>
  </conditionalFormatting>
  <conditionalFormatting sqref="D32">
    <cfRule type="beginsWith" dxfId="2171" priority="5825" stopIfTrue="1" operator="beginsWith" text="Functioning At Risk">
      <formula>LEFT(D32,LEN("Functioning At Risk"))="Functioning At Risk"</formula>
    </cfRule>
    <cfRule type="beginsWith" dxfId="2170" priority="5826" stopIfTrue="1" operator="beginsWith" text="Not Functioning">
      <formula>LEFT(D32,LEN("Not Functioning"))="Not Functioning"</formula>
    </cfRule>
    <cfRule type="containsText" dxfId="2169" priority="5827" operator="containsText" text="Functioning">
      <formula>NOT(ISERROR(SEARCH("Functioning",D32)))</formula>
    </cfRule>
  </conditionalFormatting>
  <conditionalFormatting sqref="B32">
    <cfRule type="beginsWith" dxfId="2168" priority="5819" stopIfTrue="1" operator="beginsWith" text="Functioning At Risk">
      <formula>LEFT(B32,LEN("Functioning At Risk"))="Functioning At Risk"</formula>
    </cfRule>
    <cfRule type="beginsWith" dxfId="2167" priority="5820" stopIfTrue="1" operator="beginsWith" text="Not Functioning">
      <formula>LEFT(B32,LEN("Not Functioning"))="Not Functioning"</formula>
    </cfRule>
    <cfRule type="containsText" dxfId="2166" priority="5821" operator="containsText" text="Functioning">
      <formula>NOT(ISERROR(SEARCH("Functioning",B32)))</formula>
    </cfRule>
  </conditionalFormatting>
  <conditionalFormatting sqref="B24">
    <cfRule type="beginsWith" dxfId="2165" priority="5788" stopIfTrue="1" operator="beginsWith" text="Functioning At Risk">
      <formula>LEFT(B24,LEN("Functioning At Risk"))="Functioning At Risk"</formula>
    </cfRule>
    <cfRule type="beginsWith" dxfId="2164" priority="5789" stopIfTrue="1" operator="beginsWith" text="Not Functioning">
      <formula>LEFT(B24,LEN("Not Functioning"))="Not Functioning"</formula>
    </cfRule>
    <cfRule type="containsText" dxfId="2163" priority="5790" operator="containsText" text="Functioning">
      <formula>NOT(ISERROR(SEARCH("Functioning",B24)))</formula>
    </cfRule>
  </conditionalFormatting>
  <conditionalFormatting sqref="B31">
    <cfRule type="beginsWith" dxfId="2162" priority="5696" stopIfTrue="1" operator="beginsWith" text="Functioning At Risk">
      <formula>LEFT(B31,LEN("Functioning At Risk"))="Functioning At Risk"</formula>
    </cfRule>
    <cfRule type="beginsWith" dxfId="2161" priority="5697" stopIfTrue="1" operator="beginsWith" text="Not Functioning">
      <formula>LEFT(B31,LEN("Not Functioning"))="Not Functioning"</formula>
    </cfRule>
    <cfRule type="containsText" dxfId="2160" priority="5698" operator="containsText" text="Functioning">
      <formula>NOT(ISERROR(SEARCH("Functioning",B31)))</formula>
    </cfRule>
  </conditionalFormatting>
  <conditionalFormatting sqref="K67:L67 K68">
    <cfRule type="beginsWith" dxfId="2159" priority="5537" stopIfTrue="1" operator="beginsWith" text="Functioning At Risk">
      <formula>LEFT(K67,LEN("Functioning At Risk"))="Functioning At Risk"</formula>
    </cfRule>
    <cfRule type="beginsWith" dxfId="2158" priority="5538" stopIfTrue="1" operator="beginsWith" text="Not Functioning">
      <formula>LEFT(K67,LEN("Not Functioning"))="Not Functioning"</formula>
    </cfRule>
    <cfRule type="containsText" dxfId="2157" priority="5539" operator="containsText" text="Functioning">
      <formula>NOT(ISERROR(SEARCH("Functioning",K67)))</formula>
    </cfRule>
  </conditionalFormatting>
  <conditionalFormatting sqref="K101:L101 K102">
    <cfRule type="beginsWith" dxfId="2156" priority="5420" stopIfTrue="1" operator="beginsWith" text="Functioning At Risk">
      <formula>LEFT(K101,LEN("Functioning At Risk"))="Functioning At Risk"</formula>
    </cfRule>
    <cfRule type="beginsWith" dxfId="2155" priority="5421" stopIfTrue="1" operator="beginsWith" text="Not Functioning">
      <formula>LEFT(K101,LEN("Not Functioning"))="Not Functioning"</formula>
    </cfRule>
    <cfRule type="containsText" dxfId="2154" priority="5422" operator="containsText" text="Functioning">
      <formula>NOT(ISERROR(SEARCH("Functioning",K101)))</formula>
    </cfRule>
  </conditionalFormatting>
  <conditionalFormatting sqref="K135:L135 K136">
    <cfRule type="beginsWith" dxfId="2153" priority="5290" stopIfTrue="1" operator="beginsWith" text="Functioning At Risk">
      <formula>LEFT(K135,LEN("Functioning At Risk"))="Functioning At Risk"</formula>
    </cfRule>
    <cfRule type="beginsWith" dxfId="2152" priority="5291" stopIfTrue="1" operator="beginsWith" text="Not Functioning">
      <formula>LEFT(K135,LEN("Not Functioning"))="Not Functioning"</formula>
    </cfRule>
    <cfRule type="containsText" dxfId="2151" priority="5292" operator="containsText" text="Functioning">
      <formula>NOT(ISERROR(SEARCH("Functioning",K135)))</formula>
    </cfRule>
  </conditionalFormatting>
  <conditionalFormatting sqref="K169:L169 K170">
    <cfRule type="beginsWith" dxfId="2150" priority="5171" stopIfTrue="1" operator="beginsWith" text="Functioning At Risk">
      <formula>LEFT(K169,LEN("Functioning At Risk"))="Functioning At Risk"</formula>
    </cfRule>
    <cfRule type="beginsWith" dxfId="2149" priority="5172" stopIfTrue="1" operator="beginsWith" text="Not Functioning">
      <formula>LEFT(K169,LEN("Not Functioning"))="Not Functioning"</formula>
    </cfRule>
    <cfRule type="containsText" dxfId="2148" priority="5173" operator="containsText" text="Functioning">
      <formula>NOT(ISERROR(SEARCH("Functioning",K169)))</formula>
    </cfRule>
  </conditionalFormatting>
  <conditionalFormatting sqref="K203:L203 K204">
    <cfRule type="beginsWith" dxfId="2147" priority="5054" stopIfTrue="1" operator="beginsWith" text="Functioning At Risk">
      <formula>LEFT(K203,LEN("Functioning At Risk"))="Functioning At Risk"</formula>
    </cfRule>
    <cfRule type="beginsWith" dxfId="2146" priority="5055" stopIfTrue="1" operator="beginsWith" text="Not Functioning">
      <formula>LEFT(K203,LEN("Not Functioning"))="Not Functioning"</formula>
    </cfRule>
    <cfRule type="containsText" dxfId="2145" priority="5056" operator="containsText" text="Functioning">
      <formula>NOT(ISERROR(SEARCH("Functioning",K203)))</formula>
    </cfRule>
  </conditionalFormatting>
  <conditionalFormatting sqref="K237:L237 K238">
    <cfRule type="beginsWith" dxfId="2144" priority="4937" stopIfTrue="1" operator="beginsWith" text="Functioning At Risk">
      <formula>LEFT(K237,LEN("Functioning At Risk"))="Functioning At Risk"</formula>
    </cfRule>
    <cfRule type="beginsWith" dxfId="2143" priority="4938" stopIfTrue="1" operator="beginsWith" text="Not Functioning">
      <formula>LEFT(K237,LEN("Not Functioning"))="Not Functioning"</formula>
    </cfRule>
    <cfRule type="containsText" dxfId="2142" priority="4939" operator="containsText" text="Functioning">
      <formula>NOT(ISERROR(SEARCH("Functioning",K237)))</formula>
    </cfRule>
  </conditionalFormatting>
  <conditionalFormatting sqref="K271:L271 K272">
    <cfRule type="beginsWith" dxfId="2141" priority="4820" stopIfTrue="1" operator="beginsWith" text="Functioning At Risk">
      <formula>LEFT(K271,LEN("Functioning At Risk"))="Functioning At Risk"</formula>
    </cfRule>
    <cfRule type="beginsWith" dxfId="2140" priority="4821" stopIfTrue="1" operator="beginsWith" text="Not Functioning">
      <formula>LEFT(K271,LEN("Not Functioning"))="Not Functioning"</formula>
    </cfRule>
    <cfRule type="containsText" dxfId="2139" priority="4822" operator="containsText" text="Functioning">
      <formula>NOT(ISERROR(SEARCH("Functioning",K271)))</formula>
    </cfRule>
  </conditionalFormatting>
  <conditionalFormatting sqref="K305:L305 K306">
    <cfRule type="beginsWith" dxfId="2138" priority="4703" stopIfTrue="1" operator="beginsWith" text="Functioning At Risk">
      <formula>LEFT(K305,LEN("Functioning At Risk"))="Functioning At Risk"</formula>
    </cfRule>
    <cfRule type="beginsWith" dxfId="2137" priority="4704" stopIfTrue="1" operator="beginsWith" text="Not Functioning">
      <formula>LEFT(K305,LEN("Not Functioning"))="Not Functioning"</formula>
    </cfRule>
    <cfRule type="containsText" dxfId="2136" priority="4705" operator="containsText" text="Functioning">
      <formula>NOT(ISERROR(SEARCH("Functioning",K305)))</formula>
    </cfRule>
  </conditionalFormatting>
  <conditionalFormatting sqref="A42:C42 A46:D46 H48:I49 G41 A48:D48 C47:D47 A49 C49:D49 H67:J67 C40:J40 E42:I42">
    <cfRule type="beginsWith" dxfId="2135" priority="3926" stopIfTrue="1" operator="beginsWith" text="Functioning At Risk">
      <formula>LEFT(A40,LEN("Functioning At Risk"))="Functioning At Risk"</formula>
    </cfRule>
    <cfRule type="beginsWith" dxfId="2134" priority="3927" stopIfTrue="1" operator="beginsWith" text="Not Functioning">
      <formula>LEFT(A40,LEN("Not Functioning"))="Not Functioning"</formula>
    </cfRule>
    <cfRule type="containsText" dxfId="2133" priority="3928" operator="containsText" text="Functioning">
      <formula>NOT(ISERROR(SEARCH("Functioning",A40)))</formula>
    </cfRule>
  </conditionalFormatting>
  <conditionalFormatting sqref="A76:C76 J77:J79 G75 H101:J101 C74:J74 E76:I76">
    <cfRule type="beginsWith" dxfId="2132" priority="3782" stopIfTrue="1" operator="beginsWith" text="Functioning At Risk">
      <formula>LEFT(A74,LEN("Functioning At Risk"))="Functioning At Risk"</formula>
    </cfRule>
    <cfRule type="beginsWith" dxfId="2131" priority="3783" stopIfTrue="1" operator="beginsWith" text="Not Functioning">
      <formula>LEFT(A74,LEN("Not Functioning"))="Not Functioning"</formula>
    </cfRule>
    <cfRule type="containsText" dxfId="2130" priority="3784" operator="containsText" text="Functioning">
      <formula>NOT(ISERROR(SEARCH("Functioning",A74)))</formula>
    </cfRule>
  </conditionalFormatting>
  <conditionalFormatting sqref="A144:C144 G143 H169:J169 C142:J142 E144:I144">
    <cfRule type="beginsWith" dxfId="2129" priority="3494" stopIfTrue="1" operator="beginsWith" text="Functioning At Risk">
      <formula>LEFT(A142,LEN("Functioning At Risk"))="Functioning At Risk"</formula>
    </cfRule>
    <cfRule type="beginsWith" dxfId="2128" priority="3495" stopIfTrue="1" operator="beginsWith" text="Not Functioning">
      <formula>LEFT(A142,LEN("Not Functioning"))="Not Functioning"</formula>
    </cfRule>
    <cfRule type="containsText" dxfId="2127" priority="3496" operator="containsText" text="Functioning">
      <formula>NOT(ISERROR(SEARCH("Functioning",A142)))</formula>
    </cfRule>
  </conditionalFormatting>
  <conditionalFormatting sqref="A178:C178 G177 H203:J203 C176:J176 E178:I178">
    <cfRule type="beginsWith" dxfId="2126" priority="3350" stopIfTrue="1" operator="beginsWith" text="Functioning At Risk">
      <formula>LEFT(A176,LEN("Functioning At Risk"))="Functioning At Risk"</formula>
    </cfRule>
    <cfRule type="beginsWith" dxfId="2125" priority="3351" stopIfTrue="1" operator="beginsWith" text="Not Functioning">
      <formula>LEFT(A176,LEN("Not Functioning"))="Not Functioning"</formula>
    </cfRule>
    <cfRule type="containsText" dxfId="2124" priority="3352" operator="containsText" text="Functioning">
      <formula>NOT(ISERROR(SEARCH("Functioning",A176)))</formula>
    </cfRule>
  </conditionalFormatting>
  <conditionalFormatting sqref="A280:C280 G279 H305:J305 C278:J278 E280:I280">
    <cfRule type="beginsWith" dxfId="2123" priority="2918" stopIfTrue="1" operator="beginsWith" text="Functioning At Risk">
      <formula>LEFT(A278,LEN("Functioning At Risk"))="Functioning At Risk"</formula>
    </cfRule>
    <cfRule type="beginsWith" dxfId="2122" priority="2919" stopIfTrue="1" operator="beginsWith" text="Not Functioning">
      <formula>LEFT(A278,LEN("Not Functioning"))="Not Functioning"</formula>
    </cfRule>
    <cfRule type="containsText" dxfId="2121" priority="2920" operator="containsText" text="Functioning">
      <formula>NOT(ISERROR(SEARCH("Functioning",A278)))</formula>
    </cfRule>
  </conditionalFormatting>
  <conditionalFormatting sqref="I62:I63">
    <cfRule type="beginsWith" dxfId="2120" priority="3887" stopIfTrue="1" operator="beginsWith" text="Functioning At Risk">
      <formula>LEFT(I62,LEN("Functioning At Risk"))="Functioning At Risk"</formula>
    </cfRule>
    <cfRule type="beginsWith" dxfId="2119" priority="3888" stopIfTrue="1" operator="beginsWith" text="Not Functioning">
      <formula>LEFT(I62,LEN("Not Functioning"))="Not Functioning"</formula>
    </cfRule>
    <cfRule type="containsText" dxfId="2118" priority="3889" operator="containsText" text="Functioning">
      <formula>NOT(ISERROR(SEARCH("Functioning",I62)))</formula>
    </cfRule>
  </conditionalFormatting>
  <conditionalFormatting sqref="A110:C110 G109 H135:J135 C108:J108 E110:I110">
    <cfRule type="beginsWith" dxfId="2117" priority="3638" stopIfTrue="1" operator="beginsWith" text="Functioning At Risk">
      <formula>LEFT(A108,LEN("Functioning At Risk"))="Functioning At Risk"</formula>
    </cfRule>
    <cfRule type="beginsWith" dxfId="2116" priority="3639" stopIfTrue="1" operator="beginsWith" text="Not Functioning">
      <formula>LEFT(A108,LEN("Not Functioning"))="Not Functioning"</formula>
    </cfRule>
    <cfRule type="containsText" dxfId="2115" priority="3640" operator="containsText" text="Functioning">
      <formula>NOT(ISERROR(SEARCH("Functioning",A108)))</formula>
    </cfRule>
  </conditionalFormatting>
  <conditionalFormatting sqref="I96">
    <cfRule type="beginsWith" dxfId="2114" priority="3743" stopIfTrue="1" operator="beginsWith" text="Functioning At Risk">
      <formula>LEFT(I96,LEN("Functioning At Risk"))="Functioning At Risk"</formula>
    </cfRule>
    <cfRule type="beginsWith" dxfId="2113" priority="3744" stopIfTrue="1" operator="beginsWith" text="Not Functioning">
      <formula>LEFT(I96,LEN("Not Functioning"))="Not Functioning"</formula>
    </cfRule>
    <cfRule type="containsText" dxfId="2112" priority="3745" operator="containsText" text="Functioning">
      <formula>NOT(ISERROR(SEARCH("Functioning",I96)))</formula>
    </cfRule>
  </conditionalFormatting>
  <conditionalFormatting sqref="A212:C212 G211 H237:J237 C210:J210 E212:I212">
    <cfRule type="beginsWith" dxfId="2111" priority="3206" stopIfTrue="1" operator="beginsWith" text="Functioning At Risk">
      <formula>LEFT(A210,LEN("Functioning At Risk"))="Functioning At Risk"</formula>
    </cfRule>
    <cfRule type="beginsWith" dxfId="2110" priority="3207" stopIfTrue="1" operator="beginsWith" text="Not Functioning">
      <formula>LEFT(A210,LEN("Not Functioning"))="Not Functioning"</formula>
    </cfRule>
    <cfRule type="containsText" dxfId="2109" priority="3208" operator="containsText" text="Functioning">
      <formula>NOT(ISERROR(SEARCH("Functioning",A210)))</formula>
    </cfRule>
  </conditionalFormatting>
  <conditionalFormatting sqref="A246:C246 G245 H271:J271 C244:J244 E246:I246">
    <cfRule type="beginsWith" dxfId="2108" priority="3062" stopIfTrue="1" operator="beginsWith" text="Functioning At Risk">
      <formula>LEFT(A244,LEN("Functioning At Risk"))="Functioning At Risk"</formula>
    </cfRule>
    <cfRule type="beginsWith" dxfId="2107" priority="3063" stopIfTrue="1" operator="beginsWith" text="Not Functioning">
      <formula>LEFT(A244,LEN("Not Functioning"))="Not Functioning"</formula>
    </cfRule>
    <cfRule type="containsText" dxfId="2106" priority="3064" operator="containsText" text="Functioning">
      <formula>NOT(ISERROR(SEARCH("Functioning",A244)))</formula>
    </cfRule>
  </conditionalFormatting>
  <conditionalFormatting sqref="A314:C314 G313 H339:J339 C312:J312 E314:I314">
    <cfRule type="beginsWith" dxfId="2105" priority="2774" stopIfTrue="1" operator="beginsWith" text="Functioning At Risk">
      <formula>LEFT(A312,LEN("Functioning At Risk"))="Functioning At Risk"</formula>
    </cfRule>
    <cfRule type="beginsWith" dxfId="2104" priority="2775" stopIfTrue="1" operator="beginsWith" text="Not Functioning">
      <formula>LEFT(A312,LEN("Not Functioning"))="Not Functioning"</formula>
    </cfRule>
    <cfRule type="containsText" dxfId="2103" priority="2776" operator="containsText" text="Functioning">
      <formula>NOT(ISERROR(SEARCH("Functioning",A312)))</formula>
    </cfRule>
  </conditionalFormatting>
  <conditionalFormatting sqref="J42">
    <cfRule type="beginsWith" dxfId="2102" priority="2227" stopIfTrue="1" operator="beginsWith" text="Functioning At Risk">
      <formula>LEFT(J42,LEN("Functioning At Risk"))="Functioning At Risk"</formula>
    </cfRule>
    <cfRule type="beginsWith" dxfId="2101" priority="2228" stopIfTrue="1" operator="beginsWith" text="Not Functioning">
      <formula>LEFT(J42,LEN("Not Functioning"))="Not Functioning"</formula>
    </cfRule>
    <cfRule type="containsText" dxfId="2100" priority="2229" operator="containsText" text="Functioning">
      <formula>NOT(ISERROR(SEARCH("Functioning",J42)))</formula>
    </cfRule>
  </conditionalFormatting>
  <conditionalFormatting sqref="J76">
    <cfRule type="beginsWith" dxfId="2099" priority="2224" stopIfTrue="1" operator="beginsWith" text="Functioning At Risk">
      <formula>LEFT(J76,LEN("Functioning At Risk"))="Functioning At Risk"</formula>
    </cfRule>
    <cfRule type="beginsWith" dxfId="2098" priority="2225" stopIfTrue="1" operator="beginsWith" text="Not Functioning">
      <formula>LEFT(J76,LEN("Not Functioning"))="Not Functioning"</formula>
    </cfRule>
    <cfRule type="containsText" dxfId="2097" priority="2226" operator="containsText" text="Functioning">
      <formula>NOT(ISERROR(SEARCH("Functioning",J76)))</formula>
    </cfRule>
  </conditionalFormatting>
  <conditionalFormatting sqref="J110">
    <cfRule type="beginsWith" dxfId="2096" priority="2221" stopIfTrue="1" operator="beginsWith" text="Functioning At Risk">
      <formula>LEFT(J110,LEN("Functioning At Risk"))="Functioning At Risk"</formula>
    </cfRule>
    <cfRule type="beginsWith" dxfId="2095" priority="2222" stopIfTrue="1" operator="beginsWith" text="Not Functioning">
      <formula>LEFT(J110,LEN("Not Functioning"))="Not Functioning"</formula>
    </cfRule>
    <cfRule type="containsText" dxfId="2094" priority="2223" operator="containsText" text="Functioning">
      <formula>NOT(ISERROR(SEARCH("Functioning",J110)))</formula>
    </cfRule>
  </conditionalFormatting>
  <conditionalFormatting sqref="J144">
    <cfRule type="beginsWith" dxfId="2093" priority="2218" stopIfTrue="1" operator="beginsWith" text="Functioning At Risk">
      <formula>LEFT(J144,LEN("Functioning At Risk"))="Functioning At Risk"</formula>
    </cfRule>
    <cfRule type="beginsWith" dxfId="2092" priority="2219" stopIfTrue="1" operator="beginsWith" text="Not Functioning">
      <formula>LEFT(J144,LEN("Not Functioning"))="Not Functioning"</formula>
    </cfRule>
    <cfRule type="containsText" dxfId="2091" priority="2220" operator="containsText" text="Functioning">
      <formula>NOT(ISERROR(SEARCH("Functioning",J144)))</formula>
    </cfRule>
  </conditionalFormatting>
  <conditionalFormatting sqref="J178">
    <cfRule type="beginsWith" dxfId="2090" priority="2215" stopIfTrue="1" operator="beginsWith" text="Functioning At Risk">
      <formula>LEFT(J178,LEN("Functioning At Risk"))="Functioning At Risk"</formula>
    </cfRule>
    <cfRule type="beginsWith" dxfId="2089" priority="2216" stopIfTrue="1" operator="beginsWith" text="Not Functioning">
      <formula>LEFT(J178,LEN("Not Functioning"))="Not Functioning"</formula>
    </cfRule>
    <cfRule type="containsText" dxfId="2088" priority="2217" operator="containsText" text="Functioning">
      <formula>NOT(ISERROR(SEARCH("Functioning",J178)))</formula>
    </cfRule>
  </conditionalFormatting>
  <conditionalFormatting sqref="J212">
    <cfRule type="beginsWith" dxfId="2087" priority="2212" stopIfTrue="1" operator="beginsWith" text="Functioning At Risk">
      <formula>LEFT(J212,LEN("Functioning At Risk"))="Functioning At Risk"</formula>
    </cfRule>
    <cfRule type="beginsWith" dxfId="2086" priority="2213" stopIfTrue="1" operator="beginsWith" text="Not Functioning">
      <formula>LEFT(J212,LEN("Not Functioning"))="Not Functioning"</formula>
    </cfRule>
    <cfRule type="containsText" dxfId="2085" priority="2214" operator="containsText" text="Functioning">
      <formula>NOT(ISERROR(SEARCH("Functioning",J212)))</formula>
    </cfRule>
  </conditionalFormatting>
  <conditionalFormatting sqref="J246">
    <cfRule type="beginsWith" dxfId="2084" priority="2209" stopIfTrue="1" operator="beginsWith" text="Functioning At Risk">
      <formula>LEFT(J246,LEN("Functioning At Risk"))="Functioning At Risk"</formula>
    </cfRule>
    <cfRule type="beginsWith" dxfId="2083" priority="2210" stopIfTrue="1" operator="beginsWith" text="Not Functioning">
      <formula>LEFT(J246,LEN("Not Functioning"))="Not Functioning"</formula>
    </cfRule>
    <cfRule type="containsText" dxfId="2082" priority="2211" operator="containsText" text="Functioning">
      <formula>NOT(ISERROR(SEARCH("Functioning",J246)))</formula>
    </cfRule>
  </conditionalFormatting>
  <conditionalFormatting sqref="J280">
    <cfRule type="beginsWith" dxfId="2081" priority="2206" stopIfTrue="1" operator="beginsWith" text="Functioning At Risk">
      <formula>LEFT(J280,LEN("Functioning At Risk"))="Functioning At Risk"</formula>
    </cfRule>
    <cfRule type="beginsWith" dxfId="2080" priority="2207" stopIfTrue="1" operator="beginsWith" text="Not Functioning">
      <formula>LEFT(J280,LEN("Not Functioning"))="Not Functioning"</formula>
    </cfRule>
    <cfRule type="containsText" dxfId="2079" priority="2208" operator="containsText" text="Functioning">
      <formula>NOT(ISERROR(SEARCH("Functioning",J280)))</formula>
    </cfRule>
  </conditionalFormatting>
  <conditionalFormatting sqref="J314">
    <cfRule type="beginsWith" dxfId="2078" priority="2203" stopIfTrue="1" operator="beginsWith" text="Functioning At Risk">
      <formula>LEFT(J314,LEN("Functioning At Risk"))="Functioning At Risk"</formula>
    </cfRule>
    <cfRule type="beginsWith" dxfId="2077" priority="2204" stopIfTrue="1" operator="beginsWith" text="Not Functioning">
      <formula>LEFT(J314,LEN("Not Functioning"))="Not Functioning"</formula>
    </cfRule>
    <cfRule type="containsText" dxfId="2076" priority="2205" operator="containsText" text="Functioning">
      <formula>NOT(ISERROR(SEARCH("Functioning",J314)))</formula>
    </cfRule>
  </conditionalFormatting>
  <conditionalFormatting sqref="F15">
    <cfRule type="beginsWith" dxfId="2075" priority="1516" stopIfTrue="1" operator="beginsWith" text="Functioning At Risk">
      <formula>LEFT(F15,LEN("Functioning At Risk"))="Functioning At Risk"</formula>
    </cfRule>
    <cfRule type="beginsWith" dxfId="2074" priority="1517" stopIfTrue="1" operator="beginsWith" text="Not Functioning">
      <formula>LEFT(F15,LEN("Not Functioning"))="Not Functioning"</formula>
    </cfRule>
    <cfRule type="containsText" dxfId="2073" priority="1518" operator="containsText" text="Functioning">
      <formula>NOT(ISERROR(SEARCH("Functioning",F15)))</formula>
    </cfRule>
  </conditionalFormatting>
  <conditionalFormatting sqref="F16 F12:F13">
    <cfRule type="beginsWith" dxfId="2072" priority="1519" stopIfTrue="1" operator="beginsWith" text="Functioning At Risk">
      <formula>LEFT(F12,LEN("Functioning At Risk"))="Functioning At Risk"</formula>
    </cfRule>
    <cfRule type="beginsWith" dxfId="2071" priority="1520" stopIfTrue="1" operator="beginsWith" text="Not Functioning">
      <formula>LEFT(F12,LEN("Not Functioning"))="Not Functioning"</formula>
    </cfRule>
    <cfRule type="containsText" dxfId="2070" priority="1521" operator="containsText" text="Functioning">
      <formula>NOT(ISERROR(SEARCH("Functioning",F12)))</formula>
    </cfRule>
  </conditionalFormatting>
  <conditionalFormatting sqref="H2:H5">
    <cfRule type="beginsWith" dxfId="2069" priority="1462" stopIfTrue="1" operator="beginsWith" text="Functioning At Risk">
      <formula>LEFT(H2,LEN("Functioning At Risk"))="Functioning At Risk"</formula>
    </cfRule>
    <cfRule type="beginsWith" dxfId="2068" priority="1463" stopIfTrue="1" operator="beginsWith" text="Not Functioning">
      <formula>LEFT(H2,LEN("Not Functioning"))="Not Functioning"</formula>
    </cfRule>
    <cfRule type="containsText" dxfId="2067" priority="1464" operator="containsText" text="Functioning">
      <formula>NOT(ISERROR(SEARCH("Functioning",H2)))</formula>
    </cfRule>
  </conditionalFormatting>
  <conditionalFormatting sqref="J2:J5">
    <cfRule type="beginsWith" dxfId="2066" priority="1459" stopIfTrue="1" operator="beginsWith" text="Functioning At Risk">
      <formula>LEFT(J2,LEN("Functioning At Risk"))="Functioning At Risk"</formula>
    </cfRule>
    <cfRule type="beginsWith" dxfId="2065" priority="1460" stopIfTrue="1" operator="beginsWith" text="Not Functioning">
      <formula>LEFT(J2,LEN("Not Functioning"))="Not Functioning"</formula>
    </cfRule>
    <cfRule type="containsText" dxfId="2064" priority="1461" operator="containsText" text="Functioning">
      <formula>NOT(ISERROR(SEARCH("Functioning",J2)))</formula>
    </cfRule>
  </conditionalFormatting>
  <conditionalFormatting sqref="C19:D19">
    <cfRule type="beginsWith" dxfId="2063" priority="1138" stopIfTrue="1" operator="beginsWith" text="Functioning At Risk">
      <formula>LEFT(C19,LEN("Functioning At Risk"))="Functioning At Risk"</formula>
    </cfRule>
    <cfRule type="beginsWith" dxfId="2062" priority="1139" stopIfTrue="1" operator="beginsWith" text="Not Functioning">
      <formula>LEFT(C19,LEN("Not Functioning"))="Not Functioning"</formula>
    </cfRule>
    <cfRule type="containsText" dxfId="2061" priority="1140" operator="containsText" text="Functioning">
      <formula>NOT(ISERROR(SEARCH("Functioning",C19)))</formula>
    </cfRule>
  </conditionalFormatting>
  <conditionalFormatting sqref="K19:K23">
    <cfRule type="beginsWith" dxfId="2060" priority="1141" stopIfTrue="1" operator="beginsWith" text="Functioning At Risk">
      <formula>LEFT(K19,LEN("Functioning At Risk"))="Functioning At Risk"</formula>
    </cfRule>
    <cfRule type="beginsWith" dxfId="2059" priority="1142" stopIfTrue="1" operator="beginsWith" text="Not Functioning">
      <formula>LEFT(K19,LEN("Not Functioning"))="Not Functioning"</formula>
    </cfRule>
    <cfRule type="containsText" dxfId="2058" priority="1143" operator="containsText" text="Functioning">
      <formula>NOT(ISERROR(SEARCH("Functioning",K19)))</formula>
    </cfRule>
  </conditionalFormatting>
  <conditionalFormatting sqref="H9:H10">
    <cfRule type="beginsWith" dxfId="2057" priority="1294" stopIfTrue="1" operator="beginsWith" text="Functioning At Risk">
      <formula>LEFT(H9,LEN("Functioning At Risk"))="Functioning At Risk"</formula>
    </cfRule>
    <cfRule type="beginsWith" dxfId="2056" priority="1295" stopIfTrue="1" operator="beginsWith" text="Not Functioning">
      <formula>LEFT(H9,LEN("Not Functioning"))="Not Functioning"</formula>
    </cfRule>
    <cfRule type="containsText" dxfId="2055" priority="1296" operator="containsText" text="Functioning">
      <formula>NOT(ISERROR(SEARCH("Functioning",H9)))</formula>
    </cfRule>
  </conditionalFormatting>
  <conditionalFormatting sqref="G3">
    <cfRule type="beginsWith" dxfId="2054" priority="1150" stopIfTrue="1" operator="beginsWith" text="Functioning At Risk">
      <formula>LEFT(G3,LEN("Functioning At Risk"))="Functioning At Risk"</formula>
    </cfRule>
    <cfRule type="beginsWith" dxfId="2053" priority="1151" stopIfTrue="1" operator="beginsWith" text="Not Functioning">
      <formula>LEFT(G3,LEN("Not Functioning"))="Not Functioning"</formula>
    </cfRule>
    <cfRule type="containsText" dxfId="2052" priority="1152" operator="containsText" text="Functioning">
      <formula>NOT(ISERROR(SEARCH("Functioning",G3)))</formula>
    </cfRule>
  </conditionalFormatting>
  <conditionalFormatting sqref="E2">
    <cfRule type="beginsWith" dxfId="2051" priority="1153" stopIfTrue="1" operator="beginsWith" text="Functioning At Risk">
      <formula>LEFT(E2,LEN("Functioning At Risk"))="Functioning At Risk"</formula>
    </cfRule>
    <cfRule type="beginsWith" dxfId="2050" priority="1154" stopIfTrue="1" operator="beginsWith" text="Not Functioning">
      <formula>LEFT(E2,LEN("Not Functioning"))="Not Functioning"</formula>
    </cfRule>
    <cfRule type="containsText" dxfId="2049" priority="1155" operator="containsText" text="Functioning">
      <formula>NOT(ISERROR(SEARCH("Functioning",E2)))</formula>
    </cfRule>
  </conditionalFormatting>
  <conditionalFormatting sqref="B20:D20 C21:D21 D22:D23">
    <cfRule type="beginsWith" dxfId="2048" priority="1134" stopIfTrue="1" operator="beginsWith" text="Functioning At Risk">
      <formula>LEFT(B20,LEN("Functioning At Risk"))="Functioning At Risk"</formula>
    </cfRule>
    <cfRule type="beginsWith" dxfId="2047" priority="1135" stopIfTrue="1" operator="beginsWith" text="Not Functioning">
      <formula>LEFT(B20,LEN("Not Functioning"))="Not Functioning"</formula>
    </cfRule>
    <cfRule type="containsText" dxfId="2046" priority="1136" operator="containsText" text="Functioning">
      <formula>NOT(ISERROR(SEARCH("Functioning",B20)))</formula>
    </cfRule>
  </conditionalFormatting>
  <conditionalFormatting sqref="C22">
    <cfRule type="beginsWith" dxfId="2045" priority="1128" stopIfTrue="1" operator="beginsWith" text="Functioning At Risk">
      <formula>LEFT(C22,LEN("Functioning At Risk"))="Functioning At Risk"</formula>
    </cfRule>
    <cfRule type="beginsWith" dxfId="2044" priority="1129" stopIfTrue="1" operator="beginsWith" text="Not Functioning">
      <formula>LEFT(C22,LEN("Not Functioning"))="Not Functioning"</formula>
    </cfRule>
    <cfRule type="containsText" dxfId="2043" priority="1130" operator="containsText" text="Functioning">
      <formula>NOT(ISERROR(SEARCH("Functioning",C22)))</formula>
    </cfRule>
  </conditionalFormatting>
  <conditionalFormatting sqref="C23">
    <cfRule type="beginsWith" dxfId="2042" priority="1125" stopIfTrue="1" operator="beginsWith" text="Functioning At Risk">
      <formula>LEFT(C23,LEN("Functioning At Risk"))="Functioning At Risk"</formula>
    </cfRule>
    <cfRule type="beginsWith" dxfId="2041" priority="1126" stopIfTrue="1" operator="beginsWith" text="Not Functioning">
      <formula>LEFT(C23,LEN("Not Functioning"))="Not Functioning"</formula>
    </cfRule>
    <cfRule type="containsText" dxfId="2040" priority="1127" operator="containsText" text="Functioning">
      <formula>NOT(ISERROR(SEARCH("Functioning",C23)))</formula>
    </cfRule>
  </conditionalFormatting>
  <conditionalFormatting sqref="G5">
    <cfRule type="beginsWith" dxfId="2039" priority="1118" stopIfTrue="1" operator="beginsWith" text="Functioning At Risk">
      <formula>LEFT(G5,LEN("Functioning At Risk"))="Functioning At Risk"</formula>
    </cfRule>
    <cfRule type="beginsWith" dxfId="2038" priority="1119" stopIfTrue="1" operator="beginsWith" text="Not Functioning">
      <formula>LEFT(G5,LEN("Not Functioning"))="Not Functioning"</formula>
    </cfRule>
    <cfRule type="containsText" dxfId="2037" priority="1120" operator="containsText" text="Functioning">
      <formula>NOT(ISERROR(SEARCH("Functioning",G5)))</formula>
    </cfRule>
  </conditionalFormatting>
  <conditionalFormatting sqref="G5">
    <cfRule type="beginsWith" dxfId="2036" priority="1115" stopIfTrue="1" operator="beginsWith" text="Functioning At Risk">
      <formula>LEFT(G5,LEN("Functioning At Risk"))="Functioning At Risk"</formula>
    </cfRule>
    <cfRule type="beginsWith" dxfId="2035" priority="1116" stopIfTrue="1" operator="beginsWith" text="Not Functioning">
      <formula>LEFT(G5,LEN("Not Functioning"))="Not Functioning"</formula>
    </cfRule>
    <cfRule type="containsText" dxfId="2034" priority="1117" operator="containsText" text="Functioning">
      <formula>NOT(ISERROR(SEARCH("Functioning",G5)))</formula>
    </cfRule>
  </conditionalFormatting>
  <conditionalFormatting sqref="G311">
    <cfRule type="beginsWith" dxfId="2033" priority="872" stopIfTrue="1" operator="beginsWith" text="Functioning At Risk">
      <formula>LEFT(G311,LEN("Functioning At Risk"))="Functioning At Risk"</formula>
    </cfRule>
    <cfRule type="beginsWith" dxfId="2032" priority="873" stopIfTrue="1" operator="beginsWith" text="Not Functioning">
      <formula>LEFT(G311,LEN("Not Functioning"))="Not Functioning"</formula>
    </cfRule>
    <cfRule type="containsText" dxfId="2031" priority="874" operator="containsText" text="Functioning">
      <formula>NOT(ISERROR(SEARCH("Functioning",G311)))</formula>
    </cfRule>
  </conditionalFormatting>
  <conditionalFormatting sqref="A36:D39">
    <cfRule type="beginsWith" dxfId="2030" priority="1112" stopIfTrue="1" operator="beginsWith" text="Functioning At Risk">
      <formula>LEFT(A36,LEN("Functioning At Risk"))="Functioning At Risk"</formula>
    </cfRule>
    <cfRule type="beginsWith" dxfId="2029" priority="1113" stopIfTrue="1" operator="beginsWith" text="Not Functioning">
      <formula>LEFT(A36,LEN("Not Functioning"))="Not Functioning"</formula>
    </cfRule>
    <cfRule type="containsText" dxfId="2028" priority="1114" operator="containsText" text="Functioning">
      <formula>NOT(ISERROR(SEARCH("Functioning",A36)))</formula>
    </cfRule>
  </conditionalFormatting>
  <conditionalFormatting sqref="D39">
    <cfRule type="beginsWith" dxfId="2027" priority="1109" stopIfTrue="1" operator="beginsWith" text="Functioning At Risk">
      <formula>LEFT(D39,LEN("Functioning At Risk"))="Functioning At Risk"</formula>
    </cfRule>
    <cfRule type="beginsWith" dxfId="2026" priority="1110" stopIfTrue="1" operator="beginsWith" text="Not Functioning">
      <formula>LEFT(D39,LEN("Not Functioning"))="Not Functioning"</formula>
    </cfRule>
    <cfRule type="containsText" dxfId="2025" priority="1111" operator="containsText" text="Functioning">
      <formula>NOT(ISERROR(SEARCH("Functioning",D39)))</formula>
    </cfRule>
  </conditionalFormatting>
  <conditionalFormatting sqref="H36:H39">
    <cfRule type="beginsWith" dxfId="2024" priority="1106" stopIfTrue="1" operator="beginsWith" text="Functioning At Risk">
      <formula>LEFT(H36,LEN("Functioning At Risk"))="Functioning At Risk"</formula>
    </cfRule>
    <cfRule type="beginsWith" dxfId="2023" priority="1107" stopIfTrue="1" operator="beginsWith" text="Not Functioning">
      <formula>LEFT(H36,LEN("Not Functioning"))="Not Functioning"</formula>
    </cfRule>
    <cfRule type="containsText" dxfId="2022" priority="1108" operator="containsText" text="Functioning">
      <formula>NOT(ISERROR(SEARCH("Functioning",H36)))</formula>
    </cfRule>
  </conditionalFormatting>
  <conditionalFormatting sqref="J36:J39">
    <cfRule type="beginsWith" dxfId="2021" priority="1103" stopIfTrue="1" operator="beginsWith" text="Functioning At Risk">
      <formula>LEFT(J36,LEN("Functioning At Risk"))="Functioning At Risk"</formula>
    </cfRule>
    <cfRule type="beginsWith" dxfId="2020" priority="1104" stopIfTrue="1" operator="beginsWith" text="Not Functioning">
      <formula>LEFT(J36,LEN("Not Functioning"))="Not Functioning"</formula>
    </cfRule>
    <cfRule type="containsText" dxfId="2019" priority="1105" operator="containsText" text="Functioning">
      <formula>NOT(ISERROR(SEARCH("Functioning",J36)))</formula>
    </cfRule>
  </conditionalFormatting>
  <conditionalFormatting sqref="E36">
    <cfRule type="beginsWith" dxfId="2018" priority="1100" stopIfTrue="1" operator="beginsWith" text="Functioning At Risk">
      <formula>LEFT(E36,LEN("Functioning At Risk"))="Functioning At Risk"</formula>
    </cfRule>
    <cfRule type="beginsWith" dxfId="2017" priority="1101" stopIfTrue="1" operator="beginsWith" text="Not Functioning">
      <formula>LEFT(E36,LEN("Not Functioning"))="Not Functioning"</formula>
    </cfRule>
    <cfRule type="containsText" dxfId="2016" priority="1102" operator="containsText" text="Functioning">
      <formula>NOT(ISERROR(SEARCH("Functioning",E36)))</formula>
    </cfRule>
  </conditionalFormatting>
  <conditionalFormatting sqref="G37">
    <cfRule type="beginsWith" dxfId="2015" priority="1097" stopIfTrue="1" operator="beginsWith" text="Functioning At Risk">
      <formula>LEFT(G37,LEN("Functioning At Risk"))="Functioning At Risk"</formula>
    </cfRule>
    <cfRule type="beginsWith" dxfId="2014" priority="1098" stopIfTrue="1" operator="beginsWith" text="Not Functioning">
      <formula>LEFT(G37,LEN("Not Functioning"))="Not Functioning"</formula>
    </cfRule>
    <cfRule type="containsText" dxfId="2013" priority="1099" operator="containsText" text="Functioning">
      <formula>NOT(ISERROR(SEARCH("Functioning",G37)))</formula>
    </cfRule>
  </conditionalFormatting>
  <conditionalFormatting sqref="G39">
    <cfRule type="beginsWith" dxfId="2012" priority="1091" stopIfTrue="1" operator="beginsWith" text="Functioning At Risk">
      <formula>LEFT(G39,LEN("Functioning At Risk"))="Functioning At Risk"</formula>
    </cfRule>
    <cfRule type="beginsWith" dxfId="2011" priority="1092" stopIfTrue="1" operator="beginsWith" text="Not Functioning">
      <formula>LEFT(G39,LEN("Not Functioning"))="Not Functioning"</formula>
    </cfRule>
    <cfRule type="containsText" dxfId="2010" priority="1093" operator="containsText" text="Functioning">
      <formula>NOT(ISERROR(SEARCH("Functioning",G39)))</formula>
    </cfRule>
  </conditionalFormatting>
  <conditionalFormatting sqref="G39">
    <cfRule type="beginsWith" dxfId="2009" priority="1088" stopIfTrue="1" operator="beginsWith" text="Functioning At Risk">
      <formula>LEFT(G39,LEN("Functioning At Risk"))="Functioning At Risk"</formula>
    </cfRule>
    <cfRule type="beginsWith" dxfId="2008" priority="1089" stopIfTrue="1" operator="beginsWith" text="Not Functioning">
      <formula>LEFT(G39,LEN("Not Functioning"))="Not Functioning"</formula>
    </cfRule>
    <cfRule type="containsText" dxfId="2007" priority="1090" operator="containsText" text="Functioning">
      <formula>NOT(ISERROR(SEARCH("Functioning",G39)))</formula>
    </cfRule>
  </conditionalFormatting>
  <conditionalFormatting sqref="A70:D73">
    <cfRule type="beginsWith" dxfId="2006" priority="1085" stopIfTrue="1" operator="beginsWith" text="Functioning At Risk">
      <formula>LEFT(A70,LEN("Functioning At Risk"))="Functioning At Risk"</formula>
    </cfRule>
    <cfRule type="beginsWith" dxfId="2005" priority="1086" stopIfTrue="1" operator="beginsWith" text="Not Functioning">
      <formula>LEFT(A70,LEN("Not Functioning"))="Not Functioning"</formula>
    </cfRule>
    <cfRule type="containsText" dxfId="2004" priority="1087" operator="containsText" text="Functioning">
      <formula>NOT(ISERROR(SEARCH("Functioning",A70)))</formula>
    </cfRule>
  </conditionalFormatting>
  <conditionalFormatting sqref="D73">
    <cfRule type="beginsWith" dxfId="2003" priority="1082" stopIfTrue="1" operator="beginsWith" text="Functioning At Risk">
      <formula>LEFT(D73,LEN("Functioning At Risk"))="Functioning At Risk"</formula>
    </cfRule>
    <cfRule type="beginsWith" dxfId="2002" priority="1083" stopIfTrue="1" operator="beginsWith" text="Not Functioning">
      <formula>LEFT(D73,LEN("Not Functioning"))="Not Functioning"</formula>
    </cfRule>
    <cfRule type="containsText" dxfId="2001" priority="1084" operator="containsText" text="Functioning">
      <formula>NOT(ISERROR(SEARCH("Functioning",D73)))</formula>
    </cfRule>
  </conditionalFormatting>
  <conditionalFormatting sqref="H70:H73">
    <cfRule type="beginsWith" dxfId="2000" priority="1079" stopIfTrue="1" operator="beginsWith" text="Functioning At Risk">
      <formula>LEFT(H70,LEN("Functioning At Risk"))="Functioning At Risk"</formula>
    </cfRule>
    <cfRule type="beginsWith" dxfId="1999" priority="1080" stopIfTrue="1" operator="beginsWith" text="Not Functioning">
      <formula>LEFT(H70,LEN("Not Functioning"))="Not Functioning"</formula>
    </cfRule>
    <cfRule type="containsText" dxfId="1998" priority="1081" operator="containsText" text="Functioning">
      <formula>NOT(ISERROR(SEARCH("Functioning",H70)))</formula>
    </cfRule>
  </conditionalFormatting>
  <conditionalFormatting sqref="J70:J73">
    <cfRule type="beginsWith" dxfId="1997" priority="1076" stopIfTrue="1" operator="beginsWith" text="Functioning At Risk">
      <formula>LEFT(J70,LEN("Functioning At Risk"))="Functioning At Risk"</formula>
    </cfRule>
    <cfRule type="beginsWith" dxfId="1996" priority="1077" stopIfTrue="1" operator="beginsWith" text="Not Functioning">
      <formula>LEFT(J70,LEN("Not Functioning"))="Not Functioning"</formula>
    </cfRule>
    <cfRule type="containsText" dxfId="1995" priority="1078" operator="containsText" text="Functioning">
      <formula>NOT(ISERROR(SEARCH("Functioning",J70)))</formula>
    </cfRule>
  </conditionalFormatting>
  <conditionalFormatting sqref="E206">
    <cfRule type="beginsWith" dxfId="1994" priority="965" stopIfTrue="1" operator="beginsWith" text="Functioning At Risk">
      <formula>LEFT(E206,LEN("Functioning At Risk"))="Functioning At Risk"</formula>
    </cfRule>
    <cfRule type="beginsWith" dxfId="1993" priority="966" stopIfTrue="1" operator="beginsWith" text="Not Functioning">
      <formula>LEFT(E206,LEN("Not Functioning"))="Not Functioning"</formula>
    </cfRule>
    <cfRule type="containsText" dxfId="1992" priority="967" operator="containsText" text="Functioning">
      <formula>NOT(ISERROR(SEARCH("Functioning",E206)))</formula>
    </cfRule>
  </conditionalFormatting>
  <conditionalFormatting sqref="E70">
    <cfRule type="beginsWith" dxfId="1991" priority="1073" stopIfTrue="1" operator="beginsWith" text="Functioning At Risk">
      <formula>LEFT(E70,LEN("Functioning At Risk"))="Functioning At Risk"</formula>
    </cfRule>
    <cfRule type="beginsWith" dxfId="1990" priority="1074" stopIfTrue="1" operator="beginsWith" text="Not Functioning">
      <formula>LEFT(E70,LEN("Not Functioning"))="Not Functioning"</formula>
    </cfRule>
    <cfRule type="containsText" dxfId="1989" priority="1075" operator="containsText" text="Functioning">
      <formula>NOT(ISERROR(SEARCH("Functioning",E70)))</formula>
    </cfRule>
  </conditionalFormatting>
  <conditionalFormatting sqref="G71">
    <cfRule type="beginsWith" dxfId="1988" priority="1070" stopIfTrue="1" operator="beginsWith" text="Functioning At Risk">
      <formula>LEFT(G71,LEN("Functioning At Risk"))="Functioning At Risk"</formula>
    </cfRule>
    <cfRule type="beginsWith" dxfId="1987" priority="1071" stopIfTrue="1" operator="beginsWith" text="Not Functioning">
      <formula>LEFT(G71,LEN("Not Functioning"))="Not Functioning"</formula>
    </cfRule>
    <cfRule type="containsText" dxfId="1986" priority="1072" operator="containsText" text="Functioning">
      <formula>NOT(ISERROR(SEARCH("Functioning",G71)))</formula>
    </cfRule>
  </conditionalFormatting>
  <conditionalFormatting sqref="G73">
    <cfRule type="beginsWith" dxfId="1985" priority="1064" stopIfTrue="1" operator="beginsWith" text="Functioning At Risk">
      <formula>LEFT(G73,LEN("Functioning At Risk"))="Functioning At Risk"</formula>
    </cfRule>
    <cfRule type="beginsWith" dxfId="1984" priority="1065" stopIfTrue="1" operator="beginsWith" text="Not Functioning">
      <formula>LEFT(G73,LEN("Not Functioning"))="Not Functioning"</formula>
    </cfRule>
    <cfRule type="containsText" dxfId="1983" priority="1066" operator="containsText" text="Functioning">
      <formula>NOT(ISERROR(SEARCH("Functioning",G73)))</formula>
    </cfRule>
  </conditionalFormatting>
  <conditionalFormatting sqref="G73">
    <cfRule type="beginsWith" dxfId="1982" priority="1061" stopIfTrue="1" operator="beginsWith" text="Functioning At Risk">
      <formula>LEFT(G73,LEN("Functioning At Risk"))="Functioning At Risk"</formula>
    </cfRule>
    <cfRule type="beginsWith" dxfId="1981" priority="1062" stopIfTrue="1" operator="beginsWith" text="Not Functioning">
      <formula>LEFT(G73,LEN("Not Functioning"))="Not Functioning"</formula>
    </cfRule>
    <cfRule type="containsText" dxfId="1980" priority="1063" operator="containsText" text="Functioning">
      <formula>NOT(ISERROR(SEARCH("Functioning",G73)))</formula>
    </cfRule>
  </conditionalFormatting>
  <conditionalFormatting sqref="A104:D107">
    <cfRule type="beginsWith" dxfId="1979" priority="1058" stopIfTrue="1" operator="beginsWith" text="Functioning At Risk">
      <formula>LEFT(A104,LEN("Functioning At Risk"))="Functioning At Risk"</formula>
    </cfRule>
    <cfRule type="beginsWith" dxfId="1978" priority="1059" stopIfTrue="1" operator="beginsWith" text="Not Functioning">
      <formula>LEFT(A104,LEN("Not Functioning"))="Not Functioning"</formula>
    </cfRule>
    <cfRule type="containsText" dxfId="1977" priority="1060" operator="containsText" text="Functioning">
      <formula>NOT(ISERROR(SEARCH("Functioning",A104)))</formula>
    </cfRule>
  </conditionalFormatting>
  <conditionalFormatting sqref="D107">
    <cfRule type="beginsWith" dxfId="1976" priority="1055" stopIfTrue="1" operator="beginsWith" text="Functioning At Risk">
      <formula>LEFT(D107,LEN("Functioning At Risk"))="Functioning At Risk"</formula>
    </cfRule>
    <cfRule type="beginsWith" dxfId="1975" priority="1056" stopIfTrue="1" operator="beginsWith" text="Not Functioning">
      <formula>LEFT(D107,LEN("Not Functioning"))="Not Functioning"</formula>
    </cfRule>
    <cfRule type="containsText" dxfId="1974" priority="1057" operator="containsText" text="Functioning">
      <formula>NOT(ISERROR(SEARCH("Functioning",D107)))</formula>
    </cfRule>
  </conditionalFormatting>
  <conditionalFormatting sqref="H104:H107">
    <cfRule type="beginsWith" dxfId="1973" priority="1052" stopIfTrue="1" operator="beginsWith" text="Functioning At Risk">
      <formula>LEFT(H104,LEN("Functioning At Risk"))="Functioning At Risk"</formula>
    </cfRule>
    <cfRule type="beginsWith" dxfId="1972" priority="1053" stopIfTrue="1" operator="beginsWith" text="Not Functioning">
      <formula>LEFT(H104,LEN("Not Functioning"))="Not Functioning"</formula>
    </cfRule>
    <cfRule type="containsText" dxfId="1971" priority="1054" operator="containsText" text="Functioning">
      <formula>NOT(ISERROR(SEARCH("Functioning",H104)))</formula>
    </cfRule>
  </conditionalFormatting>
  <conditionalFormatting sqref="J104:J107">
    <cfRule type="beginsWith" dxfId="1970" priority="1049" stopIfTrue="1" operator="beginsWith" text="Functioning At Risk">
      <formula>LEFT(J104,LEN("Functioning At Risk"))="Functioning At Risk"</formula>
    </cfRule>
    <cfRule type="beginsWith" dxfId="1969" priority="1050" stopIfTrue="1" operator="beginsWith" text="Not Functioning">
      <formula>LEFT(J104,LEN("Not Functioning"))="Not Functioning"</formula>
    </cfRule>
    <cfRule type="containsText" dxfId="1968" priority="1051" operator="containsText" text="Functioning">
      <formula>NOT(ISERROR(SEARCH("Functioning",J104)))</formula>
    </cfRule>
  </conditionalFormatting>
  <conditionalFormatting sqref="H240:H243">
    <cfRule type="beginsWith" dxfId="1967" priority="944" stopIfTrue="1" operator="beginsWith" text="Functioning At Risk">
      <formula>LEFT(H240,LEN("Functioning At Risk"))="Functioning At Risk"</formula>
    </cfRule>
    <cfRule type="beginsWith" dxfId="1966" priority="945" stopIfTrue="1" operator="beginsWith" text="Not Functioning">
      <formula>LEFT(H240,LEN("Not Functioning"))="Not Functioning"</formula>
    </cfRule>
    <cfRule type="containsText" dxfId="1965" priority="946" operator="containsText" text="Functioning">
      <formula>NOT(ISERROR(SEARCH("Functioning",H240)))</formula>
    </cfRule>
  </conditionalFormatting>
  <conditionalFormatting sqref="E104">
    <cfRule type="beginsWith" dxfId="1964" priority="1046" stopIfTrue="1" operator="beginsWith" text="Functioning At Risk">
      <formula>LEFT(E104,LEN("Functioning At Risk"))="Functioning At Risk"</formula>
    </cfRule>
    <cfRule type="beginsWith" dxfId="1963" priority="1047" stopIfTrue="1" operator="beginsWith" text="Not Functioning">
      <formula>LEFT(E104,LEN("Not Functioning"))="Not Functioning"</formula>
    </cfRule>
    <cfRule type="containsText" dxfId="1962" priority="1048" operator="containsText" text="Functioning">
      <formula>NOT(ISERROR(SEARCH("Functioning",E104)))</formula>
    </cfRule>
  </conditionalFormatting>
  <conditionalFormatting sqref="G105">
    <cfRule type="beginsWith" dxfId="1961" priority="1043" stopIfTrue="1" operator="beginsWith" text="Functioning At Risk">
      <formula>LEFT(G105,LEN("Functioning At Risk"))="Functioning At Risk"</formula>
    </cfRule>
    <cfRule type="beginsWith" dxfId="1960" priority="1044" stopIfTrue="1" operator="beginsWith" text="Not Functioning">
      <formula>LEFT(G105,LEN("Not Functioning"))="Not Functioning"</formula>
    </cfRule>
    <cfRule type="containsText" dxfId="1959" priority="1045" operator="containsText" text="Functioning">
      <formula>NOT(ISERROR(SEARCH("Functioning",G105)))</formula>
    </cfRule>
  </conditionalFormatting>
  <conditionalFormatting sqref="G107">
    <cfRule type="beginsWith" dxfId="1958" priority="1037" stopIfTrue="1" operator="beginsWith" text="Functioning At Risk">
      <formula>LEFT(G107,LEN("Functioning At Risk"))="Functioning At Risk"</formula>
    </cfRule>
    <cfRule type="beginsWith" dxfId="1957" priority="1038" stopIfTrue="1" operator="beginsWith" text="Not Functioning">
      <formula>LEFT(G107,LEN("Not Functioning"))="Not Functioning"</formula>
    </cfRule>
    <cfRule type="containsText" dxfId="1956" priority="1039" operator="containsText" text="Functioning">
      <formula>NOT(ISERROR(SEARCH("Functioning",G107)))</formula>
    </cfRule>
  </conditionalFormatting>
  <conditionalFormatting sqref="G107">
    <cfRule type="beginsWith" dxfId="1955" priority="1034" stopIfTrue="1" operator="beginsWith" text="Functioning At Risk">
      <formula>LEFT(G107,LEN("Functioning At Risk"))="Functioning At Risk"</formula>
    </cfRule>
    <cfRule type="beginsWith" dxfId="1954" priority="1035" stopIfTrue="1" operator="beginsWith" text="Not Functioning">
      <formula>LEFT(G107,LEN("Not Functioning"))="Not Functioning"</formula>
    </cfRule>
    <cfRule type="containsText" dxfId="1953" priority="1036" operator="containsText" text="Functioning">
      <formula>NOT(ISERROR(SEARCH("Functioning",G107)))</formula>
    </cfRule>
  </conditionalFormatting>
  <conditionalFormatting sqref="A138:D141">
    <cfRule type="beginsWith" dxfId="1952" priority="1031" stopIfTrue="1" operator="beginsWith" text="Functioning At Risk">
      <formula>LEFT(A138,LEN("Functioning At Risk"))="Functioning At Risk"</formula>
    </cfRule>
    <cfRule type="beginsWith" dxfId="1951" priority="1032" stopIfTrue="1" operator="beginsWith" text="Not Functioning">
      <formula>LEFT(A138,LEN("Not Functioning"))="Not Functioning"</formula>
    </cfRule>
    <cfRule type="containsText" dxfId="1950" priority="1033" operator="containsText" text="Functioning">
      <formula>NOT(ISERROR(SEARCH("Functioning",A138)))</formula>
    </cfRule>
  </conditionalFormatting>
  <conditionalFormatting sqref="D141">
    <cfRule type="beginsWith" dxfId="1949" priority="1028" stopIfTrue="1" operator="beginsWith" text="Functioning At Risk">
      <formula>LEFT(D141,LEN("Functioning At Risk"))="Functioning At Risk"</formula>
    </cfRule>
    <cfRule type="beginsWith" dxfId="1948" priority="1029" stopIfTrue="1" operator="beginsWith" text="Not Functioning">
      <formula>LEFT(D141,LEN("Not Functioning"))="Not Functioning"</formula>
    </cfRule>
    <cfRule type="containsText" dxfId="1947" priority="1030" operator="containsText" text="Functioning">
      <formula>NOT(ISERROR(SEARCH("Functioning",D141)))</formula>
    </cfRule>
  </conditionalFormatting>
  <conditionalFormatting sqref="H138:H141">
    <cfRule type="beginsWith" dxfId="1946" priority="1025" stopIfTrue="1" operator="beginsWith" text="Functioning At Risk">
      <formula>LEFT(H138,LEN("Functioning At Risk"))="Functioning At Risk"</formula>
    </cfRule>
    <cfRule type="beginsWith" dxfId="1945" priority="1026" stopIfTrue="1" operator="beginsWith" text="Not Functioning">
      <formula>LEFT(H138,LEN("Not Functioning"))="Not Functioning"</formula>
    </cfRule>
    <cfRule type="containsText" dxfId="1944" priority="1027" operator="containsText" text="Functioning">
      <formula>NOT(ISERROR(SEARCH("Functioning",H138)))</formula>
    </cfRule>
  </conditionalFormatting>
  <conditionalFormatting sqref="J138:J141">
    <cfRule type="beginsWith" dxfId="1943" priority="1022" stopIfTrue="1" operator="beginsWith" text="Functioning At Risk">
      <formula>LEFT(J138,LEN("Functioning At Risk"))="Functioning At Risk"</formula>
    </cfRule>
    <cfRule type="beginsWith" dxfId="1942" priority="1023" stopIfTrue="1" operator="beginsWith" text="Not Functioning">
      <formula>LEFT(J138,LEN("Not Functioning"))="Not Functioning"</formula>
    </cfRule>
    <cfRule type="containsText" dxfId="1941" priority="1024" operator="containsText" text="Functioning">
      <formula>NOT(ISERROR(SEARCH("Functioning",J138)))</formula>
    </cfRule>
  </conditionalFormatting>
  <conditionalFormatting sqref="A274:D277">
    <cfRule type="beginsWith" dxfId="1940" priority="923" stopIfTrue="1" operator="beginsWith" text="Functioning At Risk">
      <formula>LEFT(A274,LEN("Functioning At Risk"))="Functioning At Risk"</formula>
    </cfRule>
    <cfRule type="beginsWith" dxfId="1939" priority="924" stopIfTrue="1" operator="beginsWith" text="Not Functioning">
      <formula>LEFT(A274,LEN("Not Functioning"))="Not Functioning"</formula>
    </cfRule>
    <cfRule type="containsText" dxfId="1938" priority="925" operator="containsText" text="Functioning">
      <formula>NOT(ISERROR(SEARCH("Functioning",A274)))</formula>
    </cfRule>
  </conditionalFormatting>
  <conditionalFormatting sqref="E138">
    <cfRule type="beginsWith" dxfId="1937" priority="1019" stopIfTrue="1" operator="beginsWith" text="Functioning At Risk">
      <formula>LEFT(E138,LEN("Functioning At Risk"))="Functioning At Risk"</formula>
    </cfRule>
    <cfRule type="beginsWith" dxfId="1936" priority="1020" stopIfTrue="1" operator="beginsWith" text="Not Functioning">
      <formula>LEFT(E138,LEN("Not Functioning"))="Not Functioning"</formula>
    </cfRule>
    <cfRule type="containsText" dxfId="1935" priority="1021" operator="containsText" text="Functioning">
      <formula>NOT(ISERROR(SEARCH("Functioning",E138)))</formula>
    </cfRule>
  </conditionalFormatting>
  <conditionalFormatting sqref="G139">
    <cfRule type="beginsWith" dxfId="1934" priority="1016" stopIfTrue="1" operator="beginsWith" text="Functioning At Risk">
      <formula>LEFT(G139,LEN("Functioning At Risk"))="Functioning At Risk"</formula>
    </cfRule>
    <cfRule type="beginsWith" dxfId="1933" priority="1017" stopIfTrue="1" operator="beginsWith" text="Not Functioning">
      <formula>LEFT(G139,LEN("Not Functioning"))="Not Functioning"</formula>
    </cfRule>
    <cfRule type="containsText" dxfId="1932" priority="1018" operator="containsText" text="Functioning">
      <formula>NOT(ISERROR(SEARCH("Functioning",G139)))</formula>
    </cfRule>
  </conditionalFormatting>
  <conditionalFormatting sqref="G141">
    <cfRule type="beginsWith" dxfId="1931" priority="1010" stopIfTrue="1" operator="beginsWith" text="Functioning At Risk">
      <formula>LEFT(G141,LEN("Functioning At Risk"))="Functioning At Risk"</formula>
    </cfRule>
    <cfRule type="beginsWith" dxfId="1930" priority="1011" stopIfTrue="1" operator="beginsWith" text="Not Functioning">
      <formula>LEFT(G141,LEN("Not Functioning"))="Not Functioning"</formula>
    </cfRule>
    <cfRule type="containsText" dxfId="1929" priority="1012" operator="containsText" text="Functioning">
      <formula>NOT(ISERROR(SEARCH("Functioning",G141)))</formula>
    </cfRule>
  </conditionalFormatting>
  <conditionalFormatting sqref="G141">
    <cfRule type="beginsWith" dxfId="1928" priority="1007" stopIfTrue="1" operator="beginsWith" text="Functioning At Risk">
      <formula>LEFT(G141,LEN("Functioning At Risk"))="Functioning At Risk"</formula>
    </cfRule>
    <cfRule type="beginsWith" dxfId="1927" priority="1008" stopIfTrue="1" operator="beginsWith" text="Not Functioning">
      <formula>LEFT(G141,LEN("Not Functioning"))="Not Functioning"</formula>
    </cfRule>
    <cfRule type="containsText" dxfId="1926" priority="1009" operator="containsText" text="Functioning">
      <formula>NOT(ISERROR(SEARCH("Functioning",G141)))</formula>
    </cfRule>
  </conditionalFormatting>
  <conditionalFormatting sqref="A172:D175">
    <cfRule type="beginsWith" dxfId="1925" priority="1004" stopIfTrue="1" operator="beginsWith" text="Functioning At Risk">
      <formula>LEFT(A172,LEN("Functioning At Risk"))="Functioning At Risk"</formula>
    </cfRule>
    <cfRule type="beginsWith" dxfId="1924" priority="1005" stopIfTrue="1" operator="beginsWith" text="Not Functioning">
      <formula>LEFT(A172,LEN("Not Functioning"))="Not Functioning"</formula>
    </cfRule>
    <cfRule type="containsText" dxfId="1923" priority="1006" operator="containsText" text="Functioning">
      <formula>NOT(ISERROR(SEARCH("Functioning",A172)))</formula>
    </cfRule>
  </conditionalFormatting>
  <conditionalFormatting sqref="D175">
    <cfRule type="beginsWith" dxfId="1922" priority="1001" stopIfTrue="1" operator="beginsWith" text="Functioning At Risk">
      <formula>LEFT(D175,LEN("Functioning At Risk"))="Functioning At Risk"</formula>
    </cfRule>
    <cfRule type="beginsWith" dxfId="1921" priority="1002" stopIfTrue="1" operator="beginsWith" text="Not Functioning">
      <formula>LEFT(D175,LEN("Not Functioning"))="Not Functioning"</formula>
    </cfRule>
    <cfRule type="containsText" dxfId="1920" priority="1003" operator="containsText" text="Functioning">
      <formula>NOT(ISERROR(SEARCH("Functioning",D175)))</formula>
    </cfRule>
  </conditionalFormatting>
  <conditionalFormatting sqref="H172:H175">
    <cfRule type="beginsWith" dxfId="1919" priority="998" stopIfTrue="1" operator="beginsWith" text="Functioning At Risk">
      <formula>LEFT(H172,LEN("Functioning At Risk"))="Functioning At Risk"</formula>
    </cfRule>
    <cfRule type="beginsWith" dxfId="1918" priority="999" stopIfTrue="1" operator="beginsWith" text="Not Functioning">
      <formula>LEFT(H172,LEN("Not Functioning"))="Not Functioning"</formula>
    </cfRule>
    <cfRule type="containsText" dxfId="1917" priority="1000" operator="containsText" text="Functioning">
      <formula>NOT(ISERROR(SEARCH("Functioning",H172)))</formula>
    </cfRule>
  </conditionalFormatting>
  <conditionalFormatting sqref="J172:J175">
    <cfRule type="beginsWith" dxfId="1916" priority="995" stopIfTrue="1" operator="beginsWith" text="Functioning At Risk">
      <formula>LEFT(J172,LEN("Functioning At Risk"))="Functioning At Risk"</formula>
    </cfRule>
    <cfRule type="beginsWith" dxfId="1915" priority="996" stopIfTrue="1" operator="beginsWith" text="Not Functioning">
      <formula>LEFT(J172,LEN("Not Functioning"))="Not Functioning"</formula>
    </cfRule>
    <cfRule type="containsText" dxfId="1914" priority="997" operator="containsText" text="Functioning">
      <formula>NOT(ISERROR(SEARCH("Functioning",J172)))</formula>
    </cfRule>
  </conditionalFormatting>
  <conditionalFormatting sqref="G277">
    <cfRule type="beginsWith" dxfId="1913" priority="902" stopIfTrue="1" operator="beginsWith" text="Functioning At Risk">
      <formula>LEFT(G277,LEN("Functioning At Risk"))="Functioning At Risk"</formula>
    </cfRule>
    <cfRule type="beginsWith" dxfId="1912" priority="903" stopIfTrue="1" operator="beginsWith" text="Not Functioning">
      <formula>LEFT(G277,LEN("Not Functioning"))="Not Functioning"</formula>
    </cfRule>
    <cfRule type="containsText" dxfId="1911" priority="904" operator="containsText" text="Functioning">
      <formula>NOT(ISERROR(SEARCH("Functioning",G277)))</formula>
    </cfRule>
  </conditionalFormatting>
  <conditionalFormatting sqref="E172">
    <cfRule type="beginsWith" dxfId="1910" priority="992" stopIfTrue="1" operator="beginsWith" text="Functioning At Risk">
      <formula>LEFT(E172,LEN("Functioning At Risk"))="Functioning At Risk"</formula>
    </cfRule>
    <cfRule type="beginsWith" dxfId="1909" priority="993" stopIfTrue="1" operator="beginsWith" text="Not Functioning">
      <formula>LEFT(E172,LEN("Not Functioning"))="Not Functioning"</formula>
    </cfRule>
    <cfRule type="containsText" dxfId="1908" priority="994" operator="containsText" text="Functioning">
      <formula>NOT(ISERROR(SEARCH("Functioning",E172)))</formula>
    </cfRule>
  </conditionalFormatting>
  <conditionalFormatting sqref="G173">
    <cfRule type="beginsWith" dxfId="1907" priority="989" stopIfTrue="1" operator="beginsWith" text="Functioning At Risk">
      <formula>LEFT(G173,LEN("Functioning At Risk"))="Functioning At Risk"</formula>
    </cfRule>
    <cfRule type="beginsWith" dxfId="1906" priority="990" stopIfTrue="1" operator="beginsWith" text="Not Functioning">
      <formula>LEFT(G173,LEN("Not Functioning"))="Not Functioning"</formula>
    </cfRule>
    <cfRule type="containsText" dxfId="1905" priority="991" operator="containsText" text="Functioning">
      <formula>NOT(ISERROR(SEARCH("Functioning",G173)))</formula>
    </cfRule>
  </conditionalFormatting>
  <conditionalFormatting sqref="G175">
    <cfRule type="beginsWith" dxfId="1904" priority="983" stopIfTrue="1" operator="beginsWith" text="Functioning At Risk">
      <formula>LEFT(G175,LEN("Functioning At Risk"))="Functioning At Risk"</formula>
    </cfRule>
    <cfRule type="beginsWith" dxfId="1903" priority="984" stopIfTrue="1" operator="beginsWith" text="Not Functioning">
      <formula>LEFT(G175,LEN("Not Functioning"))="Not Functioning"</formula>
    </cfRule>
    <cfRule type="containsText" dxfId="1902" priority="985" operator="containsText" text="Functioning">
      <formula>NOT(ISERROR(SEARCH("Functioning",G175)))</formula>
    </cfRule>
  </conditionalFormatting>
  <conditionalFormatting sqref="G175">
    <cfRule type="beginsWith" dxfId="1901" priority="980" stopIfTrue="1" operator="beginsWith" text="Functioning At Risk">
      <formula>LEFT(G175,LEN("Functioning At Risk"))="Functioning At Risk"</formula>
    </cfRule>
    <cfRule type="beginsWith" dxfId="1900" priority="981" stopIfTrue="1" operator="beginsWith" text="Not Functioning">
      <formula>LEFT(G175,LEN("Not Functioning"))="Not Functioning"</formula>
    </cfRule>
    <cfRule type="containsText" dxfId="1899" priority="982" operator="containsText" text="Functioning">
      <formula>NOT(ISERROR(SEARCH("Functioning",G175)))</formula>
    </cfRule>
  </conditionalFormatting>
  <conditionalFormatting sqref="A206:D209">
    <cfRule type="beginsWith" dxfId="1898" priority="977" stopIfTrue="1" operator="beginsWith" text="Functioning At Risk">
      <formula>LEFT(A206,LEN("Functioning At Risk"))="Functioning At Risk"</formula>
    </cfRule>
    <cfRule type="beginsWith" dxfId="1897" priority="978" stopIfTrue="1" operator="beginsWith" text="Not Functioning">
      <formula>LEFT(A206,LEN("Not Functioning"))="Not Functioning"</formula>
    </cfRule>
    <cfRule type="containsText" dxfId="1896" priority="979" operator="containsText" text="Functioning">
      <formula>NOT(ISERROR(SEARCH("Functioning",A206)))</formula>
    </cfRule>
  </conditionalFormatting>
  <conditionalFormatting sqref="D209">
    <cfRule type="beginsWith" dxfId="1895" priority="974" stopIfTrue="1" operator="beginsWith" text="Functioning At Risk">
      <formula>LEFT(D209,LEN("Functioning At Risk"))="Functioning At Risk"</formula>
    </cfRule>
    <cfRule type="beginsWith" dxfId="1894" priority="975" stopIfTrue="1" operator="beginsWith" text="Not Functioning">
      <formula>LEFT(D209,LEN("Not Functioning"))="Not Functioning"</formula>
    </cfRule>
    <cfRule type="containsText" dxfId="1893" priority="976" operator="containsText" text="Functioning">
      <formula>NOT(ISERROR(SEARCH("Functioning",D209)))</formula>
    </cfRule>
  </conditionalFormatting>
  <conditionalFormatting sqref="H206:H209">
    <cfRule type="beginsWith" dxfId="1892" priority="971" stopIfTrue="1" operator="beginsWith" text="Functioning At Risk">
      <formula>LEFT(H206,LEN("Functioning At Risk"))="Functioning At Risk"</formula>
    </cfRule>
    <cfRule type="beginsWith" dxfId="1891" priority="972" stopIfTrue="1" operator="beginsWith" text="Not Functioning">
      <formula>LEFT(H206,LEN("Not Functioning"))="Not Functioning"</formula>
    </cfRule>
    <cfRule type="containsText" dxfId="1890" priority="973" operator="containsText" text="Functioning">
      <formula>NOT(ISERROR(SEARCH("Functioning",H206)))</formula>
    </cfRule>
  </conditionalFormatting>
  <conditionalFormatting sqref="J206:J209">
    <cfRule type="beginsWith" dxfId="1889" priority="968" stopIfTrue="1" operator="beginsWith" text="Functioning At Risk">
      <formula>LEFT(J206,LEN("Functioning At Risk"))="Functioning At Risk"</formula>
    </cfRule>
    <cfRule type="beginsWith" dxfId="1888" priority="969" stopIfTrue="1" operator="beginsWith" text="Not Functioning">
      <formula>LEFT(J206,LEN("Not Functioning"))="Not Functioning"</formula>
    </cfRule>
    <cfRule type="containsText" dxfId="1887" priority="970" operator="containsText" text="Functioning">
      <formula>NOT(ISERROR(SEARCH("Functioning",J206)))</formula>
    </cfRule>
  </conditionalFormatting>
  <conditionalFormatting sqref="G309">
    <cfRule type="beginsWith" dxfId="1886" priority="881" stopIfTrue="1" operator="beginsWith" text="Functioning At Risk">
      <formula>LEFT(G309,LEN("Functioning At Risk"))="Functioning At Risk"</formula>
    </cfRule>
    <cfRule type="beginsWith" dxfId="1885" priority="882" stopIfTrue="1" operator="beginsWith" text="Not Functioning">
      <formula>LEFT(G309,LEN("Not Functioning"))="Not Functioning"</formula>
    </cfRule>
    <cfRule type="containsText" dxfId="1884" priority="883" operator="containsText" text="Functioning">
      <formula>NOT(ISERROR(SEARCH("Functioning",G309)))</formula>
    </cfRule>
  </conditionalFormatting>
  <conditionalFormatting sqref="G207">
    <cfRule type="beginsWith" dxfId="1883" priority="962" stopIfTrue="1" operator="beginsWith" text="Functioning At Risk">
      <formula>LEFT(G207,LEN("Functioning At Risk"))="Functioning At Risk"</formula>
    </cfRule>
    <cfRule type="beginsWith" dxfId="1882" priority="963" stopIfTrue="1" operator="beginsWith" text="Not Functioning">
      <formula>LEFT(G207,LEN("Not Functioning"))="Not Functioning"</formula>
    </cfRule>
    <cfRule type="containsText" dxfId="1881" priority="964" operator="containsText" text="Functioning">
      <formula>NOT(ISERROR(SEARCH("Functioning",G207)))</formula>
    </cfRule>
  </conditionalFormatting>
  <conditionalFormatting sqref="G209">
    <cfRule type="beginsWith" dxfId="1880" priority="956" stopIfTrue="1" operator="beginsWith" text="Functioning At Risk">
      <formula>LEFT(G209,LEN("Functioning At Risk"))="Functioning At Risk"</formula>
    </cfRule>
    <cfRule type="beginsWith" dxfId="1879" priority="957" stopIfTrue="1" operator="beginsWith" text="Not Functioning">
      <formula>LEFT(G209,LEN("Not Functioning"))="Not Functioning"</formula>
    </cfRule>
    <cfRule type="containsText" dxfId="1878" priority="958" operator="containsText" text="Functioning">
      <formula>NOT(ISERROR(SEARCH("Functioning",G209)))</formula>
    </cfRule>
  </conditionalFormatting>
  <conditionalFormatting sqref="G209">
    <cfRule type="beginsWith" dxfId="1877" priority="953" stopIfTrue="1" operator="beginsWith" text="Functioning At Risk">
      <formula>LEFT(G209,LEN("Functioning At Risk"))="Functioning At Risk"</formula>
    </cfRule>
    <cfRule type="beginsWith" dxfId="1876" priority="954" stopIfTrue="1" operator="beginsWith" text="Not Functioning">
      <formula>LEFT(G209,LEN("Not Functioning"))="Not Functioning"</formula>
    </cfRule>
    <cfRule type="containsText" dxfId="1875" priority="955" operator="containsText" text="Functioning">
      <formula>NOT(ISERROR(SEARCH("Functioning",G209)))</formula>
    </cfRule>
  </conditionalFormatting>
  <conditionalFormatting sqref="A240:D243">
    <cfRule type="beginsWith" dxfId="1874" priority="950" stopIfTrue="1" operator="beginsWith" text="Functioning At Risk">
      <formula>LEFT(A240,LEN("Functioning At Risk"))="Functioning At Risk"</formula>
    </cfRule>
    <cfRule type="beginsWith" dxfId="1873" priority="951" stopIfTrue="1" operator="beginsWith" text="Not Functioning">
      <formula>LEFT(A240,LEN("Not Functioning"))="Not Functioning"</formula>
    </cfRule>
    <cfRule type="containsText" dxfId="1872" priority="952" operator="containsText" text="Functioning">
      <formula>NOT(ISERROR(SEARCH("Functioning",A240)))</formula>
    </cfRule>
  </conditionalFormatting>
  <conditionalFormatting sqref="D243">
    <cfRule type="beginsWith" dxfId="1871" priority="947" stopIfTrue="1" operator="beginsWith" text="Functioning At Risk">
      <formula>LEFT(D243,LEN("Functioning At Risk"))="Functioning At Risk"</formula>
    </cfRule>
    <cfRule type="beginsWith" dxfId="1870" priority="948" stopIfTrue="1" operator="beginsWith" text="Not Functioning">
      <formula>LEFT(D243,LEN("Not Functioning"))="Not Functioning"</formula>
    </cfRule>
    <cfRule type="containsText" dxfId="1869" priority="949" operator="containsText" text="Functioning">
      <formula>NOT(ISERROR(SEARCH("Functioning",D243)))</formula>
    </cfRule>
  </conditionalFormatting>
  <conditionalFormatting sqref="J240:J243">
    <cfRule type="beginsWith" dxfId="1868" priority="941" stopIfTrue="1" operator="beginsWith" text="Functioning At Risk">
      <formula>LEFT(J240,LEN("Functioning At Risk"))="Functioning At Risk"</formula>
    </cfRule>
    <cfRule type="beginsWith" dxfId="1867" priority="942" stopIfTrue="1" operator="beginsWith" text="Not Functioning">
      <formula>LEFT(J240,LEN("Not Functioning"))="Not Functioning"</formula>
    </cfRule>
    <cfRule type="containsText" dxfId="1866" priority="943" operator="containsText" text="Functioning">
      <formula>NOT(ISERROR(SEARCH("Functioning",J240)))</formula>
    </cfRule>
  </conditionalFormatting>
  <conditionalFormatting sqref="I43:I45">
    <cfRule type="beginsWith" dxfId="1865" priority="860" stopIfTrue="1" operator="beginsWith" text="Functioning At Risk">
      <formula>LEFT(I43,LEN("Functioning At Risk"))="Functioning At Risk"</formula>
    </cfRule>
    <cfRule type="beginsWith" dxfId="1864" priority="861" stopIfTrue="1" operator="beginsWith" text="Not Functioning">
      <formula>LEFT(I43,LEN("Not Functioning"))="Not Functioning"</formula>
    </cfRule>
    <cfRule type="containsText" dxfId="1863" priority="862" operator="containsText" text="Functioning">
      <formula>NOT(ISERROR(SEARCH("Functioning",I43)))</formula>
    </cfRule>
  </conditionalFormatting>
  <conditionalFormatting sqref="E240">
    <cfRule type="beginsWith" dxfId="1862" priority="938" stopIfTrue="1" operator="beginsWith" text="Functioning At Risk">
      <formula>LEFT(E240,LEN("Functioning At Risk"))="Functioning At Risk"</formula>
    </cfRule>
    <cfRule type="beginsWith" dxfId="1861" priority="939" stopIfTrue="1" operator="beginsWith" text="Not Functioning">
      <formula>LEFT(E240,LEN("Not Functioning"))="Not Functioning"</formula>
    </cfRule>
    <cfRule type="containsText" dxfId="1860" priority="940" operator="containsText" text="Functioning">
      <formula>NOT(ISERROR(SEARCH("Functioning",E240)))</formula>
    </cfRule>
  </conditionalFormatting>
  <conditionalFormatting sqref="G241">
    <cfRule type="beginsWith" dxfId="1859" priority="935" stopIfTrue="1" operator="beginsWith" text="Functioning At Risk">
      <formula>LEFT(G241,LEN("Functioning At Risk"))="Functioning At Risk"</formula>
    </cfRule>
    <cfRule type="beginsWith" dxfId="1858" priority="936" stopIfTrue="1" operator="beginsWith" text="Not Functioning">
      <formula>LEFT(G241,LEN("Not Functioning"))="Not Functioning"</formula>
    </cfRule>
    <cfRule type="containsText" dxfId="1857" priority="937" operator="containsText" text="Functioning">
      <formula>NOT(ISERROR(SEARCH("Functioning",G241)))</formula>
    </cfRule>
  </conditionalFormatting>
  <conditionalFormatting sqref="G243">
    <cfRule type="beginsWith" dxfId="1856" priority="929" stopIfTrue="1" operator="beginsWith" text="Functioning At Risk">
      <formula>LEFT(G243,LEN("Functioning At Risk"))="Functioning At Risk"</formula>
    </cfRule>
    <cfRule type="beginsWith" dxfId="1855" priority="930" stopIfTrue="1" operator="beginsWith" text="Not Functioning">
      <formula>LEFT(G243,LEN("Not Functioning"))="Not Functioning"</formula>
    </cfRule>
    <cfRule type="containsText" dxfId="1854" priority="931" operator="containsText" text="Functioning">
      <formula>NOT(ISERROR(SEARCH("Functioning",G243)))</formula>
    </cfRule>
  </conditionalFormatting>
  <conditionalFormatting sqref="G243">
    <cfRule type="beginsWith" dxfId="1853" priority="926" stopIfTrue="1" operator="beginsWith" text="Functioning At Risk">
      <formula>LEFT(G243,LEN("Functioning At Risk"))="Functioning At Risk"</formula>
    </cfRule>
    <cfRule type="beginsWith" dxfId="1852" priority="927" stopIfTrue="1" operator="beginsWith" text="Not Functioning">
      <formula>LEFT(G243,LEN("Not Functioning"))="Not Functioning"</formula>
    </cfRule>
    <cfRule type="containsText" dxfId="1851" priority="928" operator="containsText" text="Functioning">
      <formula>NOT(ISERROR(SEARCH("Functioning",G243)))</formula>
    </cfRule>
  </conditionalFormatting>
  <conditionalFormatting sqref="D277">
    <cfRule type="beginsWith" dxfId="1850" priority="920" stopIfTrue="1" operator="beginsWith" text="Functioning At Risk">
      <formula>LEFT(D277,LEN("Functioning At Risk"))="Functioning At Risk"</formula>
    </cfRule>
    <cfRule type="beginsWith" dxfId="1849" priority="921" stopIfTrue="1" operator="beginsWith" text="Not Functioning">
      <formula>LEFT(D277,LEN("Not Functioning"))="Not Functioning"</formula>
    </cfRule>
    <cfRule type="containsText" dxfId="1848" priority="922" operator="containsText" text="Functioning">
      <formula>NOT(ISERROR(SEARCH("Functioning",D277)))</formula>
    </cfRule>
  </conditionalFormatting>
  <conditionalFormatting sqref="H274:H277">
    <cfRule type="beginsWith" dxfId="1847" priority="917" stopIfTrue="1" operator="beginsWith" text="Functioning At Risk">
      <formula>LEFT(H274,LEN("Functioning At Risk"))="Functioning At Risk"</formula>
    </cfRule>
    <cfRule type="beginsWith" dxfId="1846" priority="918" stopIfTrue="1" operator="beginsWith" text="Not Functioning">
      <formula>LEFT(H274,LEN("Not Functioning"))="Not Functioning"</formula>
    </cfRule>
    <cfRule type="containsText" dxfId="1845" priority="919" operator="containsText" text="Functioning">
      <formula>NOT(ISERROR(SEARCH("Functioning",H274)))</formula>
    </cfRule>
  </conditionalFormatting>
  <conditionalFormatting sqref="J274:J277">
    <cfRule type="beginsWith" dxfId="1844" priority="914" stopIfTrue="1" operator="beginsWith" text="Functioning At Risk">
      <formula>LEFT(J274,LEN("Functioning At Risk"))="Functioning At Risk"</formula>
    </cfRule>
    <cfRule type="beginsWith" dxfId="1843" priority="915" stopIfTrue="1" operator="beginsWith" text="Not Functioning">
      <formula>LEFT(J274,LEN("Not Functioning"))="Not Functioning"</formula>
    </cfRule>
    <cfRule type="containsText" dxfId="1842" priority="916" operator="containsText" text="Functioning">
      <formula>NOT(ISERROR(SEARCH("Functioning",J274)))</formula>
    </cfRule>
  </conditionalFormatting>
  <conditionalFormatting sqref="E274">
    <cfRule type="beginsWith" dxfId="1841" priority="911" stopIfTrue="1" operator="beginsWith" text="Functioning At Risk">
      <formula>LEFT(E274,LEN("Functioning At Risk"))="Functioning At Risk"</formula>
    </cfRule>
    <cfRule type="beginsWith" dxfId="1840" priority="912" stopIfTrue="1" operator="beginsWith" text="Not Functioning">
      <formula>LEFT(E274,LEN("Not Functioning"))="Not Functioning"</formula>
    </cfRule>
    <cfRule type="containsText" dxfId="1839" priority="913" operator="containsText" text="Functioning">
      <formula>NOT(ISERROR(SEARCH("Functioning",E274)))</formula>
    </cfRule>
  </conditionalFormatting>
  <conditionalFormatting sqref="G275">
    <cfRule type="beginsWith" dxfId="1838" priority="908" stopIfTrue="1" operator="beginsWith" text="Functioning At Risk">
      <formula>LEFT(G275,LEN("Functioning At Risk"))="Functioning At Risk"</formula>
    </cfRule>
    <cfRule type="beginsWith" dxfId="1837" priority="909" stopIfTrue="1" operator="beginsWith" text="Not Functioning">
      <formula>LEFT(G275,LEN("Not Functioning"))="Not Functioning"</formula>
    </cfRule>
    <cfRule type="containsText" dxfId="1836" priority="910" operator="containsText" text="Functioning">
      <formula>NOT(ISERROR(SEARCH("Functioning",G275)))</formula>
    </cfRule>
  </conditionalFormatting>
  <conditionalFormatting sqref="G277">
    <cfRule type="beginsWith" dxfId="1835" priority="899" stopIfTrue="1" operator="beginsWith" text="Functioning At Risk">
      <formula>LEFT(G277,LEN("Functioning At Risk"))="Functioning At Risk"</formula>
    </cfRule>
    <cfRule type="beginsWith" dxfId="1834" priority="900" stopIfTrue="1" operator="beginsWith" text="Not Functioning">
      <formula>LEFT(G277,LEN("Not Functioning"))="Not Functioning"</formula>
    </cfRule>
    <cfRule type="containsText" dxfId="1833" priority="901" operator="containsText" text="Functioning">
      <formula>NOT(ISERROR(SEARCH("Functioning",G277)))</formula>
    </cfRule>
  </conditionalFormatting>
  <conditionalFormatting sqref="A308:D311">
    <cfRule type="beginsWith" dxfId="1832" priority="896" stopIfTrue="1" operator="beginsWith" text="Functioning At Risk">
      <formula>LEFT(A308,LEN("Functioning At Risk"))="Functioning At Risk"</formula>
    </cfRule>
    <cfRule type="beginsWith" dxfId="1831" priority="897" stopIfTrue="1" operator="beginsWith" text="Not Functioning">
      <formula>LEFT(A308,LEN("Not Functioning"))="Not Functioning"</formula>
    </cfRule>
    <cfRule type="containsText" dxfId="1830" priority="898" operator="containsText" text="Functioning">
      <formula>NOT(ISERROR(SEARCH("Functioning",A308)))</formula>
    </cfRule>
  </conditionalFormatting>
  <conditionalFormatting sqref="D311">
    <cfRule type="beginsWith" dxfId="1829" priority="893" stopIfTrue="1" operator="beginsWith" text="Functioning At Risk">
      <formula>LEFT(D311,LEN("Functioning At Risk"))="Functioning At Risk"</formula>
    </cfRule>
    <cfRule type="beginsWith" dxfId="1828" priority="894" stopIfTrue="1" operator="beginsWith" text="Not Functioning">
      <formula>LEFT(D311,LEN("Not Functioning"))="Not Functioning"</formula>
    </cfRule>
    <cfRule type="containsText" dxfId="1827" priority="895" operator="containsText" text="Functioning">
      <formula>NOT(ISERROR(SEARCH("Functioning",D311)))</formula>
    </cfRule>
  </conditionalFormatting>
  <conditionalFormatting sqref="H308:H311">
    <cfRule type="beginsWith" dxfId="1826" priority="890" stopIfTrue="1" operator="beginsWith" text="Functioning At Risk">
      <formula>LEFT(H308,LEN("Functioning At Risk"))="Functioning At Risk"</formula>
    </cfRule>
    <cfRule type="beginsWith" dxfId="1825" priority="891" stopIfTrue="1" operator="beginsWith" text="Not Functioning">
      <formula>LEFT(H308,LEN("Not Functioning"))="Not Functioning"</formula>
    </cfRule>
    <cfRule type="containsText" dxfId="1824" priority="892" operator="containsText" text="Functioning">
      <formula>NOT(ISERROR(SEARCH("Functioning",H308)))</formula>
    </cfRule>
  </conditionalFormatting>
  <conditionalFormatting sqref="J308:J311">
    <cfRule type="beginsWith" dxfId="1823" priority="887" stopIfTrue="1" operator="beginsWith" text="Functioning At Risk">
      <formula>LEFT(J308,LEN("Functioning At Risk"))="Functioning At Risk"</formula>
    </cfRule>
    <cfRule type="beginsWith" dxfId="1822" priority="888" stopIfTrue="1" operator="beginsWith" text="Not Functioning">
      <formula>LEFT(J308,LEN("Not Functioning"))="Not Functioning"</formula>
    </cfRule>
    <cfRule type="containsText" dxfId="1821" priority="889" operator="containsText" text="Functioning">
      <formula>NOT(ISERROR(SEARCH("Functioning",J308)))</formula>
    </cfRule>
  </conditionalFormatting>
  <conditionalFormatting sqref="E308">
    <cfRule type="beginsWith" dxfId="1820" priority="884" stopIfTrue="1" operator="beginsWith" text="Functioning At Risk">
      <formula>LEFT(E308,LEN("Functioning At Risk"))="Functioning At Risk"</formula>
    </cfRule>
    <cfRule type="beginsWith" dxfId="1819" priority="885" stopIfTrue="1" operator="beginsWith" text="Not Functioning">
      <formula>LEFT(E308,LEN("Not Functioning"))="Not Functioning"</formula>
    </cfRule>
    <cfRule type="containsText" dxfId="1818" priority="886" operator="containsText" text="Functioning">
      <formula>NOT(ISERROR(SEARCH("Functioning",E308)))</formula>
    </cfRule>
  </conditionalFormatting>
  <conditionalFormatting sqref="G311">
    <cfRule type="beginsWith" dxfId="1817" priority="875" stopIfTrue="1" operator="beginsWith" text="Functioning At Risk">
      <formula>LEFT(G311,LEN("Functioning At Risk"))="Functioning At Risk"</formula>
    </cfRule>
    <cfRule type="beginsWith" dxfId="1816" priority="876" stopIfTrue="1" operator="beginsWith" text="Not Functioning">
      <formula>LEFT(G311,LEN("Not Functioning"))="Not Functioning"</formula>
    </cfRule>
    <cfRule type="containsText" dxfId="1815" priority="877" operator="containsText" text="Functioning">
      <formula>NOT(ISERROR(SEARCH("Functioning",G311)))</formula>
    </cfRule>
  </conditionalFormatting>
  <conditionalFormatting sqref="H43:H44">
    <cfRule type="beginsWith" dxfId="1814" priority="869" stopIfTrue="1" operator="beginsWith" text="Functioning At Risk">
      <formula>LEFT(H43,LEN("Functioning At Risk"))="Functioning At Risk"</formula>
    </cfRule>
    <cfRule type="beginsWith" dxfId="1813" priority="870" stopIfTrue="1" operator="beginsWith" text="Not Functioning">
      <formula>LEFT(H43,LEN("Not Functioning"))="Not Functioning"</formula>
    </cfRule>
    <cfRule type="containsText" dxfId="1812" priority="871" operator="containsText" text="Functioning">
      <formula>NOT(ISERROR(SEARCH("Functioning",H43)))</formula>
    </cfRule>
  </conditionalFormatting>
  <conditionalFormatting sqref="H46:I46">
    <cfRule type="beginsWith" dxfId="1811" priority="866" stopIfTrue="1" operator="beginsWith" text="Functioning At Risk">
      <formula>LEFT(H46,LEN("Functioning At Risk"))="Functioning At Risk"</formula>
    </cfRule>
    <cfRule type="beginsWith" dxfId="1810" priority="867" stopIfTrue="1" operator="beginsWith" text="Not Functioning">
      <formula>LEFT(H46,LEN("Not Functioning"))="Not Functioning"</formula>
    </cfRule>
    <cfRule type="containsText" dxfId="1809" priority="868" operator="containsText" text="Functioning">
      <formula>NOT(ISERROR(SEARCH("Functioning",H46)))</formula>
    </cfRule>
  </conditionalFormatting>
  <conditionalFormatting sqref="D51 C50:D50">
    <cfRule type="beginsWith" dxfId="1808" priority="851" stopIfTrue="1" operator="beginsWith" text="Functioning At Risk">
      <formula>LEFT(C50,LEN("Functioning At Risk"))="Functioning At Risk"</formula>
    </cfRule>
    <cfRule type="beginsWith" dxfId="1807" priority="852" stopIfTrue="1" operator="beginsWith" text="Not Functioning">
      <formula>LEFT(C50,LEN("Not Functioning"))="Not Functioning"</formula>
    </cfRule>
    <cfRule type="containsText" dxfId="1806" priority="853" operator="containsText" text="Functioning">
      <formula>NOT(ISERROR(SEARCH("Functioning",C50)))</formula>
    </cfRule>
  </conditionalFormatting>
  <conditionalFormatting sqref="C53:D53">
    <cfRule type="beginsWith" dxfId="1805" priority="838" stopIfTrue="1" operator="beginsWith" text="Functioning At Risk">
      <formula>LEFT(C53,LEN("Functioning At Risk"))="Functioning At Risk"</formula>
    </cfRule>
    <cfRule type="beginsWith" dxfId="1804" priority="839" stopIfTrue="1" operator="beginsWith" text="Not Functioning">
      <formula>LEFT(C53,LEN("Not Functioning"))="Not Functioning"</formula>
    </cfRule>
    <cfRule type="containsText" dxfId="1803" priority="840" operator="containsText" text="Functioning">
      <formula>NOT(ISERROR(SEARCH("Functioning",C53)))</formula>
    </cfRule>
  </conditionalFormatting>
  <conditionalFormatting sqref="B54:D54 C55:D55 D56:D57">
    <cfRule type="beginsWith" dxfId="1802" priority="823" stopIfTrue="1" operator="beginsWith" text="Functioning At Risk">
      <formula>LEFT(B54,LEN("Functioning At Risk"))="Functioning At Risk"</formula>
    </cfRule>
    <cfRule type="beginsWith" dxfId="1801" priority="824" stopIfTrue="1" operator="beginsWith" text="Not Functioning">
      <formula>LEFT(B54,LEN("Not Functioning"))="Not Functioning"</formula>
    </cfRule>
    <cfRule type="containsText" dxfId="1800" priority="825" operator="containsText" text="Functioning">
      <formula>NOT(ISERROR(SEARCH("Functioning",B54)))</formula>
    </cfRule>
  </conditionalFormatting>
  <conditionalFormatting sqref="C56">
    <cfRule type="beginsWith" dxfId="1799" priority="820" stopIfTrue="1" operator="beginsWith" text="Functioning At Risk">
      <formula>LEFT(C56,LEN("Functioning At Risk"))="Functioning At Risk"</formula>
    </cfRule>
    <cfRule type="beginsWith" dxfId="1798" priority="821" stopIfTrue="1" operator="beginsWith" text="Not Functioning">
      <formula>LEFT(C56,LEN("Not Functioning"))="Not Functioning"</formula>
    </cfRule>
    <cfRule type="containsText" dxfId="1797" priority="822" operator="containsText" text="Functioning">
      <formula>NOT(ISERROR(SEARCH("Functioning",C56)))</formula>
    </cfRule>
  </conditionalFormatting>
  <conditionalFormatting sqref="C57">
    <cfRule type="beginsWith" dxfId="1796" priority="817" stopIfTrue="1" operator="beginsWith" text="Functioning At Risk">
      <formula>LEFT(C57,LEN("Functioning At Risk"))="Functioning At Risk"</formula>
    </cfRule>
    <cfRule type="beginsWith" dxfId="1795" priority="818" stopIfTrue="1" operator="beginsWith" text="Not Functioning">
      <formula>LEFT(C57,LEN("Not Functioning"))="Not Functioning"</formula>
    </cfRule>
    <cfRule type="containsText" dxfId="1794" priority="819" operator="containsText" text="Functioning">
      <formula>NOT(ISERROR(SEARCH("Functioning",C57)))</formula>
    </cfRule>
  </conditionalFormatting>
  <conditionalFormatting sqref="B58">
    <cfRule type="beginsWith" dxfId="1793" priority="826" stopIfTrue="1" operator="beginsWith" text="Functioning At Risk">
      <formula>LEFT(B58,LEN("Functioning At Risk"))="Functioning At Risk"</formula>
    </cfRule>
    <cfRule type="beginsWith" dxfId="1792" priority="827" stopIfTrue="1" operator="beginsWith" text="Not Functioning">
      <formula>LEFT(B58,LEN("Not Functioning"))="Not Functioning"</formula>
    </cfRule>
    <cfRule type="containsText" dxfId="1791" priority="828" operator="containsText" text="Functioning">
      <formula>NOT(ISERROR(SEARCH("Functioning",B58)))</formula>
    </cfRule>
  </conditionalFormatting>
  <conditionalFormatting sqref="D63:D64">
    <cfRule type="beginsWith" dxfId="1790" priority="814" stopIfTrue="1" operator="beginsWith" text="Functioning At Risk">
      <formula>LEFT(D63,LEN("Functioning At Risk"))="Functioning At Risk"</formula>
    </cfRule>
    <cfRule type="beginsWith" dxfId="1789" priority="815" stopIfTrue="1" operator="beginsWith" text="Not Functioning">
      <formula>LEFT(D63,LEN("Not Functioning"))="Not Functioning"</formula>
    </cfRule>
    <cfRule type="containsText" dxfId="1788" priority="816" operator="containsText" text="Functioning">
      <formula>NOT(ISERROR(SEARCH("Functioning",D63)))</formula>
    </cfRule>
  </conditionalFormatting>
  <conditionalFormatting sqref="H62">
    <cfRule type="beginsWith" dxfId="1787" priority="811" stopIfTrue="1" operator="beginsWith" text="Functioning At Risk">
      <formula>LEFT(H62,LEN("Functioning At Risk"))="Functioning At Risk"</formula>
    </cfRule>
    <cfRule type="beginsWith" dxfId="1786" priority="812" stopIfTrue="1" operator="beginsWith" text="Not Functioning">
      <formula>LEFT(H62,LEN("Not Functioning"))="Not Functioning"</formula>
    </cfRule>
    <cfRule type="containsText" dxfId="1785" priority="813" operator="containsText" text="Functioning">
      <formula>NOT(ISERROR(SEARCH("Functioning",H62)))</formula>
    </cfRule>
  </conditionalFormatting>
  <conditionalFormatting sqref="A62">
    <cfRule type="beginsWith" dxfId="1784" priority="808" stopIfTrue="1" operator="beginsWith" text="Functioning At Risk">
      <formula>LEFT(A62,LEN("Functioning At Risk"))="Functioning At Risk"</formula>
    </cfRule>
    <cfRule type="beginsWith" dxfId="1783" priority="809" stopIfTrue="1" operator="beginsWith" text="Not Functioning">
      <formula>LEFT(A62,LEN("Not Functioning"))="Not Functioning"</formula>
    </cfRule>
    <cfRule type="containsText" dxfId="1782" priority="810" operator="containsText" text="Functioning">
      <formula>NOT(ISERROR(SEARCH("Functioning",A62)))</formula>
    </cfRule>
  </conditionalFormatting>
  <conditionalFormatting sqref="D65">
    <cfRule type="beginsWith" dxfId="1781" priority="805" stopIfTrue="1" operator="beginsWith" text="Functioning At Risk">
      <formula>LEFT(D65,LEN("Functioning At Risk"))="Functioning At Risk"</formula>
    </cfRule>
    <cfRule type="beginsWith" dxfId="1780" priority="806" stopIfTrue="1" operator="beginsWith" text="Not Functioning">
      <formula>LEFT(D65,LEN("Not Functioning"))="Not Functioning"</formula>
    </cfRule>
    <cfRule type="containsText" dxfId="1779" priority="807" operator="containsText" text="Functioning">
      <formula>NOT(ISERROR(SEARCH("Functioning",D65)))</formula>
    </cfRule>
  </conditionalFormatting>
  <conditionalFormatting sqref="D66">
    <cfRule type="beginsWith" dxfId="1778" priority="802" stopIfTrue="1" operator="beginsWith" text="Functioning At Risk">
      <formula>LEFT(D66,LEN("Functioning At Risk"))="Functioning At Risk"</formula>
    </cfRule>
    <cfRule type="beginsWith" dxfId="1777" priority="803" stopIfTrue="1" operator="beginsWith" text="Not Functioning">
      <formula>LEFT(D66,LEN("Not Functioning"))="Not Functioning"</formula>
    </cfRule>
    <cfRule type="containsText" dxfId="1776" priority="804" operator="containsText" text="Functioning">
      <formula>NOT(ISERROR(SEARCH("Functioning",D66)))</formula>
    </cfRule>
  </conditionalFormatting>
  <conditionalFormatting sqref="B66">
    <cfRule type="beginsWith" dxfId="1775" priority="799" stopIfTrue="1" operator="beginsWith" text="Functioning At Risk">
      <formula>LEFT(B66,LEN("Functioning At Risk"))="Functioning At Risk"</formula>
    </cfRule>
    <cfRule type="beginsWith" dxfId="1774" priority="800" stopIfTrue="1" operator="beginsWith" text="Not Functioning">
      <formula>LEFT(B66,LEN("Not Functioning"))="Not Functioning"</formula>
    </cfRule>
    <cfRule type="containsText" dxfId="1773" priority="801" operator="containsText" text="Functioning">
      <formula>NOT(ISERROR(SEARCH("Functioning",B66)))</formula>
    </cfRule>
  </conditionalFormatting>
  <conditionalFormatting sqref="B65">
    <cfRule type="beginsWith" dxfId="1772" priority="796" stopIfTrue="1" operator="beginsWith" text="Functioning At Risk">
      <formula>LEFT(B65,LEN("Functioning At Risk"))="Functioning At Risk"</formula>
    </cfRule>
    <cfRule type="beginsWith" dxfId="1771" priority="797" stopIfTrue="1" operator="beginsWith" text="Not Functioning">
      <formula>LEFT(B65,LEN("Not Functioning"))="Not Functioning"</formula>
    </cfRule>
    <cfRule type="containsText" dxfId="1770" priority="798" operator="containsText" text="Functioning">
      <formula>NOT(ISERROR(SEARCH("Functioning",B65)))</formula>
    </cfRule>
  </conditionalFormatting>
  <conditionalFormatting sqref="J43:J45">
    <cfRule type="beginsWith" dxfId="1769" priority="793" stopIfTrue="1" operator="beginsWith" text="Functioning At Risk">
      <formula>LEFT(J43,LEN("Functioning At Risk"))="Functioning At Risk"</formula>
    </cfRule>
    <cfRule type="beginsWith" dxfId="1768" priority="794" stopIfTrue="1" operator="beginsWith" text="Not Functioning">
      <formula>LEFT(J43,LEN("Not Functioning"))="Not Functioning"</formula>
    </cfRule>
    <cfRule type="containsText" dxfId="1767" priority="795" operator="containsText" text="Functioning">
      <formula>NOT(ISERROR(SEARCH("Functioning",J43)))</formula>
    </cfRule>
  </conditionalFormatting>
  <conditionalFormatting sqref="B100">
    <cfRule type="beginsWith" dxfId="1766" priority="730" stopIfTrue="1" operator="beginsWith" text="Functioning At Risk">
      <formula>LEFT(B100,LEN("Functioning At Risk"))="Functioning At Risk"</formula>
    </cfRule>
    <cfRule type="beginsWith" dxfId="1765" priority="731" stopIfTrue="1" operator="beginsWith" text="Not Functioning">
      <formula>LEFT(B100,LEN("Not Functioning"))="Not Functioning"</formula>
    </cfRule>
    <cfRule type="containsText" dxfId="1764" priority="732" operator="containsText" text="Functioning">
      <formula>NOT(ISERROR(SEARCH("Functioning",B100)))</formula>
    </cfRule>
  </conditionalFormatting>
  <conditionalFormatting sqref="H77:H78">
    <cfRule type="beginsWith" dxfId="1763" priority="790" stopIfTrue="1" operator="beginsWith" text="Functioning At Risk">
      <formula>LEFT(H77,LEN("Functioning At Risk"))="Functioning At Risk"</formula>
    </cfRule>
    <cfRule type="beginsWith" dxfId="1762" priority="791" stopIfTrue="1" operator="beginsWith" text="Not Functioning">
      <formula>LEFT(H77,LEN("Not Functioning"))="Not Functioning"</formula>
    </cfRule>
    <cfRule type="containsText" dxfId="1761" priority="792" operator="containsText" text="Functioning">
      <formula>NOT(ISERROR(SEARCH("Functioning",H77)))</formula>
    </cfRule>
  </conditionalFormatting>
  <conditionalFormatting sqref="I77:I79">
    <cfRule type="beginsWith" dxfId="1760" priority="787" stopIfTrue="1" operator="beginsWith" text="Functioning At Risk">
      <formula>LEFT(I77,LEN("Functioning At Risk"))="Functioning At Risk"</formula>
    </cfRule>
    <cfRule type="beginsWith" dxfId="1759" priority="788" stopIfTrue="1" operator="beginsWith" text="Not Functioning">
      <formula>LEFT(I77,LEN("Not Functioning"))="Not Functioning"</formula>
    </cfRule>
    <cfRule type="containsText" dxfId="1758" priority="789" operator="containsText" text="Functioning">
      <formula>NOT(ISERROR(SEARCH("Functioning",I77)))</formula>
    </cfRule>
  </conditionalFormatting>
  <conditionalFormatting sqref="A80:D80 C81:D81">
    <cfRule type="beginsWith" dxfId="1757" priority="784" stopIfTrue="1" operator="beginsWith" text="Functioning At Risk">
      <formula>LEFT(A80,LEN("Functioning At Risk"))="Functioning At Risk"</formula>
    </cfRule>
    <cfRule type="beginsWith" dxfId="1756" priority="785" stopIfTrue="1" operator="beginsWith" text="Not Functioning">
      <formula>LEFT(A80,LEN("Not Functioning"))="Not Functioning"</formula>
    </cfRule>
    <cfRule type="containsText" dxfId="1755" priority="786" operator="containsText" text="Functioning">
      <formula>NOT(ISERROR(SEARCH("Functioning",A80)))</formula>
    </cfRule>
  </conditionalFormatting>
  <conditionalFormatting sqref="H80:I80">
    <cfRule type="beginsWith" dxfId="1754" priority="781" stopIfTrue="1" operator="beginsWith" text="Functioning At Risk">
      <formula>LEFT(H80,LEN("Functioning At Risk"))="Functioning At Risk"</formula>
    </cfRule>
    <cfRule type="beginsWith" dxfId="1753" priority="782" stopIfTrue="1" operator="beginsWith" text="Not Functioning">
      <formula>LEFT(H80,LEN("Not Functioning"))="Not Functioning"</formula>
    </cfRule>
    <cfRule type="containsText" dxfId="1752" priority="783" operator="containsText" text="Functioning">
      <formula>NOT(ISERROR(SEARCH("Functioning",H80)))</formula>
    </cfRule>
  </conditionalFormatting>
  <conditionalFormatting sqref="H82:I83 A82:D82 A83 C83:D83">
    <cfRule type="beginsWith" dxfId="1751" priority="775" stopIfTrue="1" operator="beginsWith" text="Functioning At Risk">
      <formula>LEFT(A82,LEN("Functioning At Risk"))="Functioning At Risk"</formula>
    </cfRule>
    <cfRule type="beginsWith" dxfId="1750" priority="776" stopIfTrue="1" operator="beginsWith" text="Not Functioning">
      <formula>LEFT(A82,LEN("Not Functioning"))="Not Functioning"</formula>
    </cfRule>
    <cfRule type="containsText" dxfId="1749" priority="777" operator="containsText" text="Functioning">
      <formula>NOT(ISERROR(SEARCH("Functioning",A82)))</formula>
    </cfRule>
  </conditionalFormatting>
  <conditionalFormatting sqref="D85 C84:D84">
    <cfRule type="beginsWith" dxfId="1748" priority="769" stopIfTrue="1" operator="beginsWith" text="Functioning At Risk">
      <formula>LEFT(C84,LEN("Functioning At Risk"))="Functioning At Risk"</formula>
    </cfRule>
    <cfRule type="beginsWith" dxfId="1747" priority="770" stopIfTrue="1" operator="beginsWith" text="Not Functioning">
      <formula>LEFT(C84,LEN("Not Functioning"))="Not Functioning"</formula>
    </cfRule>
    <cfRule type="containsText" dxfId="1746" priority="771" operator="containsText" text="Functioning">
      <formula>NOT(ISERROR(SEARCH("Functioning",C84)))</formula>
    </cfRule>
  </conditionalFormatting>
  <conditionalFormatting sqref="C87:D87">
    <cfRule type="beginsWith" dxfId="1745" priority="763" stopIfTrue="1" operator="beginsWith" text="Functioning At Risk">
      <formula>LEFT(C87,LEN("Functioning At Risk"))="Functioning At Risk"</formula>
    </cfRule>
    <cfRule type="beginsWith" dxfId="1744" priority="764" stopIfTrue="1" operator="beginsWith" text="Not Functioning">
      <formula>LEFT(C87,LEN("Not Functioning"))="Not Functioning"</formula>
    </cfRule>
    <cfRule type="containsText" dxfId="1743" priority="765" operator="containsText" text="Functioning">
      <formula>NOT(ISERROR(SEARCH("Functioning",C87)))</formula>
    </cfRule>
  </conditionalFormatting>
  <conditionalFormatting sqref="B88:D88 C89:D89 D90:D91">
    <cfRule type="beginsWith" dxfId="1742" priority="757" stopIfTrue="1" operator="beginsWith" text="Functioning At Risk">
      <formula>LEFT(B88,LEN("Functioning At Risk"))="Functioning At Risk"</formula>
    </cfRule>
    <cfRule type="beginsWith" dxfId="1741" priority="758" stopIfTrue="1" operator="beginsWith" text="Not Functioning">
      <formula>LEFT(B88,LEN("Not Functioning"))="Not Functioning"</formula>
    </cfRule>
    <cfRule type="containsText" dxfId="1740" priority="759" operator="containsText" text="Functioning">
      <formula>NOT(ISERROR(SEARCH("Functioning",B88)))</formula>
    </cfRule>
  </conditionalFormatting>
  <conditionalFormatting sqref="C90">
    <cfRule type="beginsWith" dxfId="1739" priority="754" stopIfTrue="1" operator="beginsWith" text="Functioning At Risk">
      <formula>LEFT(C90,LEN("Functioning At Risk"))="Functioning At Risk"</formula>
    </cfRule>
    <cfRule type="beginsWith" dxfId="1738" priority="755" stopIfTrue="1" operator="beginsWith" text="Not Functioning">
      <formula>LEFT(C90,LEN("Not Functioning"))="Not Functioning"</formula>
    </cfRule>
    <cfRule type="containsText" dxfId="1737" priority="756" operator="containsText" text="Functioning">
      <formula>NOT(ISERROR(SEARCH("Functioning",C90)))</formula>
    </cfRule>
  </conditionalFormatting>
  <conditionalFormatting sqref="C91">
    <cfRule type="beginsWith" dxfId="1736" priority="751" stopIfTrue="1" operator="beginsWith" text="Functioning At Risk">
      <formula>LEFT(C91,LEN("Functioning At Risk"))="Functioning At Risk"</formula>
    </cfRule>
    <cfRule type="beginsWith" dxfId="1735" priority="752" stopIfTrue="1" operator="beginsWith" text="Not Functioning">
      <formula>LEFT(C91,LEN("Not Functioning"))="Not Functioning"</formula>
    </cfRule>
    <cfRule type="containsText" dxfId="1734" priority="753" operator="containsText" text="Functioning">
      <formula>NOT(ISERROR(SEARCH("Functioning",C91)))</formula>
    </cfRule>
  </conditionalFormatting>
  <conditionalFormatting sqref="B92">
    <cfRule type="beginsWith" dxfId="1733" priority="760" stopIfTrue="1" operator="beginsWith" text="Functioning At Risk">
      <formula>LEFT(B92,LEN("Functioning At Risk"))="Functioning At Risk"</formula>
    </cfRule>
    <cfRule type="beginsWith" dxfId="1732" priority="761" stopIfTrue="1" operator="beginsWith" text="Not Functioning">
      <formula>LEFT(B92,LEN("Not Functioning"))="Not Functioning"</formula>
    </cfRule>
    <cfRule type="containsText" dxfId="1731" priority="762" operator="containsText" text="Functioning">
      <formula>NOT(ISERROR(SEARCH("Functioning",B92)))</formula>
    </cfRule>
  </conditionalFormatting>
  <conditionalFormatting sqref="D97:D98">
    <cfRule type="beginsWith" dxfId="1730" priority="748" stopIfTrue="1" operator="beginsWith" text="Functioning At Risk">
      <formula>LEFT(D97,LEN("Functioning At Risk"))="Functioning At Risk"</formula>
    </cfRule>
    <cfRule type="beginsWith" dxfId="1729" priority="749" stopIfTrue="1" operator="beginsWith" text="Not Functioning">
      <formula>LEFT(D97,LEN("Not Functioning"))="Not Functioning"</formula>
    </cfRule>
    <cfRule type="containsText" dxfId="1728" priority="750" operator="containsText" text="Functioning">
      <formula>NOT(ISERROR(SEARCH("Functioning",D97)))</formula>
    </cfRule>
  </conditionalFormatting>
  <conditionalFormatting sqref="H96">
    <cfRule type="beginsWith" dxfId="1727" priority="745" stopIfTrue="1" operator="beginsWith" text="Functioning At Risk">
      <formula>LEFT(H96,LEN("Functioning At Risk"))="Functioning At Risk"</formula>
    </cfRule>
    <cfRule type="beginsWith" dxfId="1726" priority="746" stopIfTrue="1" operator="beginsWith" text="Not Functioning">
      <formula>LEFT(H96,LEN("Not Functioning"))="Not Functioning"</formula>
    </cfRule>
    <cfRule type="containsText" dxfId="1725" priority="747" operator="containsText" text="Functioning">
      <formula>NOT(ISERROR(SEARCH("Functioning",H96)))</formula>
    </cfRule>
  </conditionalFormatting>
  <conditionalFormatting sqref="A96">
    <cfRule type="beginsWith" dxfId="1724" priority="742" stopIfTrue="1" operator="beginsWith" text="Functioning At Risk">
      <formula>LEFT(A96,LEN("Functioning At Risk"))="Functioning At Risk"</formula>
    </cfRule>
    <cfRule type="beginsWith" dxfId="1723" priority="743" stopIfTrue="1" operator="beginsWith" text="Not Functioning">
      <formula>LEFT(A96,LEN("Not Functioning"))="Not Functioning"</formula>
    </cfRule>
    <cfRule type="containsText" dxfId="1722" priority="744" operator="containsText" text="Functioning">
      <formula>NOT(ISERROR(SEARCH("Functioning",A96)))</formula>
    </cfRule>
  </conditionalFormatting>
  <conditionalFormatting sqref="I99:I100 A99:A100">
    <cfRule type="beginsWith" dxfId="1721" priority="739" stopIfTrue="1" operator="beginsWith" text="Functioning At Risk">
      <formula>LEFT(A99,LEN("Functioning At Risk"))="Functioning At Risk"</formula>
    </cfRule>
    <cfRule type="beginsWith" dxfId="1720" priority="740" stopIfTrue="1" operator="beginsWith" text="Not Functioning">
      <formula>LEFT(A99,LEN("Not Functioning"))="Not Functioning"</formula>
    </cfRule>
    <cfRule type="containsText" dxfId="1719" priority="741" operator="containsText" text="Functioning">
      <formula>NOT(ISERROR(SEARCH("Functioning",A99)))</formula>
    </cfRule>
  </conditionalFormatting>
  <conditionalFormatting sqref="D99">
    <cfRule type="beginsWith" dxfId="1718" priority="736" stopIfTrue="1" operator="beginsWith" text="Functioning At Risk">
      <formula>LEFT(D99,LEN("Functioning At Risk"))="Functioning At Risk"</formula>
    </cfRule>
    <cfRule type="beginsWith" dxfId="1717" priority="737" stopIfTrue="1" operator="beginsWith" text="Not Functioning">
      <formula>LEFT(D99,LEN("Not Functioning"))="Not Functioning"</formula>
    </cfRule>
    <cfRule type="containsText" dxfId="1716" priority="738" operator="containsText" text="Functioning">
      <formula>NOT(ISERROR(SEARCH("Functioning",D99)))</formula>
    </cfRule>
  </conditionalFormatting>
  <conditionalFormatting sqref="D100">
    <cfRule type="beginsWith" dxfId="1715" priority="733" stopIfTrue="1" operator="beginsWith" text="Functioning At Risk">
      <formula>LEFT(D100,LEN("Functioning At Risk"))="Functioning At Risk"</formula>
    </cfRule>
    <cfRule type="beginsWith" dxfId="1714" priority="734" stopIfTrue="1" operator="beginsWith" text="Not Functioning">
      <formula>LEFT(D100,LEN("Not Functioning"))="Not Functioning"</formula>
    </cfRule>
    <cfRule type="containsText" dxfId="1713" priority="735" operator="containsText" text="Functioning">
      <formula>NOT(ISERROR(SEARCH("Functioning",D100)))</formula>
    </cfRule>
  </conditionalFormatting>
  <conditionalFormatting sqref="B99">
    <cfRule type="beginsWith" dxfId="1712" priority="727" stopIfTrue="1" operator="beginsWith" text="Functioning At Risk">
      <formula>LEFT(B99,LEN("Functioning At Risk"))="Functioning At Risk"</formula>
    </cfRule>
    <cfRule type="beginsWith" dxfId="1711" priority="728" stopIfTrue="1" operator="beginsWith" text="Not Functioning">
      <formula>LEFT(B99,LEN("Not Functioning"))="Not Functioning"</formula>
    </cfRule>
    <cfRule type="containsText" dxfId="1710" priority="729" operator="containsText" text="Functioning">
      <formula>NOT(ISERROR(SEARCH("Functioning",B99)))</formula>
    </cfRule>
  </conditionalFormatting>
  <conditionalFormatting sqref="D133">
    <cfRule type="beginsWith" dxfId="1709" priority="610" stopIfTrue="1" operator="beginsWith" text="Functioning At Risk">
      <formula>LEFT(D133,LEN("Functioning At Risk"))="Functioning At Risk"</formula>
    </cfRule>
    <cfRule type="beginsWith" dxfId="1708" priority="611" stopIfTrue="1" operator="beginsWith" text="Not Functioning">
      <formula>LEFT(D133,LEN("Not Functioning"))="Not Functioning"</formula>
    </cfRule>
    <cfRule type="containsText" dxfId="1707" priority="612" operator="containsText" text="Functioning">
      <formula>NOT(ISERROR(SEARCH("Functioning",D133)))</formula>
    </cfRule>
  </conditionalFormatting>
  <conditionalFormatting sqref="H116:I117 A116:D116 A117 C117:D117">
    <cfRule type="beginsWith" dxfId="1706" priority="649" stopIfTrue="1" operator="beginsWith" text="Functioning At Risk">
      <formula>LEFT(A116,LEN("Functioning At Risk"))="Functioning At Risk"</formula>
    </cfRule>
    <cfRule type="beginsWith" dxfId="1705" priority="650" stopIfTrue="1" operator="beginsWith" text="Not Functioning">
      <formula>LEFT(A116,LEN("Not Functioning"))="Not Functioning"</formula>
    </cfRule>
    <cfRule type="containsText" dxfId="1704" priority="651" operator="containsText" text="Functioning">
      <formula>NOT(ISERROR(SEARCH("Functioning",A116)))</formula>
    </cfRule>
  </conditionalFormatting>
  <conditionalFormatting sqref="B134">
    <cfRule type="beginsWith" dxfId="1703" priority="604" stopIfTrue="1" operator="beginsWith" text="Functioning At Risk">
      <formula>LEFT(B134,LEN("Functioning At Risk"))="Functioning At Risk"</formula>
    </cfRule>
    <cfRule type="beginsWith" dxfId="1702" priority="605" stopIfTrue="1" operator="beginsWith" text="Not Functioning">
      <formula>LEFT(B134,LEN("Not Functioning"))="Not Functioning"</formula>
    </cfRule>
    <cfRule type="containsText" dxfId="1701" priority="606" operator="containsText" text="Functioning">
      <formula>NOT(ISERROR(SEARCH("Functioning",B134)))</formula>
    </cfRule>
  </conditionalFormatting>
  <conditionalFormatting sqref="D119 C118:D118">
    <cfRule type="beginsWith" dxfId="1700" priority="643" stopIfTrue="1" operator="beginsWith" text="Functioning At Risk">
      <formula>LEFT(C118,LEN("Functioning At Risk"))="Functioning At Risk"</formula>
    </cfRule>
    <cfRule type="beginsWith" dxfId="1699" priority="644" stopIfTrue="1" operator="beginsWith" text="Not Functioning">
      <formula>LEFT(C118,LEN("Not Functioning"))="Not Functioning"</formula>
    </cfRule>
    <cfRule type="containsText" dxfId="1698" priority="645" operator="containsText" text="Functioning">
      <formula>NOT(ISERROR(SEARCH("Functioning",C118)))</formula>
    </cfRule>
  </conditionalFormatting>
  <conditionalFormatting sqref="J145:J147">
    <cfRule type="beginsWith" dxfId="1697" priority="598" stopIfTrue="1" operator="beginsWith" text="Functioning At Risk">
      <formula>LEFT(J145,LEN("Functioning At Risk"))="Functioning At Risk"</formula>
    </cfRule>
    <cfRule type="beginsWith" dxfId="1696" priority="599" stopIfTrue="1" operator="beginsWith" text="Not Functioning">
      <formula>LEFT(J145,LEN("Not Functioning"))="Not Functioning"</formula>
    </cfRule>
    <cfRule type="containsText" dxfId="1695" priority="600" operator="containsText" text="Functioning">
      <formula>NOT(ISERROR(SEARCH("Functioning",J145)))</formula>
    </cfRule>
  </conditionalFormatting>
  <conditionalFormatting sqref="B126">
    <cfRule type="beginsWith" dxfId="1694" priority="634" stopIfTrue="1" operator="beginsWith" text="Functioning At Risk">
      <formula>LEFT(B126,LEN("Functioning At Risk"))="Functioning At Risk"</formula>
    </cfRule>
    <cfRule type="beginsWith" dxfId="1693" priority="635" stopIfTrue="1" operator="beginsWith" text="Not Functioning">
      <formula>LEFT(B126,LEN("Not Functioning"))="Not Functioning"</formula>
    </cfRule>
    <cfRule type="containsText" dxfId="1692" priority="636" operator="containsText" text="Functioning">
      <formula>NOT(ISERROR(SEARCH("Functioning",B126)))</formula>
    </cfRule>
  </conditionalFormatting>
  <conditionalFormatting sqref="B122:D122 C123:D123 D124:D125">
    <cfRule type="beginsWith" dxfId="1691" priority="631" stopIfTrue="1" operator="beginsWith" text="Functioning At Risk">
      <formula>LEFT(B122,LEN("Functioning At Risk"))="Functioning At Risk"</formula>
    </cfRule>
    <cfRule type="beginsWith" dxfId="1690" priority="632" stopIfTrue="1" operator="beginsWith" text="Not Functioning">
      <formula>LEFT(B122,LEN("Not Functioning"))="Not Functioning"</formula>
    </cfRule>
    <cfRule type="containsText" dxfId="1689" priority="633" operator="containsText" text="Functioning">
      <formula>NOT(ISERROR(SEARCH("Functioning",B122)))</formula>
    </cfRule>
  </conditionalFormatting>
  <conditionalFormatting sqref="C124">
    <cfRule type="beginsWith" dxfId="1688" priority="628" stopIfTrue="1" operator="beginsWith" text="Functioning At Risk">
      <formula>LEFT(C124,LEN("Functioning At Risk"))="Functioning At Risk"</formula>
    </cfRule>
    <cfRule type="beginsWith" dxfId="1687" priority="629" stopIfTrue="1" operator="beginsWith" text="Not Functioning">
      <formula>LEFT(C124,LEN("Not Functioning"))="Not Functioning"</formula>
    </cfRule>
    <cfRule type="containsText" dxfId="1686" priority="630" operator="containsText" text="Functioning">
      <formula>NOT(ISERROR(SEARCH("Functioning",C124)))</formula>
    </cfRule>
  </conditionalFormatting>
  <conditionalFormatting sqref="C121:D121">
    <cfRule type="beginsWith" dxfId="1685" priority="637" stopIfTrue="1" operator="beginsWith" text="Functioning At Risk">
      <formula>LEFT(C121,LEN("Functioning At Risk"))="Functioning At Risk"</formula>
    </cfRule>
    <cfRule type="beginsWith" dxfId="1684" priority="638" stopIfTrue="1" operator="beginsWith" text="Not Functioning">
      <formula>LEFT(C121,LEN("Not Functioning"))="Not Functioning"</formula>
    </cfRule>
    <cfRule type="containsText" dxfId="1683" priority="639" operator="containsText" text="Functioning">
      <formula>NOT(ISERROR(SEARCH("Functioning",C121)))</formula>
    </cfRule>
  </conditionalFormatting>
  <conditionalFormatting sqref="C125">
    <cfRule type="beginsWith" dxfId="1682" priority="625" stopIfTrue="1" operator="beginsWith" text="Functioning At Risk">
      <formula>LEFT(C125,LEN("Functioning At Risk"))="Functioning At Risk"</formula>
    </cfRule>
    <cfRule type="beginsWith" dxfId="1681" priority="626" stopIfTrue="1" operator="beginsWith" text="Not Functioning">
      <formula>LEFT(C125,LEN("Not Functioning"))="Not Functioning"</formula>
    </cfRule>
    <cfRule type="containsText" dxfId="1680" priority="627" operator="containsText" text="Functioning">
      <formula>NOT(ISERROR(SEARCH("Functioning",C125)))</formula>
    </cfRule>
  </conditionalFormatting>
  <conditionalFormatting sqref="D131:D132">
    <cfRule type="beginsWith" dxfId="1679" priority="622" stopIfTrue="1" operator="beginsWith" text="Functioning At Risk">
      <formula>LEFT(D131,LEN("Functioning At Risk"))="Functioning At Risk"</formula>
    </cfRule>
    <cfRule type="beginsWith" dxfId="1678" priority="623" stopIfTrue="1" operator="beginsWith" text="Not Functioning">
      <formula>LEFT(D131,LEN("Not Functioning"))="Not Functioning"</formula>
    </cfRule>
    <cfRule type="containsText" dxfId="1677" priority="624" operator="containsText" text="Functioning">
      <formula>NOT(ISERROR(SEARCH("Functioning",D131)))</formula>
    </cfRule>
  </conditionalFormatting>
  <conditionalFormatting sqref="H130">
    <cfRule type="beginsWith" dxfId="1676" priority="619" stopIfTrue="1" operator="beginsWith" text="Functioning At Risk">
      <formula>LEFT(H130,LEN("Functioning At Risk"))="Functioning At Risk"</formula>
    </cfRule>
    <cfRule type="beginsWith" dxfId="1675" priority="620" stopIfTrue="1" operator="beginsWith" text="Not Functioning">
      <formula>LEFT(H130,LEN("Not Functioning"))="Not Functioning"</formula>
    </cfRule>
    <cfRule type="containsText" dxfId="1674" priority="621" operator="containsText" text="Functioning">
      <formula>NOT(ISERROR(SEARCH("Functioning",H130)))</formula>
    </cfRule>
  </conditionalFormatting>
  <conditionalFormatting sqref="A130">
    <cfRule type="beginsWith" dxfId="1673" priority="616" stopIfTrue="1" operator="beginsWith" text="Functioning At Risk">
      <formula>LEFT(A130,LEN("Functioning At Risk"))="Functioning At Risk"</formula>
    </cfRule>
    <cfRule type="beginsWith" dxfId="1672" priority="617" stopIfTrue="1" operator="beginsWith" text="Not Functioning">
      <formula>LEFT(A130,LEN("Not Functioning"))="Not Functioning"</formula>
    </cfRule>
    <cfRule type="containsText" dxfId="1671" priority="618" operator="containsText" text="Functioning">
      <formula>NOT(ISERROR(SEARCH("Functioning",A130)))</formula>
    </cfRule>
  </conditionalFormatting>
  <conditionalFormatting sqref="I133:I134 A133:A134">
    <cfRule type="beginsWith" dxfId="1670" priority="613" stopIfTrue="1" operator="beginsWith" text="Functioning At Risk">
      <formula>LEFT(A133,LEN("Functioning At Risk"))="Functioning At Risk"</formula>
    </cfRule>
    <cfRule type="beginsWith" dxfId="1669" priority="614" stopIfTrue="1" operator="beginsWith" text="Not Functioning">
      <formula>LEFT(A133,LEN("Not Functioning"))="Not Functioning"</formula>
    </cfRule>
    <cfRule type="containsText" dxfId="1668" priority="615" operator="containsText" text="Functioning">
      <formula>NOT(ISERROR(SEARCH("Functioning",A133)))</formula>
    </cfRule>
  </conditionalFormatting>
  <conditionalFormatting sqref="D134">
    <cfRule type="beginsWith" dxfId="1667" priority="607" stopIfTrue="1" operator="beginsWith" text="Functioning At Risk">
      <formula>LEFT(D134,LEN("Functioning At Risk"))="Functioning At Risk"</formula>
    </cfRule>
    <cfRule type="beginsWith" dxfId="1666" priority="608" stopIfTrue="1" operator="beginsWith" text="Not Functioning">
      <formula>LEFT(D134,LEN("Not Functioning"))="Not Functioning"</formula>
    </cfRule>
    <cfRule type="containsText" dxfId="1665" priority="609" operator="containsText" text="Functioning">
      <formula>NOT(ISERROR(SEARCH("Functioning",D134)))</formula>
    </cfRule>
  </conditionalFormatting>
  <conditionalFormatting sqref="B133">
    <cfRule type="beginsWith" dxfId="1664" priority="601" stopIfTrue="1" operator="beginsWith" text="Functioning At Risk">
      <formula>LEFT(B133,LEN("Functioning At Risk"))="Functioning At Risk"</formula>
    </cfRule>
    <cfRule type="beginsWith" dxfId="1663" priority="602" stopIfTrue="1" operator="beginsWith" text="Not Functioning">
      <formula>LEFT(B133,LEN("Not Functioning"))="Not Functioning"</formula>
    </cfRule>
    <cfRule type="containsText" dxfId="1662" priority="603" operator="containsText" text="Functioning">
      <formula>NOT(ISERROR(SEARCH("Functioning",B133)))</formula>
    </cfRule>
  </conditionalFormatting>
  <conditionalFormatting sqref="J111:J113">
    <cfRule type="beginsWith" dxfId="1661" priority="670" stopIfTrue="1" operator="beginsWith" text="Functioning At Risk">
      <formula>LEFT(J111,LEN("Functioning At Risk"))="Functioning At Risk"</formula>
    </cfRule>
    <cfRule type="beginsWith" dxfId="1660" priority="671" stopIfTrue="1" operator="beginsWith" text="Not Functioning">
      <formula>LEFT(J111,LEN("Not Functioning"))="Not Functioning"</formula>
    </cfRule>
    <cfRule type="containsText" dxfId="1659" priority="672" operator="containsText" text="Functioning">
      <formula>NOT(ISERROR(SEARCH("Functioning",J111)))</formula>
    </cfRule>
  </conditionalFormatting>
  <conditionalFormatting sqref="I130">
    <cfRule type="beginsWith" dxfId="1658" priority="667" stopIfTrue="1" operator="beginsWith" text="Functioning At Risk">
      <formula>LEFT(I130,LEN("Functioning At Risk"))="Functioning At Risk"</formula>
    </cfRule>
    <cfRule type="beginsWith" dxfId="1657" priority="668" stopIfTrue="1" operator="beginsWith" text="Not Functioning">
      <formula>LEFT(I130,LEN("Not Functioning"))="Not Functioning"</formula>
    </cfRule>
    <cfRule type="containsText" dxfId="1656" priority="669" operator="containsText" text="Functioning">
      <formula>NOT(ISERROR(SEARCH("Functioning",I130)))</formula>
    </cfRule>
  </conditionalFormatting>
  <conditionalFormatting sqref="H111:H112">
    <cfRule type="beginsWith" dxfId="1655" priority="664" stopIfTrue="1" operator="beginsWith" text="Functioning At Risk">
      <formula>LEFT(H111,LEN("Functioning At Risk"))="Functioning At Risk"</formula>
    </cfRule>
    <cfRule type="beginsWith" dxfId="1654" priority="665" stopIfTrue="1" operator="beginsWith" text="Not Functioning">
      <formula>LEFT(H111,LEN("Not Functioning"))="Not Functioning"</formula>
    </cfRule>
    <cfRule type="containsText" dxfId="1653" priority="666" operator="containsText" text="Functioning">
      <formula>NOT(ISERROR(SEARCH("Functioning",H111)))</formula>
    </cfRule>
  </conditionalFormatting>
  <conditionalFormatting sqref="I111:I113">
    <cfRule type="beginsWith" dxfId="1652" priority="661" stopIfTrue="1" operator="beginsWith" text="Functioning At Risk">
      <formula>LEFT(I111,LEN("Functioning At Risk"))="Functioning At Risk"</formula>
    </cfRule>
    <cfRule type="beginsWith" dxfId="1651" priority="662" stopIfTrue="1" operator="beginsWith" text="Not Functioning">
      <formula>LEFT(I111,LEN("Not Functioning"))="Not Functioning"</formula>
    </cfRule>
    <cfRule type="containsText" dxfId="1650" priority="663" operator="containsText" text="Functioning">
      <formula>NOT(ISERROR(SEARCH("Functioning",I111)))</formula>
    </cfRule>
  </conditionalFormatting>
  <conditionalFormatting sqref="A114:D114 C115:D115">
    <cfRule type="beginsWith" dxfId="1649" priority="658" stopIfTrue="1" operator="beginsWith" text="Functioning At Risk">
      <formula>LEFT(A114,LEN("Functioning At Risk"))="Functioning At Risk"</formula>
    </cfRule>
    <cfRule type="beginsWith" dxfId="1648" priority="659" stopIfTrue="1" operator="beginsWith" text="Not Functioning">
      <formula>LEFT(A114,LEN("Not Functioning"))="Not Functioning"</formula>
    </cfRule>
    <cfRule type="containsText" dxfId="1647" priority="660" operator="containsText" text="Functioning">
      <formula>NOT(ISERROR(SEARCH("Functioning",A114)))</formula>
    </cfRule>
  </conditionalFormatting>
  <conditionalFormatting sqref="H114:I114">
    <cfRule type="beginsWith" dxfId="1646" priority="655" stopIfTrue="1" operator="beginsWith" text="Functioning At Risk">
      <formula>LEFT(H114,LEN("Functioning At Risk"))="Functioning At Risk"</formula>
    </cfRule>
    <cfRule type="beginsWith" dxfId="1645" priority="656" stopIfTrue="1" operator="beginsWith" text="Not Functioning">
      <formula>LEFT(H114,LEN("Not Functioning"))="Not Functioning"</formula>
    </cfRule>
    <cfRule type="containsText" dxfId="1644" priority="657" operator="containsText" text="Functioning">
      <formula>NOT(ISERROR(SEARCH("Functioning",H114)))</formula>
    </cfRule>
  </conditionalFormatting>
  <conditionalFormatting sqref="A164">
    <cfRule type="beginsWith" dxfId="1643" priority="544" stopIfTrue="1" operator="beginsWith" text="Functioning At Risk">
      <formula>LEFT(A164,LEN("Functioning At Risk"))="Functioning At Risk"</formula>
    </cfRule>
    <cfRule type="beginsWith" dxfId="1642" priority="545" stopIfTrue="1" operator="beginsWith" text="Not Functioning">
      <formula>LEFT(A164,LEN("Not Functioning"))="Not Functioning"</formula>
    </cfRule>
    <cfRule type="containsText" dxfId="1641" priority="546" operator="containsText" text="Functioning">
      <formula>NOT(ISERROR(SEARCH("Functioning",A164)))</formula>
    </cfRule>
  </conditionalFormatting>
  <conditionalFormatting sqref="H150:I151 A150:D150 A151 C151:D151">
    <cfRule type="beginsWith" dxfId="1640" priority="577" stopIfTrue="1" operator="beginsWith" text="Functioning At Risk">
      <formula>LEFT(A150,LEN("Functioning At Risk"))="Functioning At Risk"</formula>
    </cfRule>
    <cfRule type="beginsWith" dxfId="1639" priority="578" stopIfTrue="1" operator="beginsWith" text="Not Functioning">
      <formula>LEFT(A150,LEN("Not Functioning"))="Not Functioning"</formula>
    </cfRule>
    <cfRule type="containsText" dxfId="1638" priority="579" operator="containsText" text="Functioning">
      <formula>NOT(ISERROR(SEARCH("Functioning",A150)))</formula>
    </cfRule>
  </conditionalFormatting>
  <conditionalFormatting sqref="D167">
    <cfRule type="beginsWith" dxfId="1637" priority="538" stopIfTrue="1" operator="beginsWith" text="Functioning At Risk">
      <formula>LEFT(D167,LEN("Functioning At Risk"))="Functioning At Risk"</formula>
    </cfRule>
    <cfRule type="beginsWith" dxfId="1636" priority="539" stopIfTrue="1" operator="beginsWith" text="Not Functioning">
      <formula>LEFT(D167,LEN("Not Functioning"))="Not Functioning"</formula>
    </cfRule>
    <cfRule type="containsText" dxfId="1635" priority="540" operator="containsText" text="Functioning">
      <formula>NOT(ISERROR(SEARCH("Functioning",D167)))</formula>
    </cfRule>
  </conditionalFormatting>
  <conditionalFormatting sqref="D153 C152:D152">
    <cfRule type="beginsWith" dxfId="1634" priority="571" stopIfTrue="1" operator="beginsWith" text="Functioning At Risk">
      <formula>LEFT(C152,LEN("Functioning At Risk"))="Functioning At Risk"</formula>
    </cfRule>
    <cfRule type="beginsWith" dxfId="1633" priority="572" stopIfTrue="1" operator="beginsWith" text="Not Functioning">
      <formula>LEFT(C152,LEN("Not Functioning"))="Not Functioning"</formula>
    </cfRule>
    <cfRule type="containsText" dxfId="1632" priority="573" operator="containsText" text="Functioning">
      <formula>NOT(ISERROR(SEARCH("Functioning",C152)))</formula>
    </cfRule>
  </conditionalFormatting>
  <conditionalFormatting sqref="B168">
    <cfRule type="beginsWith" dxfId="1631" priority="532" stopIfTrue="1" operator="beginsWith" text="Functioning At Risk">
      <formula>LEFT(B168,LEN("Functioning At Risk"))="Functioning At Risk"</formula>
    </cfRule>
    <cfRule type="beginsWith" dxfId="1630" priority="533" stopIfTrue="1" operator="beginsWith" text="Not Functioning">
      <formula>LEFT(B168,LEN("Not Functioning"))="Not Functioning"</formula>
    </cfRule>
    <cfRule type="containsText" dxfId="1629" priority="534" operator="containsText" text="Functioning">
      <formula>NOT(ISERROR(SEARCH("Functioning",B168)))</formula>
    </cfRule>
  </conditionalFormatting>
  <conditionalFormatting sqref="B160">
    <cfRule type="beginsWith" dxfId="1628" priority="562" stopIfTrue="1" operator="beginsWith" text="Functioning At Risk">
      <formula>LEFT(B160,LEN("Functioning At Risk"))="Functioning At Risk"</formula>
    </cfRule>
    <cfRule type="beginsWith" dxfId="1627" priority="563" stopIfTrue="1" operator="beginsWith" text="Not Functioning">
      <formula>LEFT(B160,LEN("Not Functioning"))="Not Functioning"</formula>
    </cfRule>
    <cfRule type="containsText" dxfId="1626" priority="564" operator="containsText" text="Functioning">
      <formula>NOT(ISERROR(SEARCH("Functioning",B160)))</formula>
    </cfRule>
  </conditionalFormatting>
  <conditionalFormatting sqref="B156:D156 C157:D157 D158:D159">
    <cfRule type="beginsWith" dxfId="1625" priority="559" stopIfTrue="1" operator="beginsWith" text="Functioning At Risk">
      <formula>LEFT(B156,LEN("Functioning At Risk"))="Functioning At Risk"</formula>
    </cfRule>
    <cfRule type="beginsWith" dxfId="1624" priority="560" stopIfTrue="1" operator="beginsWith" text="Not Functioning">
      <formula>LEFT(B156,LEN("Not Functioning"))="Not Functioning"</formula>
    </cfRule>
    <cfRule type="containsText" dxfId="1623" priority="561" operator="containsText" text="Functioning">
      <formula>NOT(ISERROR(SEARCH("Functioning",B156)))</formula>
    </cfRule>
  </conditionalFormatting>
  <conditionalFormatting sqref="C158">
    <cfRule type="beginsWith" dxfId="1622" priority="556" stopIfTrue="1" operator="beginsWith" text="Functioning At Risk">
      <formula>LEFT(C158,LEN("Functioning At Risk"))="Functioning At Risk"</formula>
    </cfRule>
    <cfRule type="beginsWith" dxfId="1621" priority="557" stopIfTrue="1" operator="beginsWith" text="Not Functioning">
      <formula>LEFT(C158,LEN("Not Functioning"))="Not Functioning"</formula>
    </cfRule>
    <cfRule type="containsText" dxfId="1620" priority="558" operator="containsText" text="Functioning">
      <formula>NOT(ISERROR(SEARCH("Functioning",C158)))</formula>
    </cfRule>
  </conditionalFormatting>
  <conditionalFormatting sqref="C155:D155">
    <cfRule type="beginsWith" dxfId="1619" priority="565" stopIfTrue="1" operator="beginsWith" text="Functioning At Risk">
      <formula>LEFT(C155,LEN("Functioning At Risk"))="Functioning At Risk"</formula>
    </cfRule>
    <cfRule type="beginsWith" dxfId="1618" priority="566" stopIfTrue="1" operator="beginsWith" text="Not Functioning">
      <formula>LEFT(C155,LEN("Not Functioning"))="Not Functioning"</formula>
    </cfRule>
    <cfRule type="containsText" dxfId="1617" priority="567" operator="containsText" text="Functioning">
      <formula>NOT(ISERROR(SEARCH("Functioning",C155)))</formula>
    </cfRule>
  </conditionalFormatting>
  <conditionalFormatting sqref="C159">
    <cfRule type="beginsWith" dxfId="1616" priority="553" stopIfTrue="1" operator="beginsWith" text="Functioning At Risk">
      <formula>LEFT(C159,LEN("Functioning At Risk"))="Functioning At Risk"</formula>
    </cfRule>
    <cfRule type="beginsWith" dxfId="1615" priority="554" stopIfTrue="1" operator="beginsWith" text="Not Functioning">
      <formula>LEFT(C159,LEN("Not Functioning"))="Not Functioning"</formula>
    </cfRule>
    <cfRule type="containsText" dxfId="1614" priority="555" operator="containsText" text="Functioning">
      <formula>NOT(ISERROR(SEARCH("Functioning",C159)))</formula>
    </cfRule>
  </conditionalFormatting>
  <conditionalFormatting sqref="D165:D166">
    <cfRule type="beginsWith" dxfId="1613" priority="550" stopIfTrue="1" operator="beginsWith" text="Functioning At Risk">
      <formula>LEFT(D165,LEN("Functioning At Risk"))="Functioning At Risk"</formula>
    </cfRule>
    <cfRule type="beginsWith" dxfId="1612" priority="551" stopIfTrue="1" operator="beginsWith" text="Not Functioning">
      <formula>LEFT(D165,LEN("Not Functioning"))="Not Functioning"</formula>
    </cfRule>
    <cfRule type="containsText" dxfId="1611" priority="552" operator="containsText" text="Functioning">
      <formula>NOT(ISERROR(SEARCH("Functioning",D165)))</formula>
    </cfRule>
  </conditionalFormatting>
  <conditionalFormatting sqref="H164">
    <cfRule type="beginsWith" dxfId="1610" priority="547" stopIfTrue="1" operator="beginsWith" text="Functioning At Risk">
      <formula>LEFT(H164,LEN("Functioning At Risk"))="Functioning At Risk"</formula>
    </cfRule>
    <cfRule type="beginsWith" dxfId="1609" priority="548" stopIfTrue="1" operator="beginsWith" text="Not Functioning">
      <formula>LEFT(H164,LEN("Not Functioning"))="Not Functioning"</formula>
    </cfRule>
    <cfRule type="containsText" dxfId="1608" priority="549" operator="containsText" text="Functioning">
      <formula>NOT(ISERROR(SEARCH("Functioning",H164)))</formula>
    </cfRule>
  </conditionalFormatting>
  <conditionalFormatting sqref="I167:I168 A167:A168">
    <cfRule type="beginsWith" dxfId="1607" priority="541" stopIfTrue="1" operator="beginsWith" text="Functioning At Risk">
      <formula>LEFT(A167,LEN("Functioning At Risk"))="Functioning At Risk"</formula>
    </cfRule>
    <cfRule type="beginsWith" dxfId="1606" priority="542" stopIfTrue="1" operator="beginsWith" text="Not Functioning">
      <formula>LEFT(A167,LEN("Not Functioning"))="Not Functioning"</formula>
    </cfRule>
    <cfRule type="containsText" dxfId="1605" priority="543" operator="containsText" text="Functioning">
      <formula>NOT(ISERROR(SEARCH("Functioning",A167)))</formula>
    </cfRule>
  </conditionalFormatting>
  <conditionalFormatting sqref="D168">
    <cfRule type="beginsWith" dxfId="1604" priority="535" stopIfTrue="1" operator="beginsWith" text="Functioning At Risk">
      <formula>LEFT(D168,LEN("Functioning At Risk"))="Functioning At Risk"</formula>
    </cfRule>
    <cfRule type="beginsWith" dxfId="1603" priority="536" stopIfTrue="1" operator="beginsWith" text="Not Functioning">
      <formula>LEFT(D168,LEN("Not Functioning"))="Not Functioning"</formula>
    </cfRule>
    <cfRule type="containsText" dxfId="1602" priority="537" operator="containsText" text="Functioning">
      <formula>NOT(ISERROR(SEARCH("Functioning",D168)))</formula>
    </cfRule>
  </conditionalFormatting>
  <conditionalFormatting sqref="B167">
    <cfRule type="beginsWith" dxfId="1601" priority="529" stopIfTrue="1" operator="beginsWith" text="Functioning At Risk">
      <formula>LEFT(B167,LEN("Functioning At Risk"))="Functioning At Risk"</formula>
    </cfRule>
    <cfRule type="beginsWith" dxfId="1600" priority="530" stopIfTrue="1" operator="beginsWith" text="Not Functioning">
      <formula>LEFT(B167,LEN("Not Functioning"))="Not Functioning"</formula>
    </cfRule>
    <cfRule type="containsText" dxfId="1599" priority="531" operator="containsText" text="Functioning">
      <formula>NOT(ISERROR(SEARCH("Functioning",B167)))</formula>
    </cfRule>
  </conditionalFormatting>
  <conditionalFormatting sqref="I164">
    <cfRule type="beginsWith" dxfId="1598" priority="595" stopIfTrue="1" operator="beginsWith" text="Functioning At Risk">
      <formula>LEFT(I164,LEN("Functioning At Risk"))="Functioning At Risk"</formula>
    </cfRule>
    <cfRule type="beginsWith" dxfId="1597" priority="596" stopIfTrue="1" operator="beginsWith" text="Not Functioning">
      <formula>LEFT(I164,LEN("Not Functioning"))="Not Functioning"</formula>
    </cfRule>
    <cfRule type="containsText" dxfId="1596" priority="597" operator="containsText" text="Functioning">
      <formula>NOT(ISERROR(SEARCH("Functioning",I164)))</formula>
    </cfRule>
  </conditionalFormatting>
  <conditionalFormatting sqref="H145:H146">
    <cfRule type="beginsWith" dxfId="1595" priority="592" stopIfTrue="1" operator="beginsWith" text="Functioning At Risk">
      <formula>LEFT(H145,LEN("Functioning At Risk"))="Functioning At Risk"</formula>
    </cfRule>
    <cfRule type="beginsWith" dxfId="1594" priority="593" stopIfTrue="1" operator="beginsWith" text="Not Functioning">
      <formula>LEFT(H145,LEN("Not Functioning"))="Not Functioning"</formula>
    </cfRule>
    <cfRule type="containsText" dxfId="1593" priority="594" operator="containsText" text="Functioning">
      <formula>NOT(ISERROR(SEARCH("Functioning",H145)))</formula>
    </cfRule>
  </conditionalFormatting>
  <conditionalFormatting sqref="I145:I147">
    <cfRule type="beginsWith" dxfId="1592" priority="589" stopIfTrue="1" operator="beginsWith" text="Functioning At Risk">
      <formula>LEFT(I145,LEN("Functioning At Risk"))="Functioning At Risk"</formula>
    </cfRule>
    <cfRule type="beginsWith" dxfId="1591" priority="590" stopIfTrue="1" operator="beginsWith" text="Not Functioning">
      <formula>LEFT(I145,LEN("Not Functioning"))="Not Functioning"</formula>
    </cfRule>
    <cfRule type="containsText" dxfId="1590" priority="591" operator="containsText" text="Functioning">
      <formula>NOT(ISERROR(SEARCH("Functioning",I145)))</formula>
    </cfRule>
  </conditionalFormatting>
  <conditionalFormatting sqref="A148:D148 C149:D149">
    <cfRule type="beginsWith" dxfId="1589" priority="586" stopIfTrue="1" operator="beginsWith" text="Functioning At Risk">
      <formula>LEFT(A148,LEN("Functioning At Risk"))="Functioning At Risk"</formula>
    </cfRule>
    <cfRule type="beginsWith" dxfId="1588" priority="587" stopIfTrue="1" operator="beginsWith" text="Not Functioning">
      <formula>LEFT(A148,LEN("Not Functioning"))="Not Functioning"</formula>
    </cfRule>
    <cfRule type="containsText" dxfId="1587" priority="588" operator="containsText" text="Functioning">
      <formula>NOT(ISERROR(SEARCH("Functioning",A148)))</formula>
    </cfRule>
  </conditionalFormatting>
  <conditionalFormatting sqref="H148:I148">
    <cfRule type="beginsWith" dxfId="1586" priority="583" stopIfTrue="1" operator="beginsWith" text="Functioning At Risk">
      <formula>LEFT(H148,LEN("Functioning At Risk"))="Functioning At Risk"</formula>
    </cfRule>
    <cfRule type="beginsWith" dxfId="1585" priority="584" stopIfTrue="1" operator="beginsWith" text="Not Functioning">
      <formula>LEFT(H148,LEN("Not Functioning"))="Not Functioning"</formula>
    </cfRule>
    <cfRule type="containsText" dxfId="1584" priority="585" operator="containsText" text="Functioning">
      <formula>NOT(ISERROR(SEARCH("Functioning",H148)))</formula>
    </cfRule>
  </conditionalFormatting>
  <conditionalFormatting sqref="D199:D200">
    <cfRule type="beginsWith" dxfId="1583" priority="478" stopIfTrue="1" operator="beginsWith" text="Functioning At Risk">
      <formula>LEFT(D199,LEN("Functioning At Risk"))="Functioning At Risk"</formula>
    </cfRule>
    <cfRule type="beginsWith" dxfId="1582" priority="479" stopIfTrue="1" operator="beginsWith" text="Not Functioning">
      <formula>LEFT(D199,LEN("Not Functioning"))="Not Functioning"</formula>
    </cfRule>
    <cfRule type="containsText" dxfId="1581" priority="480" operator="containsText" text="Functioning">
      <formula>NOT(ISERROR(SEARCH("Functioning",D199)))</formula>
    </cfRule>
  </conditionalFormatting>
  <conditionalFormatting sqref="H184:I185 A184:D184 A185 C185:D185">
    <cfRule type="beginsWith" dxfId="1580" priority="505" stopIfTrue="1" operator="beginsWith" text="Functioning At Risk">
      <formula>LEFT(A184,LEN("Functioning At Risk"))="Functioning At Risk"</formula>
    </cfRule>
    <cfRule type="beginsWith" dxfId="1579" priority="506" stopIfTrue="1" operator="beginsWith" text="Not Functioning">
      <formula>LEFT(A184,LEN("Not Functioning"))="Not Functioning"</formula>
    </cfRule>
    <cfRule type="containsText" dxfId="1578" priority="507" operator="containsText" text="Functioning">
      <formula>NOT(ISERROR(SEARCH("Functioning",A184)))</formula>
    </cfRule>
  </conditionalFormatting>
  <conditionalFormatting sqref="A198">
    <cfRule type="beginsWith" dxfId="1577" priority="472" stopIfTrue="1" operator="beginsWith" text="Functioning At Risk">
      <formula>LEFT(A198,LEN("Functioning At Risk"))="Functioning At Risk"</formula>
    </cfRule>
    <cfRule type="beginsWith" dxfId="1576" priority="473" stopIfTrue="1" operator="beginsWith" text="Not Functioning">
      <formula>LEFT(A198,LEN("Not Functioning"))="Not Functioning"</formula>
    </cfRule>
    <cfRule type="containsText" dxfId="1575" priority="474" operator="containsText" text="Functioning">
      <formula>NOT(ISERROR(SEARCH("Functioning",A198)))</formula>
    </cfRule>
  </conditionalFormatting>
  <conditionalFormatting sqref="D187 C186:D186">
    <cfRule type="beginsWith" dxfId="1574" priority="499" stopIfTrue="1" operator="beginsWith" text="Functioning At Risk">
      <formula>LEFT(C186,LEN("Functioning At Risk"))="Functioning At Risk"</formula>
    </cfRule>
    <cfRule type="beginsWith" dxfId="1573" priority="500" stopIfTrue="1" operator="beginsWith" text="Not Functioning">
      <formula>LEFT(C186,LEN("Not Functioning"))="Not Functioning"</formula>
    </cfRule>
    <cfRule type="containsText" dxfId="1572" priority="501" operator="containsText" text="Functioning">
      <formula>NOT(ISERROR(SEARCH("Functioning",C186)))</formula>
    </cfRule>
  </conditionalFormatting>
  <conditionalFormatting sqref="D201">
    <cfRule type="beginsWith" dxfId="1571" priority="466" stopIfTrue="1" operator="beginsWith" text="Functioning At Risk">
      <formula>LEFT(D201,LEN("Functioning At Risk"))="Functioning At Risk"</formula>
    </cfRule>
    <cfRule type="beginsWith" dxfId="1570" priority="467" stopIfTrue="1" operator="beginsWith" text="Not Functioning">
      <formula>LEFT(D201,LEN("Not Functioning"))="Not Functioning"</formula>
    </cfRule>
    <cfRule type="containsText" dxfId="1569" priority="468" operator="containsText" text="Functioning">
      <formula>NOT(ISERROR(SEARCH("Functioning",D201)))</formula>
    </cfRule>
  </conditionalFormatting>
  <conditionalFormatting sqref="B194">
    <cfRule type="beginsWith" dxfId="1568" priority="490" stopIfTrue="1" operator="beginsWith" text="Functioning At Risk">
      <formula>LEFT(B194,LEN("Functioning At Risk"))="Functioning At Risk"</formula>
    </cfRule>
    <cfRule type="beginsWith" dxfId="1567" priority="491" stopIfTrue="1" operator="beginsWith" text="Not Functioning">
      <formula>LEFT(B194,LEN("Not Functioning"))="Not Functioning"</formula>
    </cfRule>
    <cfRule type="containsText" dxfId="1566" priority="492" operator="containsText" text="Functioning">
      <formula>NOT(ISERROR(SEARCH("Functioning",B194)))</formula>
    </cfRule>
  </conditionalFormatting>
  <conditionalFormatting sqref="B190:D190 C191:D191 D192:D193">
    <cfRule type="beginsWith" dxfId="1565" priority="487" stopIfTrue="1" operator="beginsWith" text="Functioning At Risk">
      <formula>LEFT(B190,LEN("Functioning At Risk"))="Functioning At Risk"</formula>
    </cfRule>
    <cfRule type="beginsWith" dxfId="1564" priority="488" stopIfTrue="1" operator="beginsWith" text="Not Functioning">
      <formula>LEFT(B190,LEN("Not Functioning"))="Not Functioning"</formula>
    </cfRule>
    <cfRule type="containsText" dxfId="1563" priority="489" operator="containsText" text="Functioning">
      <formula>NOT(ISERROR(SEARCH("Functioning",B190)))</formula>
    </cfRule>
  </conditionalFormatting>
  <conditionalFormatting sqref="C192">
    <cfRule type="beginsWith" dxfId="1562" priority="484" stopIfTrue="1" operator="beginsWith" text="Functioning At Risk">
      <formula>LEFT(C192,LEN("Functioning At Risk"))="Functioning At Risk"</formula>
    </cfRule>
    <cfRule type="beginsWith" dxfId="1561" priority="485" stopIfTrue="1" operator="beginsWith" text="Not Functioning">
      <formula>LEFT(C192,LEN("Not Functioning"))="Not Functioning"</formula>
    </cfRule>
    <cfRule type="containsText" dxfId="1560" priority="486" operator="containsText" text="Functioning">
      <formula>NOT(ISERROR(SEARCH("Functioning",C192)))</formula>
    </cfRule>
  </conditionalFormatting>
  <conditionalFormatting sqref="C189:D189">
    <cfRule type="beginsWith" dxfId="1559" priority="493" stopIfTrue="1" operator="beginsWith" text="Functioning At Risk">
      <formula>LEFT(C189,LEN("Functioning At Risk"))="Functioning At Risk"</formula>
    </cfRule>
    <cfRule type="beginsWith" dxfId="1558" priority="494" stopIfTrue="1" operator="beginsWith" text="Not Functioning">
      <formula>LEFT(C189,LEN("Not Functioning"))="Not Functioning"</formula>
    </cfRule>
    <cfRule type="containsText" dxfId="1557" priority="495" operator="containsText" text="Functioning">
      <formula>NOT(ISERROR(SEARCH("Functioning",C189)))</formula>
    </cfRule>
  </conditionalFormatting>
  <conditionalFormatting sqref="C193">
    <cfRule type="beginsWith" dxfId="1556" priority="481" stopIfTrue="1" operator="beginsWith" text="Functioning At Risk">
      <formula>LEFT(C193,LEN("Functioning At Risk"))="Functioning At Risk"</formula>
    </cfRule>
    <cfRule type="beginsWith" dxfId="1555" priority="482" stopIfTrue="1" operator="beginsWith" text="Not Functioning">
      <formula>LEFT(C193,LEN("Not Functioning"))="Not Functioning"</formula>
    </cfRule>
    <cfRule type="containsText" dxfId="1554" priority="483" operator="containsText" text="Functioning">
      <formula>NOT(ISERROR(SEARCH("Functioning",C193)))</formula>
    </cfRule>
  </conditionalFormatting>
  <conditionalFormatting sqref="H198">
    <cfRule type="beginsWith" dxfId="1553" priority="475" stopIfTrue="1" operator="beginsWith" text="Functioning At Risk">
      <formula>LEFT(H198,LEN("Functioning At Risk"))="Functioning At Risk"</formula>
    </cfRule>
    <cfRule type="beginsWith" dxfId="1552" priority="476" stopIfTrue="1" operator="beginsWith" text="Not Functioning">
      <formula>LEFT(H198,LEN("Not Functioning"))="Not Functioning"</formula>
    </cfRule>
    <cfRule type="containsText" dxfId="1551" priority="477" operator="containsText" text="Functioning">
      <formula>NOT(ISERROR(SEARCH("Functioning",H198)))</formula>
    </cfRule>
  </conditionalFormatting>
  <conditionalFormatting sqref="I201:I202 A201:A202">
    <cfRule type="beginsWith" dxfId="1550" priority="469" stopIfTrue="1" operator="beginsWith" text="Functioning At Risk">
      <formula>LEFT(A201,LEN("Functioning At Risk"))="Functioning At Risk"</formula>
    </cfRule>
    <cfRule type="beginsWith" dxfId="1549" priority="470" stopIfTrue="1" operator="beginsWith" text="Not Functioning">
      <formula>LEFT(A201,LEN("Not Functioning"))="Not Functioning"</formula>
    </cfRule>
    <cfRule type="containsText" dxfId="1548" priority="471" operator="containsText" text="Functioning">
      <formula>NOT(ISERROR(SEARCH("Functioning",A201)))</formula>
    </cfRule>
  </conditionalFormatting>
  <conditionalFormatting sqref="D202">
    <cfRule type="beginsWith" dxfId="1547" priority="463" stopIfTrue="1" operator="beginsWith" text="Functioning At Risk">
      <formula>LEFT(D202,LEN("Functioning At Risk"))="Functioning At Risk"</formula>
    </cfRule>
    <cfRule type="beginsWith" dxfId="1546" priority="464" stopIfTrue="1" operator="beginsWith" text="Not Functioning">
      <formula>LEFT(D202,LEN("Not Functioning"))="Not Functioning"</formula>
    </cfRule>
    <cfRule type="containsText" dxfId="1545" priority="465" operator="containsText" text="Functioning">
      <formula>NOT(ISERROR(SEARCH("Functioning",D202)))</formula>
    </cfRule>
  </conditionalFormatting>
  <conditionalFormatting sqref="B202">
    <cfRule type="beginsWith" dxfId="1544" priority="460" stopIfTrue="1" operator="beginsWith" text="Functioning At Risk">
      <formula>LEFT(B202,LEN("Functioning At Risk"))="Functioning At Risk"</formula>
    </cfRule>
    <cfRule type="beginsWith" dxfId="1543" priority="461" stopIfTrue="1" operator="beginsWith" text="Not Functioning">
      <formula>LEFT(B202,LEN("Not Functioning"))="Not Functioning"</formula>
    </cfRule>
    <cfRule type="containsText" dxfId="1542" priority="462" operator="containsText" text="Functioning">
      <formula>NOT(ISERROR(SEARCH("Functioning",B202)))</formula>
    </cfRule>
  </conditionalFormatting>
  <conditionalFormatting sqref="B201">
    <cfRule type="beginsWith" dxfId="1541" priority="457" stopIfTrue="1" operator="beginsWith" text="Functioning At Risk">
      <formula>LEFT(B201,LEN("Functioning At Risk"))="Functioning At Risk"</formula>
    </cfRule>
    <cfRule type="beginsWith" dxfId="1540" priority="458" stopIfTrue="1" operator="beginsWith" text="Not Functioning">
      <formula>LEFT(B201,LEN("Not Functioning"))="Not Functioning"</formula>
    </cfRule>
    <cfRule type="containsText" dxfId="1539" priority="459" operator="containsText" text="Functioning">
      <formula>NOT(ISERROR(SEARCH("Functioning",B201)))</formula>
    </cfRule>
  </conditionalFormatting>
  <conditionalFormatting sqref="J179:J181">
    <cfRule type="beginsWith" dxfId="1538" priority="526" stopIfTrue="1" operator="beginsWith" text="Functioning At Risk">
      <formula>LEFT(J179,LEN("Functioning At Risk"))="Functioning At Risk"</formula>
    </cfRule>
    <cfRule type="beginsWith" dxfId="1537" priority="527" stopIfTrue="1" operator="beginsWith" text="Not Functioning">
      <formula>LEFT(J179,LEN("Not Functioning"))="Not Functioning"</formula>
    </cfRule>
    <cfRule type="containsText" dxfId="1536" priority="528" operator="containsText" text="Functioning">
      <formula>NOT(ISERROR(SEARCH("Functioning",J179)))</formula>
    </cfRule>
  </conditionalFormatting>
  <conditionalFormatting sqref="I198">
    <cfRule type="beginsWith" dxfId="1535" priority="523" stopIfTrue="1" operator="beginsWith" text="Functioning At Risk">
      <formula>LEFT(I198,LEN("Functioning At Risk"))="Functioning At Risk"</formula>
    </cfRule>
    <cfRule type="beginsWith" dxfId="1534" priority="524" stopIfTrue="1" operator="beginsWith" text="Not Functioning">
      <formula>LEFT(I198,LEN("Not Functioning"))="Not Functioning"</formula>
    </cfRule>
    <cfRule type="containsText" dxfId="1533" priority="525" operator="containsText" text="Functioning">
      <formula>NOT(ISERROR(SEARCH("Functioning",I198)))</formula>
    </cfRule>
  </conditionalFormatting>
  <conditionalFormatting sqref="H179:H180">
    <cfRule type="beginsWith" dxfId="1532" priority="520" stopIfTrue="1" operator="beginsWith" text="Functioning At Risk">
      <formula>LEFT(H179,LEN("Functioning At Risk"))="Functioning At Risk"</formula>
    </cfRule>
    <cfRule type="beginsWith" dxfId="1531" priority="521" stopIfTrue="1" operator="beginsWith" text="Not Functioning">
      <formula>LEFT(H179,LEN("Not Functioning"))="Not Functioning"</formula>
    </cfRule>
    <cfRule type="containsText" dxfId="1530" priority="522" operator="containsText" text="Functioning">
      <formula>NOT(ISERROR(SEARCH("Functioning",H179)))</formula>
    </cfRule>
  </conditionalFormatting>
  <conditionalFormatting sqref="I179:I181">
    <cfRule type="beginsWith" dxfId="1529" priority="517" stopIfTrue="1" operator="beginsWith" text="Functioning At Risk">
      <formula>LEFT(I179,LEN("Functioning At Risk"))="Functioning At Risk"</formula>
    </cfRule>
    <cfRule type="beginsWith" dxfId="1528" priority="518" stopIfTrue="1" operator="beginsWith" text="Not Functioning">
      <formula>LEFT(I179,LEN("Not Functioning"))="Not Functioning"</formula>
    </cfRule>
    <cfRule type="containsText" dxfId="1527" priority="519" operator="containsText" text="Functioning">
      <formula>NOT(ISERROR(SEARCH("Functioning",I179)))</formula>
    </cfRule>
  </conditionalFormatting>
  <conditionalFormatting sqref="A182:D182 C183:D183">
    <cfRule type="beginsWith" dxfId="1526" priority="514" stopIfTrue="1" operator="beginsWith" text="Functioning At Risk">
      <formula>LEFT(A182,LEN("Functioning At Risk"))="Functioning At Risk"</formula>
    </cfRule>
    <cfRule type="beginsWith" dxfId="1525" priority="515" stopIfTrue="1" operator="beginsWith" text="Not Functioning">
      <formula>LEFT(A182,LEN("Not Functioning"))="Not Functioning"</formula>
    </cfRule>
    <cfRule type="containsText" dxfId="1524" priority="516" operator="containsText" text="Functioning">
      <formula>NOT(ISERROR(SEARCH("Functioning",A182)))</formula>
    </cfRule>
  </conditionalFormatting>
  <conditionalFormatting sqref="H182:I182">
    <cfRule type="beginsWith" dxfId="1523" priority="511" stopIfTrue="1" operator="beginsWith" text="Functioning At Risk">
      <formula>LEFT(H182,LEN("Functioning At Risk"))="Functioning At Risk"</formula>
    </cfRule>
    <cfRule type="beginsWith" dxfId="1522" priority="512" stopIfTrue="1" operator="beginsWith" text="Not Functioning">
      <formula>LEFT(H182,LEN("Not Functioning"))="Not Functioning"</formula>
    </cfRule>
    <cfRule type="containsText" dxfId="1521" priority="513" operator="containsText" text="Functioning">
      <formula>NOT(ISERROR(SEARCH("Functioning",H182)))</formula>
    </cfRule>
  </conditionalFormatting>
  <conditionalFormatting sqref="C226">
    <cfRule type="beginsWith" dxfId="1520" priority="412" stopIfTrue="1" operator="beginsWith" text="Functioning At Risk">
      <formula>LEFT(C226,LEN("Functioning At Risk"))="Functioning At Risk"</formula>
    </cfRule>
    <cfRule type="beginsWith" dxfId="1519" priority="413" stopIfTrue="1" operator="beginsWith" text="Not Functioning">
      <formula>LEFT(C226,LEN("Not Functioning"))="Not Functioning"</formula>
    </cfRule>
    <cfRule type="containsText" dxfId="1518" priority="414" operator="containsText" text="Functioning">
      <formula>NOT(ISERROR(SEARCH("Functioning",C226)))</formula>
    </cfRule>
  </conditionalFormatting>
  <conditionalFormatting sqref="H218:I219 A218:D218 A219 C219:D219">
    <cfRule type="beginsWith" dxfId="1517" priority="433" stopIfTrue="1" operator="beginsWith" text="Functioning At Risk">
      <formula>LEFT(A218,LEN("Functioning At Risk"))="Functioning At Risk"</formula>
    </cfRule>
    <cfRule type="beginsWith" dxfId="1516" priority="434" stopIfTrue="1" operator="beginsWith" text="Not Functioning">
      <formula>LEFT(A218,LEN("Not Functioning"))="Not Functioning"</formula>
    </cfRule>
    <cfRule type="containsText" dxfId="1515" priority="435" operator="containsText" text="Functioning">
      <formula>NOT(ISERROR(SEARCH("Functioning",A218)))</formula>
    </cfRule>
  </conditionalFormatting>
  <conditionalFormatting sqref="D233:D234">
    <cfRule type="beginsWith" dxfId="1514" priority="406" stopIfTrue="1" operator="beginsWith" text="Functioning At Risk">
      <formula>LEFT(D233,LEN("Functioning At Risk"))="Functioning At Risk"</formula>
    </cfRule>
    <cfRule type="beginsWith" dxfId="1513" priority="407" stopIfTrue="1" operator="beginsWith" text="Not Functioning">
      <formula>LEFT(D233,LEN("Not Functioning"))="Not Functioning"</formula>
    </cfRule>
    <cfRule type="containsText" dxfId="1512" priority="408" operator="containsText" text="Functioning">
      <formula>NOT(ISERROR(SEARCH("Functioning",D233)))</formula>
    </cfRule>
  </conditionalFormatting>
  <conditionalFormatting sqref="D221 C220:D220">
    <cfRule type="beginsWith" dxfId="1511" priority="427" stopIfTrue="1" operator="beginsWith" text="Functioning At Risk">
      <formula>LEFT(C220,LEN("Functioning At Risk"))="Functioning At Risk"</formula>
    </cfRule>
    <cfRule type="beginsWith" dxfId="1510" priority="428" stopIfTrue="1" operator="beginsWith" text="Not Functioning">
      <formula>LEFT(C220,LEN("Not Functioning"))="Not Functioning"</formula>
    </cfRule>
    <cfRule type="containsText" dxfId="1509" priority="429" operator="containsText" text="Functioning">
      <formula>NOT(ISERROR(SEARCH("Functioning",C220)))</formula>
    </cfRule>
  </conditionalFormatting>
  <conditionalFormatting sqref="A232">
    <cfRule type="beginsWith" dxfId="1508" priority="400" stopIfTrue="1" operator="beginsWith" text="Functioning At Risk">
      <formula>LEFT(A232,LEN("Functioning At Risk"))="Functioning At Risk"</formula>
    </cfRule>
    <cfRule type="beginsWith" dxfId="1507" priority="401" stopIfTrue="1" operator="beginsWith" text="Not Functioning">
      <formula>LEFT(A232,LEN("Not Functioning"))="Not Functioning"</formula>
    </cfRule>
    <cfRule type="containsText" dxfId="1506" priority="402" operator="containsText" text="Functioning">
      <formula>NOT(ISERROR(SEARCH("Functioning",A232)))</formula>
    </cfRule>
  </conditionalFormatting>
  <conditionalFormatting sqref="B228">
    <cfRule type="beginsWith" dxfId="1505" priority="418" stopIfTrue="1" operator="beginsWith" text="Functioning At Risk">
      <formula>LEFT(B228,LEN("Functioning At Risk"))="Functioning At Risk"</formula>
    </cfRule>
    <cfRule type="beginsWith" dxfId="1504" priority="419" stopIfTrue="1" operator="beginsWith" text="Not Functioning">
      <formula>LEFT(B228,LEN("Not Functioning"))="Not Functioning"</formula>
    </cfRule>
    <cfRule type="containsText" dxfId="1503" priority="420" operator="containsText" text="Functioning">
      <formula>NOT(ISERROR(SEARCH("Functioning",B228)))</formula>
    </cfRule>
  </conditionalFormatting>
  <conditionalFormatting sqref="B224:D224 C225:D225 D226:D227">
    <cfRule type="beginsWith" dxfId="1502" priority="415" stopIfTrue="1" operator="beginsWith" text="Functioning At Risk">
      <formula>LEFT(B224,LEN("Functioning At Risk"))="Functioning At Risk"</formula>
    </cfRule>
    <cfRule type="beginsWith" dxfId="1501" priority="416" stopIfTrue="1" operator="beginsWith" text="Not Functioning">
      <formula>LEFT(B224,LEN("Not Functioning"))="Not Functioning"</formula>
    </cfRule>
    <cfRule type="containsText" dxfId="1500" priority="417" operator="containsText" text="Functioning">
      <formula>NOT(ISERROR(SEARCH("Functioning",B224)))</formula>
    </cfRule>
  </conditionalFormatting>
  <conditionalFormatting sqref="C223:D223">
    <cfRule type="beginsWith" dxfId="1499" priority="421" stopIfTrue="1" operator="beginsWith" text="Functioning At Risk">
      <formula>LEFT(C223,LEN("Functioning At Risk"))="Functioning At Risk"</formula>
    </cfRule>
    <cfRule type="beginsWith" dxfId="1498" priority="422" stopIfTrue="1" operator="beginsWith" text="Not Functioning">
      <formula>LEFT(C223,LEN("Not Functioning"))="Not Functioning"</formula>
    </cfRule>
    <cfRule type="containsText" dxfId="1497" priority="423" operator="containsText" text="Functioning">
      <formula>NOT(ISERROR(SEARCH("Functioning",C223)))</formula>
    </cfRule>
  </conditionalFormatting>
  <conditionalFormatting sqref="C227">
    <cfRule type="beginsWith" dxfId="1496" priority="409" stopIfTrue="1" operator="beginsWith" text="Functioning At Risk">
      <formula>LEFT(C227,LEN("Functioning At Risk"))="Functioning At Risk"</formula>
    </cfRule>
    <cfRule type="beginsWith" dxfId="1495" priority="410" stopIfTrue="1" operator="beginsWith" text="Not Functioning">
      <formula>LEFT(C227,LEN("Not Functioning"))="Not Functioning"</formula>
    </cfRule>
    <cfRule type="containsText" dxfId="1494" priority="411" operator="containsText" text="Functioning">
      <formula>NOT(ISERROR(SEARCH("Functioning",C227)))</formula>
    </cfRule>
  </conditionalFormatting>
  <conditionalFormatting sqref="H232">
    <cfRule type="beginsWith" dxfId="1493" priority="403" stopIfTrue="1" operator="beginsWith" text="Functioning At Risk">
      <formula>LEFT(H232,LEN("Functioning At Risk"))="Functioning At Risk"</formula>
    </cfRule>
    <cfRule type="beginsWith" dxfId="1492" priority="404" stopIfTrue="1" operator="beginsWith" text="Not Functioning">
      <formula>LEFT(H232,LEN("Not Functioning"))="Not Functioning"</formula>
    </cfRule>
    <cfRule type="containsText" dxfId="1491" priority="405" operator="containsText" text="Functioning">
      <formula>NOT(ISERROR(SEARCH("Functioning",H232)))</formula>
    </cfRule>
  </conditionalFormatting>
  <conditionalFormatting sqref="I235:I236 A235:A236">
    <cfRule type="beginsWith" dxfId="1490" priority="397" stopIfTrue="1" operator="beginsWith" text="Functioning At Risk">
      <formula>LEFT(A235,LEN("Functioning At Risk"))="Functioning At Risk"</formula>
    </cfRule>
    <cfRule type="beginsWith" dxfId="1489" priority="398" stopIfTrue="1" operator="beginsWith" text="Not Functioning">
      <formula>LEFT(A235,LEN("Not Functioning"))="Not Functioning"</formula>
    </cfRule>
    <cfRule type="containsText" dxfId="1488" priority="399" operator="containsText" text="Functioning">
      <formula>NOT(ISERROR(SEARCH("Functioning",A235)))</formula>
    </cfRule>
  </conditionalFormatting>
  <conditionalFormatting sqref="D235">
    <cfRule type="beginsWith" dxfId="1487" priority="394" stopIfTrue="1" operator="beginsWith" text="Functioning At Risk">
      <formula>LEFT(D235,LEN("Functioning At Risk"))="Functioning At Risk"</formula>
    </cfRule>
    <cfRule type="beginsWith" dxfId="1486" priority="395" stopIfTrue="1" operator="beginsWith" text="Not Functioning">
      <formula>LEFT(D235,LEN("Not Functioning"))="Not Functioning"</formula>
    </cfRule>
    <cfRule type="containsText" dxfId="1485" priority="396" operator="containsText" text="Functioning">
      <formula>NOT(ISERROR(SEARCH("Functioning",D235)))</formula>
    </cfRule>
  </conditionalFormatting>
  <conditionalFormatting sqref="D236">
    <cfRule type="beginsWith" dxfId="1484" priority="391" stopIfTrue="1" operator="beginsWith" text="Functioning At Risk">
      <formula>LEFT(D236,LEN("Functioning At Risk"))="Functioning At Risk"</formula>
    </cfRule>
    <cfRule type="beginsWith" dxfId="1483" priority="392" stopIfTrue="1" operator="beginsWith" text="Not Functioning">
      <formula>LEFT(D236,LEN("Not Functioning"))="Not Functioning"</formula>
    </cfRule>
    <cfRule type="containsText" dxfId="1482" priority="393" operator="containsText" text="Functioning">
      <formula>NOT(ISERROR(SEARCH("Functioning",D236)))</formula>
    </cfRule>
  </conditionalFormatting>
  <conditionalFormatting sqref="B236">
    <cfRule type="beginsWith" dxfId="1481" priority="388" stopIfTrue="1" operator="beginsWith" text="Functioning At Risk">
      <formula>LEFT(B236,LEN("Functioning At Risk"))="Functioning At Risk"</formula>
    </cfRule>
    <cfRule type="beginsWith" dxfId="1480" priority="389" stopIfTrue="1" operator="beginsWith" text="Not Functioning">
      <formula>LEFT(B236,LEN("Not Functioning"))="Not Functioning"</formula>
    </cfRule>
    <cfRule type="containsText" dxfId="1479" priority="390" operator="containsText" text="Functioning">
      <formula>NOT(ISERROR(SEARCH("Functioning",B236)))</formula>
    </cfRule>
  </conditionalFormatting>
  <conditionalFormatting sqref="B235">
    <cfRule type="beginsWith" dxfId="1478" priority="385" stopIfTrue="1" operator="beginsWith" text="Functioning At Risk">
      <formula>LEFT(B235,LEN("Functioning At Risk"))="Functioning At Risk"</formula>
    </cfRule>
    <cfRule type="beginsWith" dxfId="1477" priority="386" stopIfTrue="1" operator="beginsWith" text="Not Functioning">
      <formula>LEFT(B235,LEN("Not Functioning"))="Not Functioning"</formula>
    </cfRule>
    <cfRule type="containsText" dxfId="1476" priority="387" operator="containsText" text="Functioning">
      <formula>NOT(ISERROR(SEARCH("Functioning",B235)))</formula>
    </cfRule>
  </conditionalFormatting>
  <conditionalFormatting sqref="J213:J215">
    <cfRule type="beginsWith" dxfId="1475" priority="454" stopIfTrue="1" operator="beginsWith" text="Functioning At Risk">
      <formula>LEFT(J213,LEN("Functioning At Risk"))="Functioning At Risk"</formula>
    </cfRule>
    <cfRule type="beginsWith" dxfId="1474" priority="455" stopIfTrue="1" operator="beginsWith" text="Not Functioning">
      <formula>LEFT(J213,LEN("Not Functioning"))="Not Functioning"</formula>
    </cfRule>
    <cfRule type="containsText" dxfId="1473" priority="456" operator="containsText" text="Functioning">
      <formula>NOT(ISERROR(SEARCH("Functioning",J213)))</formula>
    </cfRule>
  </conditionalFormatting>
  <conditionalFormatting sqref="I232">
    <cfRule type="beginsWith" dxfId="1472" priority="451" stopIfTrue="1" operator="beginsWith" text="Functioning At Risk">
      <formula>LEFT(I232,LEN("Functioning At Risk"))="Functioning At Risk"</formula>
    </cfRule>
    <cfRule type="beginsWith" dxfId="1471" priority="452" stopIfTrue="1" operator="beginsWith" text="Not Functioning">
      <formula>LEFT(I232,LEN("Not Functioning"))="Not Functioning"</formula>
    </cfRule>
    <cfRule type="containsText" dxfId="1470" priority="453" operator="containsText" text="Functioning">
      <formula>NOT(ISERROR(SEARCH("Functioning",I232)))</formula>
    </cfRule>
  </conditionalFormatting>
  <conditionalFormatting sqref="H213:H214">
    <cfRule type="beginsWith" dxfId="1469" priority="448" stopIfTrue="1" operator="beginsWith" text="Functioning At Risk">
      <formula>LEFT(H213,LEN("Functioning At Risk"))="Functioning At Risk"</formula>
    </cfRule>
    <cfRule type="beginsWith" dxfId="1468" priority="449" stopIfTrue="1" operator="beginsWith" text="Not Functioning">
      <formula>LEFT(H213,LEN("Not Functioning"))="Not Functioning"</formula>
    </cfRule>
    <cfRule type="containsText" dxfId="1467" priority="450" operator="containsText" text="Functioning">
      <formula>NOT(ISERROR(SEARCH("Functioning",H213)))</formula>
    </cfRule>
  </conditionalFormatting>
  <conditionalFormatting sqref="I213:I215">
    <cfRule type="beginsWith" dxfId="1466" priority="445" stopIfTrue="1" operator="beginsWith" text="Functioning At Risk">
      <formula>LEFT(I213,LEN("Functioning At Risk"))="Functioning At Risk"</formula>
    </cfRule>
    <cfRule type="beginsWith" dxfId="1465" priority="446" stopIfTrue="1" operator="beginsWith" text="Not Functioning">
      <formula>LEFT(I213,LEN("Not Functioning"))="Not Functioning"</formula>
    </cfRule>
    <cfRule type="containsText" dxfId="1464" priority="447" operator="containsText" text="Functioning">
      <formula>NOT(ISERROR(SEARCH("Functioning",I213)))</formula>
    </cfRule>
  </conditionalFormatting>
  <conditionalFormatting sqref="A216:D216 C217:D217">
    <cfRule type="beginsWith" dxfId="1463" priority="442" stopIfTrue="1" operator="beginsWith" text="Functioning At Risk">
      <formula>LEFT(A216,LEN("Functioning At Risk"))="Functioning At Risk"</formula>
    </cfRule>
    <cfRule type="beginsWith" dxfId="1462" priority="443" stopIfTrue="1" operator="beginsWith" text="Not Functioning">
      <formula>LEFT(A216,LEN("Not Functioning"))="Not Functioning"</formula>
    </cfRule>
    <cfRule type="containsText" dxfId="1461" priority="444" operator="containsText" text="Functioning">
      <formula>NOT(ISERROR(SEARCH("Functioning",A216)))</formula>
    </cfRule>
  </conditionalFormatting>
  <conditionalFormatting sqref="H216:I216">
    <cfRule type="beginsWith" dxfId="1460" priority="439" stopIfTrue="1" operator="beginsWith" text="Functioning At Risk">
      <formula>LEFT(H216,LEN("Functioning At Risk"))="Functioning At Risk"</formula>
    </cfRule>
    <cfRule type="beginsWith" dxfId="1459" priority="440" stopIfTrue="1" operator="beginsWith" text="Not Functioning">
      <formula>LEFT(H216,LEN("Not Functioning"))="Not Functioning"</formula>
    </cfRule>
    <cfRule type="containsText" dxfId="1458" priority="441" operator="containsText" text="Functioning">
      <formula>NOT(ISERROR(SEARCH("Functioning",H216)))</formula>
    </cfRule>
  </conditionalFormatting>
  <conditionalFormatting sqref="B262">
    <cfRule type="beginsWith" dxfId="1457" priority="346" stopIfTrue="1" operator="beginsWith" text="Functioning At Risk">
      <formula>LEFT(B262,LEN("Functioning At Risk"))="Functioning At Risk"</formula>
    </cfRule>
    <cfRule type="beginsWith" dxfId="1456" priority="347" stopIfTrue="1" operator="beginsWith" text="Not Functioning">
      <formula>LEFT(B262,LEN("Not Functioning"))="Not Functioning"</formula>
    </cfRule>
    <cfRule type="containsText" dxfId="1455" priority="348" operator="containsText" text="Functioning">
      <formula>NOT(ISERROR(SEARCH("Functioning",B262)))</formula>
    </cfRule>
  </conditionalFormatting>
  <conditionalFormatting sqref="H252:I253 A252:D252 A253 C253:D253">
    <cfRule type="beginsWith" dxfId="1454" priority="361" stopIfTrue="1" operator="beginsWith" text="Functioning At Risk">
      <formula>LEFT(A252,LEN("Functioning At Risk"))="Functioning At Risk"</formula>
    </cfRule>
    <cfRule type="beginsWith" dxfId="1453" priority="362" stopIfTrue="1" operator="beginsWith" text="Not Functioning">
      <formula>LEFT(A252,LEN("Not Functioning"))="Not Functioning"</formula>
    </cfRule>
    <cfRule type="containsText" dxfId="1452" priority="363" operator="containsText" text="Functioning">
      <formula>NOT(ISERROR(SEARCH("Functioning",A252)))</formula>
    </cfRule>
  </conditionalFormatting>
  <conditionalFormatting sqref="C260">
    <cfRule type="beginsWith" dxfId="1451" priority="340" stopIfTrue="1" operator="beginsWith" text="Functioning At Risk">
      <formula>LEFT(C260,LEN("Functioning At Risk"))="Functioning At Risk"</formula>
    </cfRule>
    <cfRule type="beginsWith" dxfId="1450" priority="341" stopIfTrue="1" operator="beginsWith" text="Not Functioning">
      <formula>LEFT(C260,LEN("Not Functioning"))="Not Functioning"</formula>
    </cfRule>
    <cfRule type="containsText" dxfId="1449" priority="342" operator="containsText" text="Functioning">
      <formula>NOT(ISERROR(SEARCH("Functioning",C260)))</formula>
    </cfRule>
  </conditionalFormatting>
  <conditionalFormatting sqref="D255 C254:D254">
    <cfRule type="beginsWith" dxfId="1448" priority="355" stopIfTrue="1" operator="beginsWith" text="Functioning At Risk">
      <formula>LEFT(C254,LEN("Functioning At Risk"))="Functioning At Risk"</formula>
    </cfRule>
    <cfRule type="beginsWith" dxfId="1447" priority="356" stopIfTrue="1" operator="beginsWith" text="Not Functioning">
      <formula>LEFT(C254,LEN("Not Functioning"))="Not Functioning"</formula>
    </cfRule>
    <cfRule type="containsText" dxfId="1446" priority="357" operator="containsText" text="Functioning">
      <formula>NOT(ISERROR(SEARCH("Functioning",C254)))</formula>
    </cfRule>
  </conditionalFormatting>
  <conditionalFormatting sqref="D267:D268">
    <cfRule type="beginsWith" dxfId="1445" priority="334" stopIfTrue="1" operator="beginsWith" text="Functioning At Risk">
      <formula>LEFT(D267,LEN("Functioning At Risk"))="Functioning At Risk"</formula>
    </cfRule>
    <cfRule type="beginsWith" dxfId="1444" priority="335" stopIfTrue="1" operator="beginsWith" text="Not Functioning">
      <formula>LEFT(D267,LEN("Not Functioning"))="Not Functioning"</formula>
    </cfRule>
    <cfRule type="containsText" dxfId="1443" priority="336" operator="containsText" text="Functioning">
      <formula>NOT(ISERROR(SEARCH("Functioning",D267)))</formula>
    </cfRule>
  </conditionalFormatting>
  <conditionalFormatting sqref="B258:D258 C259:D259 D260:D261">
    <cfRule type="beginsWith" dxfId="1442" priority="343" stopIfTrue="1" operator="beginsWith" text="Functioning At Risk">
      <formula>LEFT(B258,LEN("Functioning At Risk"))="Functioning At Risk"</formula>
    </cfRule>
    <cfRule type="beginsWith" dxfId="1441" priority="344" stopIfTrue="1" operator="beginsWith" text="Not Functioning">
      <formula>LEFT(B258,LEN("Not Functioning"))="Not Functioning"</formula>
    </cfRule>
    <cfRule type="containsText" dxfId="1440" priority="345" operator="containsText" text="Functioning">
      <formula>NOT(ISERROR(SEARCH("Functioning",B258)))</formula>
    </cfRule>
  </conditionalFormatting>
  <conditionalFormatting sqref="C257:D257">
    <cfRule type="beginsWith" dxfId="1439" priority="349" stopIfTrue="1" operator="beginsWith" text="Functioning At Risk">
      <formula>LEFT(C257,LEN("Functioning At Risk"))="Functioning At Risk"</formula>
    </cfRule>
    <cfRule type="beginsWith" dxfId="1438" priority="350" stopIfTrue="1" operator="beginsWith" text="Not Functioning">
      <formula>LEFT(C257,LEN("Not Functioning"))="Not Functioning"</formula>
    </cfRule>
    <cfRule type="containsText" dxfId="1437" priority="351" operator="containsText" text="Functioning">
      <formula>NOT(ISERROR(SEARCH("Functioning",C257)))</formula>
    </cfRule>
  </conditionalFormatting>
  <conditionalFormatting sqref="C261">
    <cfRule type="beginsWith" dxfId="1436" priority="337" stopIfTrue="1" operator="beginsWith" text="Functioning At Risk">
      <formula>LEFT(C261,LEN("Functioning At Risk"))="Functioning At Risk"</formula>
    </cfRule>
    <cfRule type="beginsWith" dxfId="1435" priority="338" stopIfTrue="1" operator="beginsWith" text="Not Functioning">
      <formula>LEFT(C261,LEN("Not Functioning"))="Not Functioning"</formula>
    </cfRule>
    <cfRule type="containsText" dxfId="1434" priority="339" operator="containsText" text="Functioning">
      <formula>NOT(ISERROR(SEARCH("Functioning",C261)))</formula>
    </cfRule>
  </conditionalFormatting>
  <conditionalFormatting sqref="H266">
    <cfRule type="beginsWith" dxfId="1433" priority="331" stopIfTrue="1" operator="beginsWith" text="Functioning At Risk">
      <formula>LEFT(H266,LEN("Functioning At Risk"))="Functioning At Risk"</formula>
    </cfRule>
    <cfRule type="beginsWith" dxfId="1432" priority="332" stopIfTrue="1" operator="beginsWith" text="Not Functioning">
      <formula>LEFT(H266,LEN("Not Functioning"))="Not Functioning"</formula>
    </cfRule>
    <cfRule type="containsText" dxfId="1431" priority="333" operator="containsText" text="Functioning">
      <formula>NOT(ISERROR(SEARCH("Functioning",H266)))</formula>
    </cfRule>
  </conditionalFormatting>
  <conditionalFormatting sqref="A266">
    <cfRule type="beginsWith" dxfId="1430" priority="328" stopIfTrue="1" operator="beginsWith" text="Functioning At Risk">
      <formula>LEFT(A266,LEN("Functioning At Risk"))="Functioning At Risk"</formula>
    </cfRule>
    <cfRule type="beginsWith" dxfId="1429" priority="329" stopIfTrue="1" operator="beginsWith" text="Not Functioning">
      <formula>LEFT(A266,LEN("Not Functioning"))="Not Functioning"</formula>
    </cfRule>
    <cfRule type="containsText" dxfId="1428" priority="330" operator="containsText" text="Functioning">
      <formula>NOT(ISERROR(SEARCH("Functioning",A266)))</formula>
    </cfRule>
  </conditionalFormatting>
  <conditionalFormatting sqref="I269:I270 A269:A270">
    <cfRule type="beginsWith" dxfId="1427" priority="325" stopIfTrue="1" operator="beginsWith" text="Functioning At Risk">
      <formula>LEFT(A269,LEN("Functioning At Risk"))="Functioning At Risk"</formula>
    </cfRule>
    <cfRule type="beginsWith" dxfId="1426" priority="326" stopIfTrue="1" operator="beginsWith" text="Not Functioning">
      <formula>LEFT(A269,LEN("Not Functioning"))="Not Functioning"</formula>
    </cfRule>
    <cfRule type="containsText" dxfId="1425" priority="327" operator="containsText" text="Functioning">
      <formula>NOT(ISERROR(SEARCH("Functioning",A269)))</formula>
    </cfRule>
  </conditionalFormatting>
  <conditionalFormatting sqref="D269">
    <cfRule type="beginsWith" dxfId="1424" priority="322" stopIfTrue="1" operator="beginsWith" text="Functioning At Risk">
      <formula>LEFT(D269,LEN("Functioning At Risk"))="Functioning At Risk"</formula>
    </cfRule>
    <cfRule type="beginsWith" dxfId="1423" priority="323" stopIfTrue="1" operator="beginsWith" text="Not Functioning">
      <formula>LEFT(D269,LEN("Not Functioning"))="Not Functioning"</formula>
    </cfRule>
    <cfRule type="containsText" dxfId="1422" priority="324" operator="containsText" text="Functioning">
      <formula>NOT(ISERROR(SEARCH("Functioning",D269)))</formula>
    </cfRule>
  </conditionalFormatting>
  <conditionalFormatting sqref="D270">
    <cfRule type="beginsWith" dxfId="1421" priority="319" stopIfTrue="1" operator="beginsWith" text="Functioning At Risk">
      <formula>LEFT(D270,LEN("Functioning At Risk"))="Functioning At Risk"</formula>
    </cfRule>
    <cfRule type="beginsWith" dxfId="1420" priority="320" stopIfTrue="1" operator="beginsWith" text="Not Functioning">
      <formula>LEFT(D270,LEN("Not Functioning"))="Not Functioning"</formula>
    </cfRule>
    <cfRule type="containsText" dxfId="1419" priority="321" operator="containsText" text="Functioning">
      <formula>NOT(ISERROR(SEARCH("Functioning",D270)))</formula>
    </cfRule>
  </conditionalFormatting>
  <conditionalFormatting sqref="B270">
    <cfRule type="beginsWith" dxfId="1418" priority="316" stopIfTrue="1" operator="beginsWith" text="Functioning At Risk">
      <formula>LEFT(B270,LEN("Functioning At Risk"))="Functioning At Risk"</formula>
    </cfRule>
    <cfRule type="beginsWith" dxfId="1417" priority="317" stopIfTrue="1" operator="beginsWith" text="Not Functioning">
      <formula>LEFT(B270,LEN("Not Functioning"))="Not Functioning"</formula>
    </cfRule>
    <cfRule type="containsText" dxfId="1416" priority="318" operator="containsText" text="Functioning">
      <formula>NOT(ISERROR(SEARCH("Functioning",B270)))</formula>
    </cfRule>
  </conditionalFormatting>
  <conditionalFormatting sqref="B269">
    <cfRule type="beginsWith" dxfId="1415" priority="313" stopIfTrue="1" operator="beginsWith" text="Functioning At Risk">
      <formula>LEFT(B269,LEN("Functioning At Risk"))="Functioning At Risk"</formula>
    </cfRule>
    <cfRule type="beginsWith" dxfId="1414" priority="314" stopIfTrue="1" operator="beginsWith" text="Not Functioning">
      <formula>LEFT(B269,LEN("Not Functioning"))="Not Functioning"</formula>
    </cfRule>
    <cfRule type="containsText" dxfId="1413" priority="315" operator="containsText" text="Functioning">
      <formula>NOT(ISERROR(SEARCH("Functioning",B269)))</formula>
    </cfRule>
  </conditionalFormatting>
  <conditionalFormatting sqref="J247:J249">
    <cfRule type="beginsWith" dxfId="1412" priority="382" stopIfTrue="1" operator="beginsWith" text="Functioning At Risk">
      <formula>LEFT(J247,LEN("Functioning At Risk"))="Functioning At Risk"</formula>
    </cfRule>
    <cfRule type="beginsWith" dxfId="1411" priority="383" stopIfTrue="1" operator="beginsWith" text="Not Functioning">
      <formula>LEFT(J247,LEN("Not Functioning"))="Not Functioning"</formula>
    </cfRule>
    <cfRule type="containsText" dxfId="1410" priority="384" operator="containsText" text="Functioning">
      <formula>NOT(ISERROR(SEARCH("Functioning",J247)))</formula>
    </cfRule>
  </conditionalFormatting>
  <conditionalFormatting sqref="I266">
    <cfRule type="beginsWith" dxfId="1409" priority="379" stopIfTrue="1" operator="beginsWith" text="Functioning At Risk">
      <formula>LEFT(I266,LEN("Functioning At Risk"))="Functioning At Risk"</formula>
    </cfRule>
    <cfRule type="beginsWith" dxfId="1408" priority="380" stopIfTrue="1" operator="beginsWith" text="Not Functioning">
      <formula>LEFT(I266,LEN("Not Functioning"))="Not Functioning"</formula>
    </cfRule>
    <cfRule type="containsText" dxfId="1407" priority="381" operator="containsText" text="Functioning">
      <formula>NOT(ISERROR(SEARCH("Functioning",I266)))</formula>
    </cfRule>
  </conditionalFormatting>
  <conditionalFormatting sqref="H247:H248">
    <cfRule type="beginsWith" dxfId="1406" priority="376" stopIfTrue="1" operator="beginsWith" text="Functioning At Risk">
      <formula>LEFT(H247,LEN("Functioning At Risk"))="Functioning At Risk"</formula>
    </cfRule>
    <cfRule type="beginsWith" dxfId="1405" priority="377" stopIfTrue="1" operator="beginsWith" text="Not Functioning">
      <formula>LEFT(H247,LEN("Not Functioning"))="Not Functioning"</formula>
    </cfRule>
    <cfRule type="containsText" dxfId="1404" priority="378" operator="containsText" text="Functioning">
      <formula>NOT(ISERROR(SEARCH("Functioning",H247)))</formula>
    </cfRule>
  </conditionalFormatting>
  <conditionalFormatting sqref="I247:I249">
    <cfRule type="beginsWith" dxfId="1403" priority="373" stopIfTrue="1" operator="beginsWith" text="Functioning At Risk">
      <formula>LEFT(I247,LEN("Functioning At Risk"))="Functioning At Risk"</formula>
    </cfRule>
    <cfRule type="beginsWith" dxfId="1402" priority="374" stopIfTrue="1" operator="beginsWith" text="Not Functioning">
      <formula>LEFT(I247,LEN("Not Functioning"))="Not Functioning"</formula>
    </cfRule>
    <cfRule type="containsText" dxfId="1401" priority="375" operator="containsText" text="Functioning">
      <formula>NOT(ISERROR(SEARCH("Functioning",I247)))</formula>
    </cfRule>
  </conditionalFormatting>
  <conditionalFormatting sqref="A250:D250 C251:D251">
    <cfRule type="beginsWith" dxfId="1400" priority="370" stopIfTrue="1" operator="beginsWith" text="Functioning At Risk">
      <formula>LEFT(A250,LEN("Functioning At Risk"))="Functioning At Risk"</formula>
    </cfRule>
    <cfRule type="beginsWith" dxfId="1399" priority="371" stopIfTrue="1" operator="beginsWith" text="Not Functioning">
      <formula>LEFT(A250,LEN("Not Functioning"))="Not Functioning"</formula>
    </cfRule>
    <cfRule type="containsText" dxfId="1398" priority="372" operator="containsText" text="Functioning">
      <formula>NOT(ISERROR(SEARCH("Functioning",A250)))</formula>
    </cfRule>
  </conditionalFormatting>
  <conditionalFormatting sqref="H250:I250">
    <cfRule type="beginsWith" dxfId="1397" priority="367" stopIfTrue="1" operator="beginsWith" text="Functioning At Risk">
      <formula>LEFT(H250,LEN("Functioning At Risk"))="Functioning At Risk"</formula>
    </cfRule>
    <cfRule type="beginsWith" dxfId="1396" priority="368" stopIfTrue="1" operator="beginsWith" text="Not Functioning">
      <formula>LEFT(H250,LEN("Not Functioning"))="Not Functioning"</formula>
    </cfRule>
    <cfRule type="containsText" dxfId="1395" priority="369" operator="containsText" text="Functioning">
      <formula>NOT(ISERROR(SEARCH("Functioning",H250)))</formula>
    </cfRule>
  </conditionalFormatting>
  <conditionalFormatting sqref="H286:I287 A286:D286 A287 C287:D287">
    <cfRule type="beginsWith" dxfId="1394" priority="289" stopIfTrue="1" operator="beginsWith" text="Functioning At Risk">
      <formula>LEFT(A286,LEN("Functioning At Risk"))="Functioning At Risk"</formula>
    </cfRule>
    <cfRule type="beginsWith" dxfId="1393" priority="290" stopIfTrue="1" operator="beginsWith" text="Not Functioning">
      <formula>LEFT(A286,LEN("Not Functioning"))="Not Functioning"</formula>
    </cfRule>
    <cfRule type="containsText" dxfId="1392" priority="291" operator="containsText" text="Functioning">
      <formula>NOT(ISERROR(SEARCH("Functioning",A286)))</formula>
    </cfRule>
  </conditionalFormatting>
  <conditionalFormatting sqref="B296">
    <cfRule type="beginsWith" dxfId="1391" priority="274" stopIfTrue="1" operator="beginsWith" text="Functioning At Risk">
      <formula>LEFT(B296,LEN("Functioning At Risk"))="Functioning At Risk"</formula>
    </cfRule>
    <cfRule type="beginsWith" dxfId="1390" priority="275" stopIfTrue="1" operator="beginsWith" text="Not Functioning">
      <formula>LEFT(B296,LEN("Not Functioning"))="Not Functioning"</formula>
    </cfRule>
    <cfRule type="containsText" dxfId="1389" priority="276" operator="containsText" text="Functioning">
      <formula>NOT(ISERROR(SEARCH("Functioning",B296)))</formula>
    </cfRule>
  </conditionalFormatting>
  <conditionalFormatting sqref="D289 C288:D288">
    <cfRule type="beginsWith" dxfId="1388" priority="283" stopIfTrue="1" operator="beginsWith" text="Functioning At Risk">
      <formula>LEFT(C288,LEN("Functioning At Risk"))="Functioning At Risk"</formula>
    </cfRule>
    <cfRule type="beginsWith" dxfId="1387" priority="284" stopIfTrue="1" operator="beginsWith" text="Not Functioning">
      <formula>LEFT(C288,LEN("Not Functioning"))="Not Functioning"</formula>
    </cfRule>
    <cfRule type="containsText" dxfId="1386" priority="285" operator="containsText" text="Functioning">
      <formula>NOT(ISERROR(SEARCH("Functioning",C288)))</formula>
    </cfRule>
  </conditionalFormatting>
  <conditionalFormatting sqref="C294">
    <cfRule type="beginsWith" dxfId="1385" priority="268" stopIfTrue="1" operator="beginsWith" text="Functioning At Risk">
      <formula>LEFT(C294,LEN("Functioning At Risk"))="Functioning At Risk"</formula>
    </cfRule>
    <cfRule type="beginsWith" dxfId="1384" priority="269" stopIfTrue="1" operator="beginsWith" text="Not Functioning">
      <formula>LEFT(C294,LEN("Not Functioning"))="Not Functioning"</formula>
    </cfRule>
    <cfRule type="containsText" dxfId="1383" priority="270" operator="containsText" text="Functioning">
      <formula>NOT(ISERROR(SEARCH("Functioning",C294)))</formula>
    </cfRule>
  </conditionalFormatting>
  <conditionalFormatting sqref="B292:D292 C293:D293 D294:D295">
    <cfRule type="beginsWith" dxfId="1382" priority="271" stopIfTrue="1" operator="beginsWith" text="Functioning At Risk">
      <formula>LEFT(B292,LEN("Functioning At Risk"))="Functioning At Risk"</formula>
    </cfRule>
    <cfRule type="beginsWith" dxfId="1381" priority="272" stopIfTrue="1" operator="beginsWith" text="Not Functioning">
      <formula>LEFT(B292,LEN("Not Functioning"))="Not Functioning"</formula>
    </cfRule>
    <cfRule type="containsText" dxfId="1380" priority="273" operator="containsText" text="Functioning">
      <formula>NOT(ISERROR(SEARCH("Functioning",B292)))</formula>
    </cfRule>
  </conditionalFormatting>
  <conditionalFormatting sqref="C291:D291">
    <cfRule type="beginsWith" dxfId="1379" priority="277" stopIfTrue="1" operator="beginsWith" text="Functioning At Risk">
      <formula>LEFT(C291,LEN("Functioning At Risk"))="Functioning At Risk"</formula>
    </cfRule>
    <cfRule type="beginsWith" dxfId="1378" priority="278" stopIfTrue="1" operator="beginsWith" text="Not Functioning">
      <formula>LEFT(C291,LEN("Not Functioning"))="Not Functioning"</formula>
    </cfRule>
    <cfRule type="containsText" dxfId="1377" priority="279" operator="containsText" text="Functioning">
      <formula>NOT(ISERROR(SEARCH("Functioning",C291)))</formula>
    </cfRule>
  </conditionalFormatting>
  <conditionalFormatting sqref="C295">
    <cfRule type="beginsWith" dxfId="1376" priority="265" stopIfTrue="1" operator="beginsWith" text="Functioning At Risk">
      <formula>LEFT(C295,LEN("Functioning At Risk"))="Functioning At Risk"</formula>
    </cfRule>
    <cfRule type="beginsWith" dxfId="1375" priority="266" stopIfTrue="1" operator="beginsWith" text="Not Functioning">
      <formula>LEFT(C295,LEN("Not Functioning"))="Not Functioning"</formula>
    </cfRule>
    <cfRule type="containsText" dxfId="1374" priority="267" operator="containsText" text="Functioning">
      <formula>NOT(ISERROR(SEARCH("Functioning",C295)))</formula>
    </cfRule>
  </conditionalFormatting>
  <conditionalFormatting sqref="D301:D302">
    <cfRule type="beginsWith" dxfId="1373" priority="262" stopIfTrue="1" operator="beginsWith" text="Functioning At Risk">
      <formula>LEFT(D301,LEN("Functioning At Risk"))="Functioning At Risk"</formula>
    </cfRule>
    <cfRule type="beginsWith" dxfId="1372" priority="263" stopIfTrue="1" operator="beginsWith" text="Not Functioning">
      <formula>LEFT(D301,LEN("Not Functioning"))="Not Functioning"</formula>
    </cfRule>
    <cfRule type="containsText" dxfId="1371" priority="264" operator="containsText" text="Functioning">
      <formula>NOT(ISERROR(SEARCH("Functioning",D301)))</formula>
    </cfRule>
  </conditionalFormatting>
  <conditionalFormatting sqref="H300">
    <cfRule type="beginsWith" dxfId="1370" priority="259" stopIfTrue="1" operator="beginsWith" text="Functioning At Risk">
      <formula>LEFT(H300,LEN("Functioning At Risk"))="Functioning At Risk"</formula>
    </cfRule>
    <cfRule type="beginsWith" dxfId="1369" priority="260" stopIfTrue="1" operator="beginsWith" text="Not Functioning">
      <formula>LEFT(H300,LEN("Not Functioning"))="Not Functioning"</formula>
    </cfRule>
    <cfRule type="containsText" dxfId="1368" priority="261" operator="containsText" text="Functioning">
      <formula>NOT(ISERROR(SEARCH("Functioning",H300)))</formula>
    </cfRule>
  </conditionalFormatting>
  <conditionalFormatting sqref="A300">
    <cfRule type="beginsWith" dxfId="1367" priority="256" stopIfTrue="1" operator="beginsWith" text="Functioning At Risk">
      <formula>LEFT(A300,LEN("Functioning At Risk"))="Functioning At Risk"</formula>
    </cfRule>
    <cfRule type="beginsWith" dxfId="1366" priority="257" stopIfTrue="1" operator="beginsWith" text="Not Functioning">
      <formula>LEFT(A300,LEN("Not Functioning"))="Not Functioning"</formula>
    </cfRule>
    <cfRule type="containsText" dxfId="1365" priority="258" operator="containsText" text="Functioning">
      <formula>NOT(ISERROR(SEARCH("Functioning",A300)))</formula>
    </cfRule>
  </conditionalFormatting>
  <conditionalFormatting sqref="I303:I304 A303:A304">
    <cfRule type="beginsWith" dxfId="1364" priority="253" stopIfTrue="1" operator="beginsWith" text="Functioning At Risk">
      <formula>LEFT(A303,LEN("Functioning At Risk"))="Functioning At Risk"</formula>
    </cfRule>
    <cfRule type="beginsWith" dxfId="1363" priority="254" stopIfTrue="1" operator="beginsWith" text="Not Functioning">
      <formula>LEFT(A303,LEN("Not Functioning"))="Not Functioning"</formula>
    </cfRule>
    <cfRule type="containsText" dxfId="1362" priority="255" operator="containsText" text="Functioning">
      <formula>NOT(ISERROR(SEARCH("Functioning",A303)))</formula>
    </cfRule>
  </conditionalFormatting>
  <conditionalFormatting sqref="D303">
    <cfRule type="beginsWith" dxfId="1361" priority="250" stopIfTrue="1" operator="beginsWith" text="Functioning At Risk">
      <formula>LEFT(D303,LEN("Functioning At Risk"))="Functioning At Risk"</formula>
    </cfRule>
    <cfRule type="beginsWith" dxfId="1360" priority="251" stopIfTrue="1" operator="beginsWith" text="Not Functioning">
      <formula>LEFT(D303,LEN("Not Functioning"))="Not Functioning"</formula>
    </cfRule>
    <cfRule type="containsText" dxfId="1359" priority="252" operator="containsText" text="Functioning">
      <formula>NOT(ISERROR(SEARCH("Functioning",D303)))</formula>
    </cfRule>
  </conditionalFormatting>
  <conditionalFormatting sqref="D304">
    <cfRule type="beginsWith" dxfId="1358" priority="247" stopIfTrue="1" operator="beginsWith" text="Functioning At Risk">
      <formula>LEFT(D304,LEN("Functioning At Risk"))="Functioning At Risk"</formula>
    </cfRule>
    <cfRule type="beginsWith" dxfId="1357" priority="248" stopIfTrue="1" operator="beginsWith" text="Not Functioning">
      <formula>LEFT(D304,LEN("Not Functioning"))="Not Functioning"</formula>
    </cfRule>
    <cfRule type="containsText" dxfId="1356" priority="249" operator="containsText" text="Functioning">
      <formula>NOT(ISERROR(SEARCH("Functioning",D304)))</formula>
    </cfRule>
  </conditionalFormatting>
  <conditionalFormatting sqref="B304">
    <cfRule type="beginsWith" dxfId="1355" priority="244" stopIfTrue="1" operator="beginsWith" text="Functioning At Risk">
      <formula>LEFT(B304,LEN("Functioning At Risk"))="Functioning At Risk"</formula>
    </cfRule>
    <cfRule type="beginsWith" dxfId="1354" priority="245" stopIfTrue="1" operator="beginsWith" text="Not Functioning">
      <formula>LEFT(B304,LEN("Not Functioning"))="Not Functioning"</formula>
    </cfRule>
    <cfRule type="containsText" dxfId="1353" priority="246" operator="containsText" text="Functioning">
      <formula>NOT(ISERROR(SEARCH("Functioning",B304)))</formula>
    </cfRule>
  </conditionalFormatting>
  <conditionalFormatting sqref="B303">
    <cfRule type="beginsWith" dxfId="1352" priority="241" stopIfTrue="1" operator="beginsWith" text="Functioning At Risk">
      <formula>LEFT(B303,LEN("Functioning At Risk"))="Functioning At Risk"</formula>
    </cfRule>
    <cfRule type="beginsWith" dxfId="1351" priority="242" stopIfTrue="1" operator="beginsWith" text="Not Functioning">
      <formula>LEFT(B303,LEN("Not Functioning"))="Not Functioning"</formula>
    </cfRule>
    <cfRule type="containsText" dxfId="1350" priority="243" operator="containsText" text="Functioning">
      <formula>NOT(ISERROR(SEARCH("Functioning",B303)))</formula>
    </cfRule>
  </conditionalFormatting>
  <conditionalFormatting sqref="J281:J283">
    <cfRule type="beginsWith" dxfId="1349" priority="310" stopIfTrue="1" operator="beginsWith" text="Functioning At Risk">
      <formula>LEFT(J281,LEN("Functioning At Risk"))="Functioning At Risk"</formula>
    </cfRule>
    <cfRule type="beginsWith" dxfId="1348" priority="311" stopIfTrue="1" operator="beginsWith" text="Not Functioning">
      <formula>LEFT(J281,LEN("Not Functioning"))="Not Functioning"</formula>
    </cfRule>
    <cfRule type="containsText" dxfId="1347" priority="312" operator="containsText" text="Functioning">
      <formula>NOT(ISERROR(SEARCH("Functioning",J281)))</formula>
    </cfRule>
  </conditionalFormatting>
  <conditionalFormatting sqref="I300">
    <cfRule type="beginsWith" dxfId="1346" priority="307" stopIfTrue="1" operator="beginsWith" text="Functioning At Risk">
      <formula>LEFT(I300,LEN("Functioning At Risk"))="Functioning At Risk"</formula>
    </cfRule>
    <cfRule type="beginsWith" dxfId="1345" priority="308" stopIfTrue="1" operator="beginsWith" text="Not Functioning">
      <formula>LEFT(I300,LEN("Not Functioning"))="Not Functioning"</formula>
    </cfRule>
    <cfRule type="containsText" dxfId="1344" priority="309" operator="containsText" text="Functioning">
      <formula>NOT(ISERROR(SEARCH("Functioning",I300)))</formula>
    </cfRule>
  </conditionalFormatting>
  <conditionalFormatting sqref="H281:H282">
    <cfRule type="beginsWith" dxfId="1343" priority="304" stopIfTrue="1" operator="beginsWith" text="Functioning At Risk">
      <formula>LEFT(H281,LEN("Functioning At Risk"))="Functioning At Risk"</formula>
    </cfRule>
    <cfRule type="beginsWith" dxfId="1342" priority="305" stopIfTrue="1" operator="beginsWith" text="Not Functioning">
      <formula>LEFT(H281,LEN("Not Functioning"))="Not Functioning"</formula>
    </cfRule>
    <cfRule type="containsText" dxfId="1341" priority="306" operator="containsText" text="Functioning">
      <formula>NOT(ISERROR(SEARCH("Functioning",H281)))</formula>
    </cfRule>
  </conditionalFormatting>
  <conditionalFormatting sqref="I281:I283">
    <cfRule type="beginsWith" dxfId="1340" priority="301" stopIfTrue="1" operator="beginsWith" text="Functioning At Risk">
      <formula>LEFT(I281,LEN("Functioning At Risk"))="Functioning At Risk"</formula>
    </cfRule>
    <cfRule type="beginsWith" dxfId="1339" priority="302" stopIfTrue="1" operator="beginsWith" text="Not Functioning">
      <formula>LEFT(I281,LEN("Not Functioning"))="Not Functioning"</formula>
    </cfRule>
    <cfRule type="containsText" dxfId="1338" priority="303" operator="containsText" text="Functioning">
      <formula>NOT(ISERROR(SEARCH("Functioning",I281)))</formula>
    </cfRule>
  </conditionalFormatting>
  <conditionalFormatting sqref="A284:D284 C285:D285">
    <cfRule type="beginsWith" dxfId="1337" priority="298" stopIfTrue="1" operator="beginsWith" text="Functioning At Risk">
      <formula>LEFT(A284,LEN("Functioning At Risk"))="Functioning At Risk"</formula>
    </cfRule>
    <cfRule type="beginsWith" dxfId="1336" priority="299" stopIfTrue="1" operator="beginsWith" text="Not Functioning">
      <formula>LEFT(A284,LEN("Not Functioning"))="Not Functioning"</formula>
    </cfRule>
    <cfRule type="containsText" dxfId="1335" priority="300" operator="containsText" text="Functioning">
      <formula>NOT(ISERROR(SEARCH("Functioning",A284)))</formula>
    </cfRule>
  </conditionalFormatting>
  <conditionalFormatting sqref="H284:I284">
    <cfRule type="beginsWith" dxfId="1334" priority="295" stopIfTrue="1" operator="beginsWith" text="Functioning At Risk">
      <formula>LEFT(H284,LEN("Functioning At Risk"))="Functioning At Risk"</formula>
    </cfRule>
    <cfRule type="beginsWith" dxfId="1333" priority="296" stopIfTrue="1" operator="beginsWith" text="Not Functioning">
      <formula>LEFT(H284,LEN("Not Functioning"))="Not Functioning"</formula>
    </cfRule>
    <cfRule type="containsText" dxfId="1332" priority="297" operator="containsText" text="Functioning">
      <formula>NOT(ISERROR(SEARCH("Functioning",H284)))</formula>
    </cfRule>
  </conditionalFormatting>
  <conditionalFormatting sqref="H320:I321 A320:D320 A321 C321:D321">
    <cfRule type="beginsWith" dxfId="1331" priority="217" stopIfTrue="1" operator="beginsWith" text="Functioning At Risk">
      <formula>LEFT(A320,LEN("Functioning At Risk"))="Functioning At Risk"</formula>
    </cfRule>
    <cfRule type="beginsWith" dxfId="1330" priority="218" stopIfTrue="1" operator="beginsWith" text="Not Functioning">
      <formula>LEFT(A320,LEN("Not Functioning"))="Not Functioning"</formula>
    </cfRule>
    <cfRule type="containsText" dxfId="1329" priority="219" operator="containsText" text="Functioning">
      <formula>NOT(ISERROR(SEARCH("Functioning",A320)))</formula>
    </cfRule>
  </conditionalFormatting>
  <conditionalFormatting sqref="D323 C322:D322">
    <cfRule type="beginsWith" dxfId="1328" priority="211" stopIfTrue="1" operator="beginsWith" text="Functioning At Risk">
      <formula>LEFT(C322,LEN("Functioning At Risk"))="Functioning At Risk"</formula>
    </cfRule>
    <cfRule type="beginsWith" dxfId="1327" priority="212" stopIfTrue="1" operator="beginsWith" text="Not Functioning">
      <formula>LEFT(C322,LEN("Not Functioning"))="Not Functioning"</formula>
    </cfRule>
    <cfRule type="containsText" dxfId="1326" priority="213" operator="containsText" text="Functioning">
      <formula>NOT(ISERROR(SEARCH("Functioning",C322)))</formula>
    </cfRule>
  </conditionalFormatting>
  <conditionalFormatting sqref="B330">
    <cfRule type="beginsWith" dxfId="1325" priority="202" stopIfTrue="1" operator="beginsWith" text="Functioning At Risk">
      <formula>LEFT(B330,LEN("Functioning At Risk"))="Functioning At Risk"</formula>
    </cfRule>
    <cfRule type="beginsWith" dxfId="1324" priority="203" stopIfTrue="1" operator="beginsWith" text="Not Functioning">
      <formula>LEFT(B330,LEN("Not Functioning"))="Not Functioning"</formula>
    </cfRule>
    <cfRule type="containsText" dxfId="1323" priority="204" operator="containsText" text="Functioning">
      <formula>NOT(ISERROR(SEARCH("Functioning",B330)))</formula>
    </cfRule>
  </conditionalFormatting>
  <conditionalFormatting sqref="B326:D326 C327:D327 D328:D329">
    <cfRule type="beginsWith" dxfId="1322" priority="199" stopIfTrue="1" operator="beginsWith" text="Functioning At Risk">
      <formula>LEFT(B326,LEN("Functioning At Risk"))="Functioning At Risk"</formula>
    </cfRule>
    <cfRule type="beginsWith" dxfId="1321" priority="200" stopIfTrue="1" operator="beginsWith" text="Not Functioning">
      <formula>LEFT(B326,LEN("Not Functioning"))="Not Functioning"</formula>
    </cfRule>
    <cfRule type="containsText" dxfId="1320" priority="201" operator="containsText" text="Functioning">
      <formula>NOT(ISERROR(SEARCH("Functioning",B326)))</formula>
    </cfRule>
  </conditionalFormatting>
  <conditionalFormatting sqref="C328">
    <cfRule type="beginsWith" dxfId="1319" priority="196" stopIfTrue="1" operator="beginsWith" text="Functioning At Risk">
      <formula>LEFT(C328,LEN("Functioning At Risk"))="Functioning At Risk"</formula>
    </cfRule>
    <cfRule type="beginsWith" dxfId="1318" priority="197" stopIfTrue="1" operator="beginsWith" text="Not Functioning">
      <formula>LEFT(C328,LEN("Not Functioning"))="Not Functioning"</formula>
    </cfRule>
    <cfRule type="containsText" dxfId="1317" priority="198" operator="containsText" text="Functioning">
      <formula>NOT(ISERROR(SEARCH("Functioning",C328)))</formula>
    </cfRule>
  </conditionalFormatting>
  <conditionalFormatting sqref="C325:D325">
    <cfRule type="beginsWith" dxfId="1316" priority="205" stopIfTrue="1" operator="beginsWith" text="Functioning At Risk">
      <formula>LEFT(C325,LEN("Functioning At Risk"))="Functioning At Risk"</formula>
    </cfRule>
    <cfRule type="beginsWith" dxfId="1315" priority="206" stopIfTrue="1" operator="beginsWith" text="Not Functioning">
      <formula>LEFT(C325,LEN("Not Functioning"))="Not Functioning"</formula>
    </cfRule>
    <cfRule type="containsText" dxfId="1314" priority="207" operator="containsText" text="Functioning">
      <formula>NOT(ISERROR(SEARCH("Functioning",C325)))</formula>
    </cfRule>
  </conditionalFormatting>
  <conditionalFormatting sqref="C329">
    <cfRule type="beginsWith" dxfId="1313" priority="193" stopIfTrue="1" operator="beginsWith" text="Functioning At Risk">
      <formula>LEFT(C329,LEN("Functioning At Risk"))="Functioning At Risk"</formula>
    </cfRule>
    <cfRule type="beginsWith" dxfId="1312" priority="194" stopIfTrue="1" operator="beginsWith" text="Not Functioning">
      <formula>LEFT(C329,LEN("Not Functioning"))="Not Functioning"</formula>
    </cfRule>
    <cfRule type="containsText" dxfId="1311" priority="195" operator="containsText" text="Functioning">
      <formula>NOT(ISERROR(SEARCH("Functioning",C329)))</formula>
    </cfRule>
  </conditionalFormatting>
  <conditionalFormatting sqref="D335:D336">
    <cfRule type="beginsWith" dxfId="1310" priority="190" stopIfTrue="1" operator="beginsWith" text="Functioning At Risk">
      <formula>LEFT(D335,LEN("Functioning At Risk"))="Functioning At Risk"</formula>
    </cfRule>
    <cfRule type="beginsWith" dxfId="1309" priority="191" stopIfTrue="1" operator="beginsWith" text="Not Functioning">
      <formula>LEFT(D335,LEN("Not Functioning"))="Not Functioning"</formula>
    </cfRule>
    <cfRule type="containsText" dxfId="1308" priority="192" operator="containsText" text="Functioning">
      <formula>NOT(ISERROR(SEARCH("Functioning",D335)))</formula>
    </cfRule>
  </conditionalFormatting>
  <conditionalFormatting sqref="H334">
    <cfRule type="beginsWith" dxfId="1307" priority="187" stopIfTrue="1" operator="beginsWith" text="Functioning At Risk">
      <formula>LEFT(H334,LEN("Functioning At Risk"))="Functioning At Risk"</formula>
    </cfRule>
    <cfRule type="beginsWith" dxfId="1306" priority="188" stopIfTrue="1" operator="beginsWith" text="Not Functioning">
      <formula>LEFT(H334,LEN("Not Functioning"))="Not Functioning"</formula>
    </cfRule>
    <cfRule type="containsText" dxfId="1305" priority="189" operator="containsText" text="Functioning">
      <formula>NOT(ISERROR(SEARCH("Functioning",H334)))</formula>
    </cfRule>
  </conditionalFormatting>
  <conditionalFormatting sqref="A334">
    <cfRule type="beginsWith" dxfId="1304" priority="184" stopIfTrue="1" operator="beginsWith" text="Functioning At Risk">
      <formula>LEFT(A334,LEN("Functioning At Risk"))="Functioning At Risk"</formula>
    </cfRule>
    <cfRule type="beginsWith" dxfId="1303" priority="185" stopIfTrue="1" operator="beginsWith" text="Not Functioning">
      <formula>LEFT(A334,LEN("Not Functioning"))="Not Functioning"</formula>
    </cfRule>
    <cfRule type="containsText" dxfId="1302" priority="186" operator="containsText" text="Functioning">
      <formula>NOT(ISERROR(SEARCH("Functioning",A334)))</formula>
    </cfRule>
  </conditionalFormatting>
  <conditionalFormatting sqref="I337:I338 A337:A338">
    <cfRule type="beginsWith" dxfId="1301" priority="181" stopIfTrue="1" operator="beginsWith" text="Functioning At Risk">
      <formula>LEFT(A337,LEN("Functioning At Risk"))="Functioning At Risk"</formula>
    </cfRule>
    <cfRule type="beginsWith" dxfId="1300" priority="182" stopIfTrue="1" operator="beginsWith" text="Not Functioning">
      <formula>LEFT(A337,LEN("Not Functioning"))="Not Functioning"</formula>
    </cfRule>
    <cfRule type="containsText" dxfId="1299" priority="183" operator="containsText" text="Functioning">
      <formula>NOT(ISERROR(SEARCH("Functioning",A337)))</formula>
    </cfRule>
  </conditionalFormatting>
  <conditionalFormatting sqref="D337">
    <cfRule type="beginsWith" dxfId="1298" priority="178" stopIfTrue="1" operator="beginsWith" text="Functioning At Risk">
      <formula>LEFT(D337,LEN("Functioning At Risk"))="Functioning At Risk"</formula>
    </cfRule>
    <cfRule type="beginsWith" dxfId="1297" priority="179" stopIfTrue="1" operator="beginsWith" text="Not Functioning">
      <formula>LEFT(D337,LEN("Not Functioning"))="Not Functioning"</formula>
    </cfRule>
    <cfRule type="containsText" dxfId="1296" priority="180" operator="containsText" text="Functioning">
      <formula>NOT(ISERROR(SEARCH("Functioning",D337)))</formula>
    </cfRule>
  </conditionalFormatting>
  <conditionalFormatting sqref="D338">
    <cfRule type="beginsWith" dxfId="1295" priority="175" stopIfTrue="1" operator="beginsWith" text="Functioning At Risk">
      <formula>LEFT(D338,LEN("Functioning At Risk"))="Functioning At Risk"</formula>
    </cfRule>
    <cfRule type="beginsWith" dxfId="1294" priority="176" stopIfTrue="1" operator="beginsWith" text="Not Functioning">
      <formula>LEFT(D338,LEN("Not Functioning"))="Not Functioning"</formula>
    </cfRule>
    <cfRule type="containsText" dxfId="1293" priority="177" operator="containsText" text="Functioning">
      <formula>NOT(ISERROR(SEARCH("Functioning",D338)))</formula>
    </cfRule>
  </conditionalFormatting>
  <conditionalFormatting sqref="B338">
    <cfRule type="beginsWith" dxfId="1292" priority="172" stopIfTrue="1" operator="beginsWith" text="Functioning At Risk">
      <formula>LEFT(B338,LEN("Functioning At Risk"))="Functioning At Risk"</formula>
    </cfRule>
    <cfRule type="beginsWith" dxfId="1291" priority="173" stopIfTrue="1" operator="beginsWith" text="Not Functioning">
      <formula>LEFT(B338,LEN("Not Functioning"))="Not Functioning"</formula>
    </cfRule>
    <cfRule type="containsText" dxfId="1290" priority="174" operator="containsText" text="Functioning">
      <formula>NOT(ISERROR(SEARCH("Functioning",B338)))</formula>
    </cfRule>
  </conditionalFormatting>
  <conditionalFormatting sqref="B337">
    <cfRule type="beginsWith" dxfId="1289" priority="169" stopIfTrue="1" operator="beginsWith" text="Functioning At Risk">
      <formula>LEFT(B337,LEN("Functioning At Risk"))="Functioning At Risk"</formula>
    </cfRule>
    <cfRule type="beginsWith" dxfId="1288" priority="170" stopIfTrue="1" operator="beginsWith" text="Not Functioning">
      <formula>LEFT(B337,LEN("Not Functioning"))="Not Functioning"</formula>
    </cfRule>
    <cfRule type="containsText" dxfId="1287" priority="171" operator="containsText" text="Functioning">
      <formula>NOT(ISERROR(SEARCH("Functioning",B337)))</formula>
    </cfRule>
  </conditionalFormatting>
  <conditionalFormatting sqref="J315:J317">
    <cfRule type="beginsWith" dxfId="1286" priority="238" stopIfTrue="1" operator="beginsWith" text="Functioning At Risk">
      <formula>LEFT(J315,LEN("Functioning At Risk"))="Functioning At Risk"</formula>
    </cfRule>
    <cfRule type="beginsWith" dxfId="1285" priority="239" stopIfTrue="1" operator="beginsWith" text="Not Functioning">
      <formula>LEFT(J315,LEN("Not Functioning"))="Not Functioning"</formula>
    </cfRule>
    <cfRule type="containsText" dxfId="1284" priority="240" operator="containsText" text="Functioning">
      <formula>NOT(ISERROR(SEARCH("Functioning",J315)))</formula>
    </cfRule>
  </conditionalFormatting>
  <conditionalFormatting sqref="I334">
    <cfRule type="beginsWith" dxfId="1283" priority="235" stopIfTrue="1" operator="beginsWith" text="Functioning At Risk">
      <formula>LEFT(I334,LEN("Functioning At Risk"))="Functioning At Risk"</formula>
    </cfRule>
    <cfRule type="beginsWith" dxfId="1282" priority="236" stopIfTrue="1" operator="beginsWith" text="Not Functioning">
      <formula>LEFT(I334,LEN("Not Functioning"))="Not Functioning"</formula>
    </cfRule>
    <cfRule type="containsText" dxfId="1281" priority="237" operator="containsText" text="Functioning">
      <formula>NOT(ISERROR(SEARCH("Functioning",I334)))</formula>
    </cfRule>
  </conditionalFormatting>
  <conditionalFormatting sqref="H315:H316">
    <cfRule type="beginsWith" dxfId="1280" priority="232" stopIfTrue="1" operator="beginsWith" text="Functioning At Risk">
      <formula>LEFT(H315,LEN("Functioning At Risk"))="Functioning At Risk"</formula>
    </cfRule>
    <cfRule type="beginsWith" dxfId="1279" priority="233" stopIfTrue="1" operator="beginsWith" text="Not Functioning">
      <formula>LEFT(H315,LEN("Not Functioning"))="Not Functioning"</formula>
    </cfRule>
    <cfRule type="containsText" dxfId="1278" priority="234" operator="containsText" text="Functioning">
      <formula>NOT(ISERROR(SEARCH("Functioning",H315)))</formula>
    </cfRule>
  </conditionalFormatting>
  <conditionalFormatting sqref="I315:I317">
    <cfRule type="beginsWith" dxfId="1277" priority="229" stopIfTrue="1" operator="beginsWith" text="Functioning At Risk">
      <formula>LEFT(I315,LEN("Functioning At Risk"))="Functioning At Risk"</formula>
    </cfRule>
    <cfRule type="beginsWith" dxfId="1276" priority="230" stopIfTrue="1" operator="beginsWith" text="Not Functioning">
      <formula>LEFT(I315,LEN("Not Functioning"))="Not Functioning"</formula>
    </cfRule>
    <cfRule type="containsText" dxfId="1275" priority="231" operator="containsText" text="Functioning">
      <formula>NOT(ISERROR(SEARCH("Functioning",I315)))</formula>
    </cfRule>
  </conditionalFormatting>
  <conditionalFormatting sqref="A318:D318 C319:D319">
    <cfRule type="beginsWith" dxfId="1274" priority="226" stopIfTrue="1" operator="beginsWith" text="Functioning At Risk">
      <formula>LEFT(A318,LEN("Functioning At Risk"))="Functioning At Risk"</formula>
    </cfRule>
    <cfRule type="beginsWith" dxfId="1273" priority="227" stopIfTrue="1" operator="beginsWith" text="Not Functioning">
      <formula>LEFT(A318,LEN("Not Functioning"))="Not Functioning"</formula>
    </cfRule>
    <cfRule type="containsText" dxfId="1272" priority="228" operator="containsText" text="Functioning">
      <formula>NOT(ISERROR(SEARCH("Functioning",A318)))</formula>
    </cfRule>
  </conditionalFormatting>
  <conditionalFormatting sqref="H318:I318">
    <cfRule type="beginsWith" dxfId="1271" priority="223" stopIfTrue="1" operator="beginsWith" text="Functioning At Risk">
      <formula>LEFT(H318,LEN("Functioning At Risk"))="Functioning At Risk"</formula>
    </cfRule>
    <cfRule type="beginsWith" dxfId="1270" priority="224" stopIfTrue="1" operator="beginsWith" text="Not Functioning">
      <formula>LEFT(H318,LEN("Not Functioning"))="Not Functioning"</formula>
    </cfRule>
    <cfRule type="containsText" dxfId="1269" priority="225" operator="containsText" text="Functioning">
      <formula>NOT(ISERROR(SEARCH("Functioning",H318)))</formula>
    </cfRule>
  </conditionalFormatting>
  <conditionalFormatting sqref="G4">
    <cfRule type="beginsWith" dxfId="1268" priority="166" stopIfTrue="1" operator="beginsWith" text="Functioning At Risk">
      <formula>LEFT(G4,LEN("Functioning At Risk"))="Functioning At Risk"</formula>
    </cfRule>
    <cfRule type="beginsWith" dxfId="1267" priority="167" stopIfTrue="1" operator="beginsWith" text="Not Functioning">
      <formula>LEFT(G4,LEN("Not Functioning"))="Not Functioning"</formula>
    </cfRule>
    <cfRule type="containsText" dxfId="1266" priority="168" operator="containsText" text="Functioning">
      <formula>NOT(ISERROR(SEARCH("Functioning",G4)))</formula>
    </cfRule>
  </conditionalFormatting>
  <conditionalFormatting sqref="G4">
    <cfRule type="beginsWith" dxfId="1265" priority="163" stopIfTrue="1" operator="beginsWith" text="Functioning At Risk">
      <formula>LEFT(G4,LEN("Functioning At Risk"))="Functioning At Risk"</formula>
    </cfRule>
    <cfRule type="beginsWith" dxfId="1264" priority="164" stopIfTrue="1" operator="beginsWith" text="Not Functioning">
      <formula>LEFT(G4,LEN("Not Functioning"))="Not Functioning"</formula>
    </cfRule>
    <cfRule type="containsText" dxfId="1263" priority="165" operator="containsText" text="Functioning">
      <formula>NOT(ISERROR(SEARCH("Functioning",G4)))</formula>
    </cfRule>
  </conditionalFormatting>
  <conditionalFormatting sqref="G38">
    <cfRule type="beginsWith" dxfId="1262" priority="160" stopIfTrue="1" operator="beginsWith" text="Functioning At Risk">
      <formula>LEFT(G38,LEN("Functioning At Risk"))="Functioning At Risk"</formula>
    </cfRule>
    <cfRule type="beginsWith" dxfId="1261" priority="161" stopIfTrue="1" operator="beginsWith" text="Not Functioning">
      <formula>LEFT(G38,LEN("Not Functioning"))="Not Functioning"</formula>
    </cfRule>
    <cfRule type="containsText" dxfId="1260" priority="162" operator="containsText" text="Functioning">
      <formula>NOT(ISERROR(SEARCH("Functioning",G38)))</formula>
    </cfRule>
  </conditionalFormatting>
  <conditionalFormatting sqref="G38">
    <cfRule type="beginsWith" dxfId="1259" priority="157" stopIfTrue="1" operator="beginsWith" text="Functioning At Risk">
      <formula>LEFT(G38,LEN("Functioning At Risk"))="Functioning At Risk"</formula>
    </cfRule>
    <cfRule type="beginsWith" dxfId="1258" priority="158" stopIfTrue="1" operator="beginsWith" text="Not Functioning">
      <formula>LEFT(G38,LEN("Not Functioning"))="Not Functioning"</formula>
    </cfRule>
    <cfRule type="containsText" dxfId="1257" priority="159" operator="containsText" text="Functioning">
      <formula>NOT(ISERROR(SEARCH("Functioning",G38)))</formula>
    </cfRule>
  </conditionalFormatting>
  <conditionalFormatting sqref="G72">
    <cfRule type="beginsWith" dxfId="1256" priority="154" stopIfTrue="1" operator="beginsWith" text="Functioning At Risk">
      <formula>LEFT(G72,LEN("Functioning At Risk"))="Functioning At Risk"</formula>
    </cfRule>
    <cfRule type="beginsWith" dxfId="1255" priority="155" stopIfTrue="1" operator="beginsWith" text="Not Functioning">
      <formula>LEFT(G72,LEN("Not Functioning"))="Not Functioning"</formula>
    </cfRule>
    <cfRule type="containsText" dxfId="1254" priority="156" operator="containsText" text="Functioning">
      <formula>NOT(ISERROR(SEARCH("Functioning",G72)))</formula>
    </cfRule>
  </conditionalFormatting>
  <conditionalFormatting sqref="G72">
    <cfRule type="beginsWith" dxfId="1253" priority="151" stopIfTrue="1" operator="beginsWith" text="Functioning At Risk">
      <formula>LEFT(G72,LEN("Functioning At Risk"))="Functioning At Risk"</formula>
    </cfRule>
    <cfRule type="beginsWith" dxfId="1252" priority="152" stopIfTrue="1" operator="beginsWith" text="Not Functioning">
      <formula>LEFT(G72,LEN("Not Functioning"))="Not Functioning"</formula>
    </cfRule>
    <cfRule type="containsText" dxfId="1251" priority="153" operator="containsText" text="Functioning">
      <formula>NOT(ISERROR(SEARCH("Functioning",G72)))</formula>
    </cfRule>
  </conditionalFormatting>
  <conditionalFormatting sqref="G106">
    <cfRule type="beginsWith" dxfId="1250" priority="148" stopIfTrue="1" operator="beginsWith" text="Functioning At Risk">
      <formula>LEFT(G106,LEN("Functioning At Risk"))="Functioning At Risk"</formula>
    </cfRule>
    <cfRule type="beginsWith" dxfId="1249" priority="149" stopIfTrue="1" operator="beginsWith" text="Not Functioning">
      <formula>LEFT(G106,LEN("Not Functioning"))="Not Functioning"</formula>
    </cfRule>
    <cfRule type="containsText" dxfId="1248" priority="150" operator="containsText" text="Functioning">
      <formula>NOT(ISERROR(SEARCH("Functioning",G106)))</formula>
    </cfRule>
  </conditionalFormatting>
  <conditionalFormatting sqref="G106">
    <cfRule type="beginsWith" dxfId="1247" priority="145" stopIfTrue="1" operator="beginsWith" text="Functioning At Risk">
      <formula>LEFT(G106,LEN("Functioning At Risk"))="Functioning At Risk"</formula>
    </cfRule>
    <cfRule type="beginsWith" dxfId="1246" priority="146" stopIfTrue="1" operator="beginsWith" text="Not Functioning">
      <formula>LEFT(G106,LEN("Not Functioning"))="Not Functioning"</formula>
    </cfRule>
    <cfRule type="containsText" dxfId="1245" priority="147" operator="containsText" text="Functioning">
      <formula>NOT(ISERROR(SEARCH("Functioning",G106)))</formula>
    </cfRule>
  </conditionalFormatting>
  <conditionalFormatting sqref="G140">
    <cfRule type="beginsWith" dxfId="1244" priority="142" stopIfTrue="1" operator="beginsWith" text="Functioning At Risk">
      <formula>LEFT(G140,LEN("Functioning At Risk"))="Functioning At Risk"</formula>
    </cfRule>
    <cfRule type="beginsWith" dxfId="1243" priority="143" stopIfTrue="1" operator="beginsWith" text="Not Functioning">
      <formula>LEFT(G140,LEN("Not Functioning"))="Not Functioning"</formula>
    </cfRule>
    <cfRule type="containsText" dxfId="1242" priority="144" operator="containsText" text="Functioning">
      <formula>NOT(ISERROR(SEARCH("Functioning",G140)))</formula>
    </cfRule>
  </conditionalFormatting>
  <conditionalFormatting sqref="G140">
    <cfRule type="beginsWith" dxfId="1241" priority="139" stopIfTrue="1" operator="beginsWith" text="Functioning At Risk">
      <formula>LEFT(G140,LEN("Functioning At Risk"))="Functioning At Risk"</formula>
    </cfRule>
    <cfRule type="beginsWith" dxfId="1240" priority="140" stopIfTrue="1" operator="beginsWith" text="Not Functioning">
      <formula>LEFT(G140,LEN("Not Functioning"))="Not Functioning"</formula>
    </cfRule>
    <cfRule type="containsText" dxfId="1239" priority="141" operator="containsText" text="Functioning">
      <formula>NOT(ISERROR(SEARCH("Functioning",G140)))</formula>
    </cfRule>
  </conditionalFormatting>
  <conditionalFormatting sqref="G174">
    <cfRule type="beginsWith" dxfId="1238" priority="136" stopIfTrue="1" operator="beginsWith" text="Functioning At Risk">
      <formula>LEFT(G174,LEN("Functioning At Risk"))="Functioning At Risk"</formula>
    </cfRule>
    <cfRule type="beginsWith" dxfId="1237" priority="137" stopIfTrue="1" operator="beginsWith" text="Not Functioning">
      <formula>LEFT(G174,LEN("Not Functioning"))="Not Functioning"</formula>
    </cfRule>
    <cfRule type="containsText" dxfId="1236" priority="138" operator="containsText" text="Functioning">
      <formula>NOT(ISERROR(SEARCH("Functioning",G174)))</formula>
    </cfRule>
  </conditionalFormatting>
  <conditionalFormatting sqref="G174">
    <cfRule type="beginsWith" dxfId="1235" priority="133" stopIfTrue="1" operator="beginsWith" text="Functioning At Risk">
      <formula>LEFT(G174,LEN("Functioning At Risk"))="Functioning At Risk"</formula>
    </cfRule>
    <cfRule type="beginsWith" dxfId="1234" priority="134" stopIfTrue="1" operator="beginsWith" text="Not Functioning">
      <formula>LEFT(G174,LEN("Not Functioning"))="Not Functioning"</formula>
    </cfRule>
    <cfRule type="containsText" dxfId="1233" priority="135" operator="containsText" text="Functioning">
      <formula>NOT(ISERROR(SEARCH("Functioning",G174)))</formula>
    </cfRule>
  </conditionalFormatting>
  <conditionalFormatting sqref="G208">
    <cfRule type="beginsWith" dxfId="1232" priority="130" stopIfTrue="1" operator="beginsWith" text="Functioning At Risk">
      <formula>LEFT(G208,LEN("Functioning At Risk"))="Functioning At Risk"</formula>
    </cfRule>
    <cfRule type="beginsWith" dxfId="1231" priority="131" stopIfTrue="1" operator="beginsWith" text="Not Functioning">
      <formula>LEFT(G208,LEN("Not Functioning"))="Not Functioning"</formula>
    </cfRule>
    <cfRule type="containsText" dxfId="1230" priority="132" operator="containsText" text="Functioning">
      <formula>NOT(ISERROR(SEARCH("Functioning",G208)))</formula>
    </cfRule>
  </conditionalFormatting>
  <conditionalFormatting sqref="G208">
    <cfRule type="beginsWith" dxfId="1229" priority="127" stopIfTrue="1" operator="beginsWith" text="Functioning At Risk">
      <formula>LEFT(G208,LEN("Functioning At Risk"))="Functioning At Risk"</formula>
    </cfRule>
    <cfRule type="beginsWith" dxfId="1228" priority="128" stopIfTrue="1" operator="beginsWith" text="Not Functioning">
      <formula>LEFT(G208,LEN("Not Functioning"))="Not Functioning"</formula>
    </cfRule>
    <cfRule type="containsText" dxfId="1227" priority="129" operator="containsText" text="Functioning">
      <formula>NOT(ISERROR(SEARCH("Functioning",G208)))</formula>
    </cfRule>
  </conditionalFormatting>
  <conditionalFormatting sqref="G242">
    <cfRule type="beginsWith" dxfId="1226" priority="124" stopIfTrue="1" operator="beginsWith" text="Functioning At Risk">
      <formula>LEFT(G242,LEN("Functioning At Risk"))="Functioning At Risk"</formula>
    </cfRule>
    <cfRule type="beginsWith" dxfId="1225" priority="125" stopIfTrue="1" operator="beginsWith" text="Not Functioning">
      <formula>LEFT(G242,LEN("Not Functioning"))="Not Functioning"</formula>
    </cfRule>
    <cfRule type="containsText" dxfId="1224" priority="126" operator="containsText" text="Functioning">
      <formula>NOT(ISERROR(SEARCH("Functioning",G242)))</formula>
    </cfRule>
  </conditionalFormatting>
  <conditionalFormatting sqref="G242">
    <cfRule type="beginsWith" dxfId="1223" priority="121" stopIfTrue="1" operator="beginsWith" text="Functioning At Risk">
      <formula>LEFT(G242,LEN("Functioning At Risk"))="Functioning At Risk"</formula>
    </cfRule>
    <cfRule type="beginsWith" dxfId="1222" priority="122" stopIfTrue="1" operator="beginsWith" text="Not Functioning">
      <formula>LEFT(G242,LEN("Not Functioning"))="Not Functioning"</formula>
    </cfRule>
    <cfRule type="containsText" dxfId="1221" priority="123" operator="containsText" text="Functioning">
      <formula>NOT(ISERROR(SEARCH("Functioning",G242)))</formula>
    </cfRule>
  </conditionalFormatting>
  <conditionalFormatting sqref="G276">
    <cfRule type="beginsWith" dxfId="1220" priority="118" stopIfTrue="1" operator="beginsWith" text="Functioning At Risk">
      <formula>LEFT(G276,LEN("Functioning At Risk"))="Functioning At Risk"</formula>
    </cfRule>
    <cfRule type="beginsWith" dxfId="1219" priority="119" stopIfTrue="1" operator="beginsWith" text="Not Functioning">
      <formula>LEFT(G276,LEN("Not Functioning"))="Not Functioning"</formula>
    </cfRule>
    <cfRule type="containsText" dxfId="1218" priority="120" operator="containsText" text="Functioning">
      <formula>NOT(ISERROR(SEARCH("Functioning",G276)))</formula>
    </cfRule>
  </conditionalFormatting>
  <conditionalFormatting sqref="G276">
    <cfRule type="beginsWith" dxfId="1217" priority="115" stopIfTrue="1" operator="beginsWith" text="Functioning At Risk">
      <formula>LEFT(G276,LEN("Functioning At Risk"))="Functioning At Risk"</formula>
    </cfRule>
    <cfRule type="beginsWith" dxfId="1216" priority="116" stopIfTrue="1" operator="beginsWith" text="Not Functioning">
      <formula>LEFT(G276,LEN("Not Functioning"))="Not Functioning"</formula>
    </cfRule>
    <cfRule type="containsText" dxfId="1215" priority="117" operator="containsText" text="Functioning">
      <formula>NOT(ISERROR(SEARCH("Functioning",G276)))</formula>
    </cfRule>
  </conditionalFormatting>
  <conditionalFormatting sqref="G310">
    <cfRule type="beginsWith" dxfId="1214" priority="112" stopIfTrue="1" operator="beginsWith" text="Functioning At Risk">
      <formula>LEFT(G310,LEN("Functioning At Risk"))="Functioning At Risk"</formula>
    </cfRule>
    <cfRule type="beginsWith" dxfId="1213" priority="113" stopIfTrue="1" operator="beginsWith" text="Not Functioning">
      <formula>LEFT(G310,LEN("Not Functioning"))="Not Functioning"</formula>
    </cfRule>
    <cfRule type="containsText" dxfId="1212" priority="114" operator="containsText" text="Functioning">
      <formula>NOT(ISERROR(SEARCH("Functioning",G310)))</formula>
    </cfRule>
  </conditionalFormatting>
  <conditionalFormatting sqref="G310">
    <cfRule type="beginsWith" dxfId="1211" priority="109" stopIfTrue="1" operator="beginsWith" text="Functioning At Risk">
      <formula>LEFT(G310,LEN("Functioning At Risk"))="Functioning At Risk"</formula>
    </cfRule>
    <cfRule type="beginsWith" dxfId="1210" priority="110" stopIfTrue="1" operator="beginsWith" text="Not Functioning">
      <formula>LEFT(G310,LEN("Not Functioning"))="Not Functioning"</formula>
    </cfRule>
    <cfRule type="containsText" dxfId="1209" priority="111" operator="containsText" text="Functioning">
      <formula>NOT(ISERROR(SEARCH("Functioning",G310)))</formula>
    </cfRule>
  </conditionalFormatting>
  <conditionalFormatting sqref="F50 F46:F47">
    <cfRule type="beginsWith" dxfId="1208" priority="106" stopIfTrue="1" operator="beginsWith" text="Functioning At Risk">
      <formula>LEFT(F46,LEN("Functioning At Risk"))="Functioning At Risk"</formula>
    </cfRule>
    <cfRule type="beginsWith" dxfId="1207" priority="107" stopIfTrue="1" operator="beginsWith" text="Not Functioning">
      <formula>LEFT(F46,LEN("Not Functioning"))="Not Functioning"</formula>
    </cfRule>
    <cfRule type="containsText" dxfId="1206" priority="108" operator="containsText" text="Functioning">
      <formula>NOT(ISERROR(SEARCH("Functioning",F46)))</formula>
    </cfRule>
  </conditionalFormatting>
  <conditionalFormatting sqref="F84 F80:F81">
    <cfRule type="beginsWith" dxfId="1205" priority="100" stopIfTrue="1" operator="beginsWith" text="Functioning At Risk">
      <formula>LEFT(F80,LEN("Functioning At Risk"))="Functioning At Risk"</formula>
    </cfRule>
    <cfRule type="beginsWith" dxfId="1204" priority="101" stopIfTrue="1" operator="beginsWith" text="Not Functioning">
      <formula>LEFT(F80,LEN("Not Functioning"))="Not Functioning"</formula>
    </cfRule>
    <cfRule type="containsText" dxfId="1203" priority="102" operator="containsText" text="Functioning">
      <formula>NOT(ISERROR(SEARCH("Functioning",F80)))</formula>
    </cfRule>
  </conditionalFormatting>
  <conditionalFormatting sqref="F118 F114:F115">
    <cfRule type="beginsWith" dxfId="1202" priority="94" stopIfTrue="1" operator="beginsWith" text="Functioning At Risk">
      <formula>LEFT(F114,LEN("Functioning At Risk"))="Functioning At Risk"</formula>
    </cfRule>
    <cfRule type="beginsWith" dxfId="1201" priority="95" stopIfTrue="1" operator="beginsWith" text="Not Functioning">
      <formula>LEFT(F114,LEN("Not Functioning"))="Not Functioning"</formula>
    </cfRule>
    <cfRule type="containsText" dxfId="1200" priority="96" operator="containsText" text="Functioning">
      <formula>NOT(ISERROR(SEARCH("Functioning",F114)))</formula>
    </cfRule>
  </conditionalFormatting>
  <conditionalFormatting sqref="F152 F148:F149">
    <cfRule type="beginsWith" dxfId="1199" priority="88" stopIfTrue="1" operator="beginsWith" text="Functioning At Risk">
      <formula>LEFT(F148,LEN("Functioning At Risk"))="Functioning At Risk"</formula>
    </cfRule>
    <cfRule type="beginsWith" dxfId="1198" priority="89" stopIfTrue="1" operator="beginsWith" text="Not Functioning">
      <formula>LEFT(F148,LEN("Not Functioning"))="Not Functioning"</formula>
    </cfRule>
    <cfRule type="containsText" dxfId="1197" priority="90" operator="containsText" text="Functioning">
      <formula>NOT(ISERROR(SEARCH("Functioning",F148)))</formula>
    </cfRule>
  </conditionalFormatting>
  <conditionalFormatting sqref="F186 F182:F183">
    <cfRule type="beginsWith" dxfId="1196" priority="82" stopIfTrue="1" operator="beginsWith" text="Functioning At Risk">
      <formula>LEFT(F182,LEN("Functioning At Risk"))="Functioning At Risk"</formula>
    </cfRule>
    <cfRule type="beginsWith" dxfId="1195" priority="83" stopIfTrue="1" operator="beginsWith" text="Not Functioning">
      <formula>LEFT(F182,LEN("Not Functioning"))="Not Functioning"</formula>
    </cfRule>
    <cfRule type="containsText" dxfId="1194" priority="84" operator="containsText" text="Functioning">
      <formula>NOT(ISERROR(SEARCH("Functioning",F182)))</formula>
    </cfRule>
  </conditionalFormatting>
  <conditionalFormatting sqref="F220 F216:F217">
    <cfRule type="beginsWith" dxfId="1193" priority="76" stopIfTrue="1" operator="beginsWith" text="Functioning At Risk">
      <formula>LEFT(F216,LEN("Functioning At Risk"))="Functioning At Risk"</formula>
    </cfRule>
    <cfRule type="beginsWith" dxfId="1192" priority="77" stopIfTrue="1" operator="beginsWith" text="Not Functioning">
      <formula>LEFT(F216,LEN("Not Functioning"))="Not Functioning"</formula>
    </cfRule>
    <cfRule type="containsText" dxfId="1191" priority="78" operator="containsText" text="Functioning">
      <formula>NOT(ISERROR(SEARCH("Functioning",F216)))</formula>
    </cfRule>
  </conditionalFormatting>
  <conditionalFormatting sqref="F254 F250:F251">
    <cfRule type="beginsWith" dxfId="1190" priority="70" stopIfTrue="1" operator="beginsWith" text="Functioning At Risk">
      <formula>LEFT(F250,LEN("Functioning At Risk"))="Functioning At Risk"</formula>
    </cfRule>
    <cfRule type="beginsWith" dxfId="1189" priority="71" stopIfTrue="1" operator="beginsWith" text="Not Functioning">
      <formula>LEFT(F250,LEN("Not Functioning"))="Not Functioning"</formula>
    </cfRule>
    <cfRule type="containsText" dxfId="1188" priority="72" operator="containsText" text="Functioning">
      <formula>NOT(ISERROR(SEARCH("Functioning",F250)))</formula>
    </cfRule>
  </conditionalFormatting>
  <conditionalFormatting sqref="F288 F284:F285">
    <cfRule type="beginsWith" dxfId="1187" priority="64" stopIfTrue="1" operator="beginsWith" text="Functioning At Risk">
      <formula>LEFT(F284,LEN("Functioning At Risk"))="Functioning At Risk"</formula>
    </cfRule>
    <cfRule type="beginsWith" dxfId="1186" priority="65" stopIfTrue="1" operator="beginsWith" text="Not Functioning">
      <formula>LEFT(F284,LEN("Not Functioning"))="Not Functioning"</formula>
    </cfRule>
    <cfRule type="containsText" dxfId="1185" priority="66" operator="containsText" text="Functioning">
      <formula>NOT(ISERROR(SEARCH("Functioning",F284)))</formula>
    </cfRule>
  </conditionalFormatting>
  <conditionalFormatting sqref="F322 F318:F319">
    <cfRule type="beginsWith" dxfId="1184" priority="58" stopIfTrue="1" operator="beginsWith" text="Functioning At Risk">
      <formula>LEFT(F318,LEN("Functioning At Risk"))="Functioning At Risk"</formula>
    </cfRule>
    <cfRule type="beginsWith" dxfId="1183" priority="59" stopIfTrue="1" operator="beginsWith" text="Not Functioning">
      <formula>LEFT(F318,LEN("Not Functioning"))="Not Functioning"</formula>
    </cfRule>
    <cfRule type="containsText" dxfId="1182" priority="60" operator="containsText" text="Functioning">
      <formula>NOT(ISERROR(SEARCH("Functioning",F318)))</formula>
    </cfRule>
  </conditionalFormatting>
  <conditionalFormatting sqref="A35">
    <cfRule type="beginsWith" dxfId="1181" priority="52" stopIfTrue="1" operator="beginsWith" text="Functioning At Risk">
      <formula>LEFT(A35,LEN("Functioning At Risk"))="Functioning At Risk"</formula>
    </cfRule>
    <cfRule type="beginsWith" dxfId="1180" priority="53" stopIfTrue="1" operator="beginsWith" text="Not Functioning">
      <formula>LEFT(A35,LEN("Not Functioning"))="Not Functioning"</formula>
    </cfRule>
    <cfRule type="containsText" dxfId="1179" priority="54" operator="containsText" text="Functioning">
      <formula>NOT(ISERROR(SEARCH("Functioning",A35)))</formula>
    </cfRule>
  </conditionalFormatting>
  <conditionalFormatting sqref="A69">
    <cfRule type="beginsWith" dxfId="1178" priority="49" stopIfTrue="1" operator="beginsWith" text="Functioning At Risk">
      <formula>LEFT(A69,LEN("Functioning At Risk"))="Functioning At Risk"</formula>
    </cfRule>
    <cfRule type="beginsWith" dxfId="1177" priority="50" stopIfTrue="1" operator="beginsWith" text="Not Functioning">
      <formula>LEFT(A69,LEN("Not Functioning"))="Not Functioning"</formula>
    </cfRule>
    <cfRule type="containsText" dxfId="1176" priority="51" operator="containsText" text="Functioning">
      <formula>NOT(ISERROR(SEARCH("Functioning",A69)))</formula>
    </cfRule>
  </conditionalFormatting>
  <conditionalFormatting sqref="A103">
    <cfRule type="beginsWith" dxfId="1175" priority="46" stopIfTrue="1" operator="beginsWith" text="Functioning At Risk">
      <formula>LEFT(A103,LEN("Functioning At Risk"))="Functioning At Risk"</formula>
    </cfRule>
    <cfRule type="beginsWith" dxfId="1174" priority="47" stopIfTrue="1" operator="beginsWith" text="Not Functioning">
      <formula>LEFT(A103,LEN("Not Functioning"))="Not Functioning"</formula>
    </cfRule>
    <cfRule type="containsText" dxfId="1173" priority="48" operator="containsText" text="Functioning">
      <formula>NOT(ISERROR(SEARCH("Functioning",A103)))</formula>
    </cfRule>
  </conditionalFormatting>
  <conditionalFormatting sqref="A137">
    <cfRule type="beginsWith" dxfId="1172" priority="43" stopIfTrue="1" operator="beginsWith" text="Functioning At Risk">
      <formula>LEFT(A137,LEN("Functioning At Risk"))="Functioning At Risk"</formula>
    </cfRule>
    <cfRule type="beginsWith" dxfId="1171" priority="44" stopIfTrue="1" operator="beginsWith" text="Not Functioning">
      <formula>LEFT(A137,LEN("Not Functioning"))="Not Functioning"</formula>
    </cfRule>
    <cfRule type="containsText" dxfId="1170" priority="45" operator="containsText" text="Functioning">
      <formula>NOT(ISERROR(SEARCH("Functioning",A137)))</formula>
    </cfRule>
  </conditionalFormatting>
  <conditionalFormatting sqref="A171">
    <cfRule type="beginsWith" dxfId="1169" priority="40" stopIfTrue="1" operator="beginsWith" text="Functioning At Risk">
      <formula>LEFT(A171,LEN("Functioning At Risk"))="Functioning At Risk"</formula>
    </cfRule>
    <cfRule type="beginsWith" dxfId="1168" priority="41" stopIfTrue="1" operator="beginsWith" text="Not Functioning">
      <formula>LEFT(A171,LEN("Not Functioning"))="Not Functioning"</formula>
    </cfRule>
    <cfRule type="containsText" dxfId="1167" priority="42" operator="containsText" text="Functioning">
      <formula>NOT(ISERROR(SEARCH("Functioning",A171)))</formula>
    </cfRule>
  </conditionalFormatting>
  <conditionalFormatting sqref="A205">
    <cfRule type="beginsWith" dxfId="1166" priority="37" stopIfTrue="1" operator="beginsWith" text="Functioning At Risk">
      <formula>LEFT(A205,LEN("Functioning At Risk"))="Functioning At Risk"</formula>
    </cfRule>
    <cfRule type="beginsWith" dxfId="1165" priority="38" stopIfTrue="1" operator="beginsWith" text="Not Functioning">
      <formula>LEFT(A205,LEN("Not Functioning"))="Not Functioning"</formula>
    </cfRule>
    <cfRule type="containsText" dxfId="1164" priority="39" operator="containsText" text="Functioning">
      <formula>NOT(ISERROR(SEARCH("Functioning",A205)))</formula>
    </cfRule>
  </conditionalFormatting>
  <conditionalFormatting sqref="A239">
    <cfRule type="beginsWith" dxfId="1163" priority="34" stopIfTrue="1" operator="beginsWith" text="Functioning At Risk">
      <formula>LEFT(A239,LEN("Functioning At Risk"))="Functioning At Risk"</formula>
    </cfRule>
    <cfRule type="beginsWith" dxfId="1162" priority="35" stopIfTrue="1" operator="beginsWith" text="Not Functioning">
      <formula>LEFT(A239,LEN("Not Functioning"))="Not Functioning"</formula>
    </cfRule>
    <cfRule type="containsText" dxfId="1161" priority="36" operator="containsText" text="Functioning">
      <formula>NOT(ISERROR(SEARCH("Functioning",A239)))</formula>
    </cfRule>
  </conditionalFormatting>
  <conditionalFormatting sqref="A273">
    <cfRule type="beginsWith" dxfId="1160" priority="31" stopIfTrue="1" operator="beginsWith" text="Functioning At Risk">
      <formula>LEFT(A273,LEN("Functioning At Risk"))="Functioning At Risk"</formula>
    </cfRule>
    <cfRule type="beginsWith" dxfId="1159" priority="32" stopIfTrue="1" operator="beginsWith" text="Not Functioning">
      <formula>LEFT(A273,LEN("Not Functioning"))="Not Functioning"</formula>
    </cfRule>
    <cfRule type="containsText" dxfId="1158" priority="33" operator="containsText" text="Functioning">
      <formula>NOT(ISERROR(SEARCH("Functioning",A273)))</formula>
    </cfRule>
  </conditionalFormatting>
  <conditionalFormatting sqref="A307">
    <cfRule type="beginsWith" dxfId="1157" priority="28" stopIfTrue="1" operator="beginsWith" text="Functioning At Risk">
      <formula>LEFT(A307,LEN("Functioning At Risk"))="Functioning At Risk"</formula>
    </cfRule>
    <cfRule type="beginsWith" dxfId="1156" priority="29" stopIfTrue="1" operator="beginsWith" text="Not Functioning">
      <formula>LEFT(A307,LEN("Not Functioning"))="Not Functioning"</formula>
    </cfRule>
    <cfRule type="containsText" dxfId="1155" priority="30" operator="containsText" text="Functioning">
      <formula>NOT(ISERROR(SEARCH("Functioning",A307)))</formula>
    </cfRule>
  </conditionalFormatting>
  <conditionalFormatting sqref="F49">
    <cfRule type="beginsWith" dxfId="1154" priority="25" stopIfTrue="1" operator="beginsWith" text="Functioning At Risk">
      <formula>LEFT(F49,LEN("Functioning At Risk"))="Functioning At Risk"</formula>
    </cfRule>
    <cfRule type="beginsWith" dxfId="1153" priority="26" stopIfTrue="1" operator="beginsWith" text="Not Functioning">
      <formula>LEFT(F49,LEN("Not Functioning"))="Not Functioning"</formula>
    </cfRule>
    <cfRule type="containsText" dxfId="1152" priority="27" operator="containsText" text="Functioning">
      <formula>NOT(ISERROR(SEARCH("Functioning",F49)))</formula>
    </cfRule>
  </conditionalFormatting>
  <conditionalFormatting sqref="F83">
    <cfRule type="beginsWith" dxfId="1151" priority="22" stopIfTrue="1" operator="beginsWith" text="Functioning At Risk">
      <formula>LEFT(F83,LEN("Functioning At Risk"))="Functioning At Risk"</formula>
    </cfRule>
    <cfRule type="beginsWith" dxfId="1150" priority="23" stopIfTrue="1" operator="beginsWith" text="Not Functioning">
      <formula>LEFT(F83,LEN("Not Functioning"))="Not Functioning"</formula>
    </cfRule>
    <cfRule type="containsText" dxfId="1149" priority="24" operator="containsText" text="Functioning">
      <formula>NOT(ISERROR(SEARCH("Functioning",F83)))</formula>
    </cfRule>
  </conditionalFormatting>
  <conditionalFormatting sqref="F117">
    <cfRule type="beginsWith" dxfId="1148" priority="19" stopIfTrue="1" operator="beginsWith" text="Functioning At Risk">
      <formula>LEFT(F117,LEN("Functioning At Risk"))="Functioning At Risk"</formula>
    </cfRule>
    <cfRule type="beginsWith" dxfId="1147" priority="20" stopIfTrue="1" operator="beginsWith" text="Not Functioning">
      <formula>LEFT(F117,LEN("Not Functioning"))="Not Functioning"</formula>
    </cfRule>
    <cfRule type="containsText" dxfId="1146" priority="21" operator="containsText" text="Functioning">
      <formula>NOT(ISERROR(SEARCH("Functioning",F117)))</formula>
    </cfRule>
  </conditionalFormatting>
  <conditionalFormatting sqref="F151">
    <cfRule type="beginsWith" dxfId="1145" priority="16" stopIfTrue="1" operator="beginsWith" text="Functioning At Risk">
      <formula>LEFT(F151,LEN("Functioning At Risk"))="Functioning At Risk"</formula>
    </cfRule>
    <cfRule type="beginsWith" dxfId="1144" priority="17" stopIfTrue="1" operator="beginsWith" text="Not Functioning">
      <formula>LEFT(F151,LEN("Not Functioning"))="Not Functioning"</formula>
    </cfRule>
    <cfRule type="containsText" dxfId="1143" priority="18" operator="containsText" text="Functioning">
      <formula>NOT(ISERROR(SEARCH("Functioning",F151)))</formula>
    </cfRule>
  </conditionalFormatting>
  <conditionalFormatting sqref="F185">
    <cfRule type="beginsWith" dxfId="1142" priority="13" stopIfTrue="1" operator="beginsWith" text="Functioning At Risk">
      <formula>LEFT(F185,LEN("Functioning At Risk"))="Functioning At Risk"</formula>
    </cfRule>
    <cfRule type="beginsWith" dxfId="1141" priority="14" stopIfTrue="1" operator="beginsWith" text="Not Functioning">
      <formula>LEFT(F185,LEN("Not Functioning"))="Not Functioning"</formula>
    </cfRule>
    <cfRule type="containsText" dxfId="1140" priority="15" operator="containsText" text="Functioning">
      <formula>NOT(ISERROR(SEARCH("Functioning",F185)))</formula>
    </cfRule>
  </conditionalFormatting>
  <conditionalFormatting sqref="F219">
    <cfRule type="beginsWith" dxfId="1139" priority="10" stopIfTrue="1" operator="beginsWith" text="Functioning At Risk">
      <formula>LEFT(F219,LEN("Functioning At Risk"))="Functioning At Risk"</formula>
    </cfRule>
    <cfRule type="beginsWith" dxfId="1138" priority="11" stopIfTrue="1" operator="beginsWith" text="Not Functioning">
      <formula>LEFT(F219,LEN("Not Functioning"))="Not Functioning"</formula>
    </cfRule>
    <cfRule type="containsText" dxfId="1137" priority="12" operator="containsText" text="Functioning">
      <formula>NOT(ISERROR(SEARCH("Functioning",F219)))</formula>
    </cfRule>
  </conditionalFormatting>
  <conditionalFormatting sqref="F253">
    <cfRule type="beginsWith" dxfId="1136" priority="7" stopIfTrue="1" operator="beginsWith" text="Functioning At Risk">
      <formula>LEFT(F253,LEN("Functioning At Risk"))="Functioning At Risk"</formula>
    </cfRule>
    <cfRule type="beginsWith" dxfId="1135" priority="8" stopIfTrue="1" operator="beginsWith" text="Not Functioning">
      <formula>LEFT(F253,LEN("Not Functioning"))="Not Functioning"</formula>
    </cfRule>
    <cfRule type="containsText" dxfId="1134" priority="9" operator="containsText" text="Functioning">
      <formula>NOT(ISERROR(SEARCH("Functioning",F253)))</formula>
    </cfRule>
  </conditionalFormatting>
  <conditionalFormatting sqref="F287">
    <cfRule type="beginsWith" dxfId="1133" priority="4" stopIfTrue="1" operator="beginsWith" text="Functioning At Risk">
      <formula>LEFT(F287,LEN("Functioning At Risk"))="Functioning At Risk"</formula>
    </cfRule>
    <cfRule type="beginsWith" dxfId="1132" priority="5" stopIfTrue="1" operator="beginsWith" text="Not Functioning">
      <formula>LEFT(F287,LEN("Not Functioning"))="Not Functioning"</formula>
    </cfRule>
    <cfRule type="containsText" dxfId="1131" priority="6" operator="containsText" text="Functioning">
      <formula>NOT(ISERROR(SEARCH("Functioning",F287)))</formula>
    </cfRule>
  </conditionalFormatting>
  <conditionalFormatting sqref="F321">
    <cfRule type="beginsWith" dxfId="1130" priority="1" stopIfTrue="1" operator="beginsWith" text="Functioning At Risk">
      <formula>LEFT(F321,LEN("Functioning At Risk"))="Functioning At Risk"</formula>
    </cfRule>
    <cfRule type="beginsWith" dxfId="1129" priority="2" stopIfTrue="1" operator="beginsWith" text="Not Functioning">
      <formula>LEFT(F321,LEN("Not Functioning"))="Not Functioning"</formula>
    </cfRule>
    <cfRule type="containsText" dxfId="1128" priority="3" operator="containsText" text="Functioning">
      <formula>NOT(ISERROR(SEARCH("Functioning",F321)))</formula>
    </cfRule>
  </conditionalFormatting>
  <dataValidations xWindow="656" yWindow="505" count="6">
    <dataValidation allowBlank="1" showErrorMessage="1" sqref="E19 E53 E291 E87 E121 E155 E189 E223 E257 E325" xr:uid="{00000000-0002-0000-0200-000000000000}"/>
    <dataValidation allowBlank="1" showErrorMessage="1" prompt="Select catchment conditon level from the completed catchment assessment form. " sqref="E247 E179 E213 E11 E43 E281 E77 E111 E145 E9 E45 E283 E79 E113 E147 E181 E215 E249 E315 E317" xr:uid="{00000000-0002-0000-0200-000004000000}"/>
    <dataValidation type="decimal" allowBlank="1" showInputMessage="1" showErrorMessage="1" sqref="E58:E59 E24:E25 E296:E297 E92:E93 E126:E127 E160:E161 E194:E195 E228:E229 E262:E263 E330:E331" xr:uid="{00000000-0002-0000-0200-000007000000}">
      <formula1>0</formula1>
      <formula2>5280</formula2>
    </dataValidation>
    <dataValidation type="list" allowBlank="1" showErrorMessage="1" sqref="B3:B4 B207:B208 B241:B242 B275:B276 B37:B38 B71:B72 B105:B106 B139:B140 B173:B174 B309:B310" xr:uid="{00000000-0002-0000-0200-00000A000000}">
      <formula1>StreamType</formula1>
    </dataValidation>
    <dataValidation type="decimal" allowBlank="1" showErrorMessage="1" prompt="The user should input a value for either basal area or density, not both. " sqref="E26:E27 E60:E61 E298:E299 E94:E95 E128:E129 E162:E163 E196:E197 E230:E231 E264:E265 E332:E333" xr:uid="{00000000-0002-0000-0200-00000B000000}">
      <formula1>0</formula1>
      <formula2>5280</formula2>
    </dataValidation>
    <dataValidation allowBlank="1" showErrorMessage="1" prompt="This measurement method should be used in combination with either Erosion Rate or Dominant BEHI/NBS." sqref="E255:E256 E17:E18 E51:E52 E289:E290 E85:E86 E119:E120 E153:E154 E187:E188 E221:E222 E323:E324" xr:uid="{00000000-0002-0000-0200-00000D000000}"/>
  </dataValidations>
  <pageMargins left="0.25" right="0.25" top="0.75" bottom="0.75" header="0.3" footer="0.3"/>
  <pageSetup paperSize="3" scale="95" fitToWidth="0" fitToHeight="0" orientation="landscape" r:id="rId1"/>
  <rowBreaks count="9" manualBreakCount="9">
    <brk id="33" max="16383" man="1"/>
    <brk id="67" max="16383" man="1"/>
    <brk id="101" max="16383" man="1"/>
    <brk id="135" max="16383" man="1"/>
    <brk id="169" max="16383" man="1"/>
    <brk id="203" max="16383" man="1"/>
    <brk id="237" max="16383" man="1"/>
    <brk id="271" max="16383" man="1"/>
    <brk id="305" max="16383" man="1"/>
  </rowBreaks>
  <extLst>
    <ext xmlns:x14="http://schemas.microsoft.com/office/spreadsheetml/2009/9/main" uri="{CCE6A557-97BC-4b89-ADB6-D9C93CAAB3DF}">
      <x14:dataValidations xmlns:xm="http://schemas.microsoft.com/office/excel/2006/main" xWindow="656" yWindow="505" count="10">
        <x14:dataValidation type="list" allowBlank="1" showInputMessage="1" showErrorMessage="1" xr:uid="{00000000-0002-0000-0200-000013000000}">
          <x14:formula1>
            <xm:f>'Pull Down Notes'!$B$63:$B$66</xm:f>
          </x14:formula1>
          <xm:sqref>G207 G275 G241 G173 G139 G105 G71 G37 G3 G309</xm:sqref>
        </x14:dataValidation>
        <x14:dataValidation type="list" allowBlank="1" showErrorMessage="1" xr:uid="{36C0FCB1-9658-4873-9DF8-8424C1498446}">
          <x14:formula1>
            <xm:f>'Pull Down Notes'!$B$59:$B$61</xm:f>
          </x14:formula1>
          <xm:sqref>B5 G4:G5 B39 G38:G39 B73 G72:G73 B107 G106:G107 B141 G140:G141 B175 G174:G175 B209 G208:G209 B243 G242:G243 B277 G276:G277 B311 G310:G311</xm:sqref>
        </x14:dataValidation>
        <x14:dataValidation type="list" allowBlank="1" showErrorMessage="1" xr:uid="{00126CA6-22B2-44A7-86A1-D59799DD6C41}">
          <x14:formula1>
            <xm:f>'Pull Down Notes'!$B$75:$B$78</xm:f>
          </x14:formula1>
          <xm:sqref>D3 D37 D71 D105 D139 D173 D207 D241 D275 D309</xm:sqref>
        </x14:dataValidation>
        <x14:dataValidation type="list" allowBlank="1" showErrorMessage="1" xr:uid="{BE6B03BC-516C-4A7D-82A5-86E140F73E99}">
          <x14:formula1>
            <xm:f>'Pull Down Notes'!$B$68:$B$73</xm:f>
          </x14:formula1>
          <xm:sqref>D2 D36 D70 D104 D138 D172 D206 D240 D274 D308</xm:sqref>
        </x14:dataValidation>
        <x14:dataValidation type="list" allowBlank="1" showInputMessage="1" showErrorMessage="1" xr:uid="{0E07A362-E17B-4AA4-A0A4-FAD673CDB3BD}">
          <x14:formula1>
            <xm:f>'Pull Down Notes'!$B$13:$B$19</xm:f>
          </x14:formula1>
          <xm:sqref>D4 D38 D72 D106 D140 D174 D208 D242 D276 D310</xm:sqref>
        </x14:dataValidation>
        <x14:dataValidation type="list" allowBlank="1" showErrorMessage="1" xr:uid="{EBCC0E39-6317-419B-B993-8707DB8EC0B2}">
          <x14:formula1>
            <xm:f>'Pull Down Notes'!$B$80:$B$89</xm:f>
          </x14:formula1>
          <xm:sqref>D5 D39 D73 D107 D141 D175 D209 D243 D277 D311</xm:sqref>
        </x14:dataValidation>
        <x14:dataValidation type="list" allowBlank="1" showInputMessage="1" showErrorMessage="1" xr:uid="{8DF76F20-64AB-40C0-B7E1-455480988C3A}">
          <x14:formula1>
            <xm:f>'Pull Down Notes'!$B$81:$B$89</xm:f>
          </x14:formula1>
          <xm:sqref>D5 D39 D73 D107 D141 D175 D209 D243 D277 D311</xm:sqref>
        </x14:dataValidation>
        <x14:dataValidation type="list" allowBlank="1" showInputMessage="1" showErrorMessage="1" xr:uid="{EA862206-D354-4884-85C7-BE278113DF85}">
          <x14:formula1>
            <xm:f>'Pull Down Notes'!$B$91:$B$100</xm:f>
          </x14:formula1>
          <xm:sqref>G2 G36 G70 G104 G138 G172 G206 G240 G274 G308</xm:sqref>
        </x14:dataValidation>
        <x14:dataValidation type="list" allowBlank="1" showInputMessage="1" showErrorMessage="1" xr:uid="{5A06F263-DAB6-4EE1-B4B0-C3D5E9608D82}">
          <x14:formula1>
            <xm:f>'Pull Down Notes'!$B$59:$B$61</xm:f>
          </x14:formula1>
          <xm:sqref>G4:G5 G38:G39 G72:G73 G106:G107 G140:G141 G174:G175 G208:G209 G242:G243 G276:G277 G310:G311</xm:sqref>
        </x14:dataValidation>
        <x14:dataValidation type="list" allowBlank="1" showErrorMessage="1" prompt="Select the dominant BEHI/NBS.  _x000a_If erosion rate was measured select blank. The user should only input a value for either BEHI/NBS or Erosion Rate, not both. " xr:uid="{CE89E87A-A97B-4897-B8C1-C82E59A640C8}">
          <x14:formula1>
            <xm:f>'Pull Down Notes'!$B$22:$B$57</xm:f>
          </x14:formula1>
          <xm:sqref>E16 E50 E288 E84 E118 E152 E186 E220 E254 E322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E68083-1B3C-40D4-9C6C-B5A17C0AC001}">
  <dimension ref="A1:N339"/>
  <sheetViews>
    <sheetView tabSelected="1" workbookViewId="0">
      <selection sqref="A1:J1"/>
    </sheetView>
  </sheetViews>
  <sheetFormatPr defaultRowHeight="15" x14ac:dyDescent="0.25"/>
  <cols>
    <col min="1" max="2" width="30.85546875" style="5" customWidth="1"/>
    <col min="3" max="3" width="28" style="5" customWidth="1"/>
    <col min="4" max="4" width="34.42578125" style="5" bestFit="1" customWidth="1"/>
    <col min="5" max="5" width="14.42578125" style="5" customWidth="1"/>
    <col min="6" max="6" width="14.7109375" style="5" customWidth="1"/>
    <col min="7" max="7" width="18.85546875" style="5" customWidth="1"/>
    <col min="8" max="8" width="12.7109375" style="5" customWidth="1"/>
    <col min="9" max="9" width="17.28515625" style="102" customWidth="1"/>
    <col min="10" max="10" width="16.140625" style="5" customWidth="1"/>
    <col min="11" max="11" width="18.5703125" style="5" customWidth="1"/>
    <col min="12" max="12" width="13.7109375" style="5" customWidth="1"/>
    <col min="13" max="16384" width="9.140625" style="5"/>
  </cols>
  <sheetData>
    <row r="1" spans="1:14" ht="21" customHeight="1" x14ac:dyDescent="0.25">
      <c r="A1" s="406" t="s">
        <v>310</v>
      </c>
      <c r="B1" s="407"/>
      <c r="C1" s="407"/>
      <c r="D1" s="407"/>
      <c r="E1" s="407"/>
      <c r="F1" s="407"/>
      <c r="G1" s="407"/>
      <c r="H1" s="407"/>
      <c r="I1" s="407"/>
      <c r="J1" s="408"/>
    </row>
    <row r="2" spans="1:14" ht="16.149999999999999" customHeight="1" x14ac:dyDescent="0.25">
      <c r="A2" s="122" t="s">
        <v>68</v>
      </c>
      <c r="B2" s="101"/>
      <c r="C2" s="122" t="s">
        <v>195</v>
      </c>
      <c r="D2" s="48"/>
      <c r="E2" s="165" t="s">
        <v>226</v>
      </c>
      <c r="F2" s="166"/>
      <c r="G2" s="48"/>
      <c r="H2" s="404" t="s">
        <v>137</v>
      </c>
      <c r="I2" s="405"/>
      <c r="J2" s="101"/>
    </row>
    <row r="3" spans="1:14" ht="16.149999999999999" customHeight="1" x14ac:dyDescent="0.25">
      <c r="A3" s="122" t="s">
        <v>69</v>
      </c>
      <c r="B3" s="48"/>
      <c r="C3" s="122" t="s">
        <v>205</v>
      </c>
      <c r="D3" s="48"/>
      <c r="E3" s="413" t="s">
        <v>92</v>
      </c>
      <c r="F3" s="413"/>
      <c r="G3" s="48"/>
      <c r="H3" s="404" t="s">
        <v>138</v>
      </c>
      <c r="I3" s="405"/>
      <c r="J3" s="101"/>
    </row>
    <row r="4" spans="1:14" ht="16.149999999999999" customHeight="1" x14ac:dyDescent="0.35">
      <c r="A4" s="122" t="s">
        <v>136</v>
      </c>
      <c r="B4" s="48"/>
      <c r="C4" s="122" t="s">
        <v>206</v>
      </c>
      <c r="D4" s="48"/>
      <c r="E4" s="413" t="s">
        <v>267</v>
      </c>
      <c r="F4" s="413"/>
      <c r="G4" s="48"/>
      <c r="H4" s="404" t="s">
        <v>139</v>
      </c>
      <c r="I4" s="405"/>
      <c r="J4" s="101"/>
      <c r="K4" s="38"/>
    </row>
    <row r="5" spans="1:14" ht="16.149999999999999" customHeight="1" x14ac:dyDescent="0.25">
      <c r="A5" s="106" t="s">
        <v>261</v>
      </c>
      <c r="B5" s="48"/>
      <c r="C5" s="122" t="s">
        <v>207</v>
      </c>
      <c r="D5" s="48"/>
      <c r="E5" s="225" t="s">
        <v>260</v>
      </c>
      <c r="F5" s="226"/>
      <c r="G5" s="48"/>
      <c r="H5" s="404" t="s">
        <v>140</v>
      </c>
      <c r="I5" s="405"/>
      <c r="J5" s="101"/>
      <c r="K5" s="55"/>
    </row>
    <row r="6" spans="1:14" ht="9.6" customHeight="1" x14ac:dyDescent="0.25">
      <c r="A6" s="107"/>
      <c r="B6" s="107"/>
      <c r="C6" s="107"/>
      <c r="D6" s="107"/>
      <c r="E6" s="107"/>
      <c r="F6" s="107"/>
      <c r="G6" s="107"/>
      <c r="H6" s="107"/>
      <c r="I6" s="103"/>
      <c r="J6" s="11"/>
      <c r="K6" s="55"/>
    </row>
    <row r="7" spans="1:14" ht="19.899999999999999" customHeight="1" x14ac:dyDescent="0.35">
      <c r="A7" s="420" t="s">
        <v>311</v>
      </c>
      <c r="B7" s="420"/>
      <c r="C7" s="420"/>
      <c r="D7" s="420"/>
      <c r="E7" s="420"/>
      <c r="F7" s="420"/>
      <c r="G7" s="420" t="s">
        <v>14</v>
      </c>
      <c r="H7" s="420"/>
      <c r="I7" s="420"/>
      <c r="J7" s="420"/>
      <c r="K7" s="11"/>
    </row>
    <row r="8" spans="1:14" ht="15.75" x14ac:dyDescent="0.25">
      <c r="A8" s="46" t="s">
        <v>1</v>
      </c>
      <c r="B8" s="46" t="s">
        <v>2</v>
      </c>
      <c r="C8" s="421" t="s">
        <v>3</v>
      </c>
      <c r="D8" s="422"/>
      <c r="E8" s="46" t="s">
        <v>12</v>
      </c>
      <c r="F8" s="45" t="s">
        <v>13</v>
      </c>
      <c r="G8" s="46" t="s">
        <v>15</v>
      </c>
      <c r="H8" s="46" t="s">
        <v>16</v>
      </c>
      <c r="I8" s="105" t="s">
        <v>16</v>
      </c>
      <c r="J8" s="46" t="s">
        <v>264</v>
      </c>
      <c r="K8" s="11"/>
    </row>
    <row r="9" spans="1:14" ht="15.75" x14ac:dyDescent="0.25">
      <c r="A9" s="427" t="s">
        <v>51</v>
      </c>
      <c r="B9" s="427" t="s">
        <v>78</v>
      </c>
      <c r="C9" s="167" t="s">
        <v>162</v>
      </c>
      <c r="D9" s="169"/>
      <c r="E9" s="44"/>
      <c r="F9" s="28">
        <f>IF(G5="Yes","",(IF(G4="",0.8,(IF(AND(E9="",G4="Yes"),0.9,(IF(AND(E9="",G4="No"),0.8,IF(E9&gt;=80,0,IF(E9&lt;=40,1,IF(E9&gt;=68,ROUND(E9*'Reference Standards'!$B$4+'Reference Standards'!$B$5,2),ROUND(E9*'Reference Standards'!$C$4+'Reference Standards'!$C$5,2)))))))))))</f>
        <v>0.8</v>
      </c>
      <c r="G9" s="401">
        <f>IFERROR(AVERAGE(F9:F11),"")</f>
        <v>0.8</v>
      </c>
      <c r="H9" s="401">
        <f>IFERROR(ROUND(AVERAGE(G9:G11),2),"")</f>
        <v>0.8</v>
      </c>
      <c r="I9" s="414" t="str">
        <f>IF(H9="","",IF(H9&gt;0.69,"Functioning",IF(H9&gt;0.29,"Functioning At Risk",IF(H9&gt;-1,"Not Functioning"))))</f>
        <v>Functioning</v>
      </c>
      <c r="J9" s="429">
        <f>IF(AND(H9="",H12="",H14="",H28="",H31=""),"",ROUND((IF(H9="",0,H9)*0.2)+(IF(H12="",0,H12)*0.2)+(IF(H14="",0,H14)*0.2)+(IF(H28="",0,H28)*0.2)+(IF(H31="",0,H31)*0.2),2))</f>
        <v>0.8</v>
      </c>
      <c r="K9" s="11"/>
      <c r="M9" s="10"/>
    </row>
    <row r="10" spans="1:14" ht="15.75" x14ac:dyDescent="0.25">
      <c r="A10" s="428"/>
      <c r="B10" s="428"/>
      <c r="C10" s="168" t="s">
        <v>164</v>
      </c>
      <c r="D10" s="170"/>
      <c r="E10" s="49"/>
      <c r="F10" s="228" t="str">
        <f>IF(G5="No","",IF(E10="","",  IF(E10&gt;0.95,0,IF(E10&lt;=0.02,1,ROUND(IF(E10&gt;0.26,'Reference Standards'!$B$10*E10+'Reference Standards'!$B$11, IF(E10&lt;0.05, 'Reference Standards'!$D$10*E10+'Reference Standards'!$D$11, 'Reference Standards'!$C$10*E10+'Reference Standards'!$C$11)),2))) ))</f>
        <v/>
      </c>
      <c r="G10" s="402"/>
      <c r="H10" s="402"/>
      <c r="I10" s="414"/>
      <c r="J10" s="429"/>
      <c r="K10" s="11"/>
      <c r="M10" s="10"/>
    </row>
    <row r="11" spans="1:14" ht="15.75" x14ac:dyDescent="0.25">
      <c r="A11" s="428"/>
      <c r="B11" s="442"/>
      <c r="C11" s="171" t="s">
        <v>166</v>
      </c>
      <c r="D11" s="172"/>
      <c r="E11" s="49"/>
      <c r="F11" s="227">
        <f>IF(G5="Yes","",(IF(G4="",0.8,(IF(AND(E11="",G4="Yes"),0.9,(IF(AND(E11="",G4="No"),0.8,IF(E11&gt;3.22,0,IF(E11&lt;0,"",ROUND('Reference Standards'!$B$15*E11+'Reference Standards'!$B$16,2))))))))))</f>
        <v>0.8</v>
      </c>
      <c r="G11" s="403"/>
      <c r="H11" s="403"/>
      <c r="I11" s="414"/>
      <c r="J11" s="429"/>
      <c r="K11" s="11"/>
      <c r="M11" s="10"/>
    </row>
    <row r="12" spans="1:14" ht="15.75" x14ac:dyDescent="0.25">
      <c r="A12" s="432" t="s">
        <v>4</v>
      </c>
      <c r="B12" s="434" t="s">
        <v>5</v>
      </c>
      <c r="C12" s="17" t="s">
        <v>6</v>
      </c>
      <c r="D12" s="17"/>
      <c r="E12" s="44"/>
      <c r="F12" s="96">
        <f>IF(G4="",0.8,(IF(AND(E12="",G4="Yes"),0.9,(IF(AND(E12="",G4="No"),0.8,ROUND(IF(E12&gt;1.6,0,IF(E12&lt;=1,1,E12^2*'Reference Standards'!$F$2+E12*'Reference Standards'!$F$3+'Reference Standards'!$F$4)),2))))))</f>
        <v>0.8</v>
      </c>
      <c r="G12" s="435">
        <f>IFERROR(AVERAGE(F12:F13),"")</f>
        <v>0.8</v>
      </c>
      <c r="H12" s="436">
        <f>IFERROR(ROUND(AVERAGE(G12),2),"")</f>
        <v>0.8</v>
      </c>
      <c r="I12" s="438" t="str">
        <f>IF(H12="","",IF(H12&gt;0.69,"Functioning",IF(H12&gt;0.29,"Functioning At Risk",IF(H12&gt;-1,"Not Functioning"))))</f>
        <v>Functioning</v>
      </c>
      <c r="J12" s="429"/>
      <c r="K12" s="11"/>
      <c r="M12" s="10"/>
      <c r="N12" s="10"/>
    </row>
    <row r="13" spans="1:14" ht="15.75" x14ac:dyDescent="0.25">
      <c r="A13" s="433"/>
      <c r="B13" s="434"/>
      <c r="C13" s="17" t="s">
        <v>7</v>
      </c>
      <c r="D13" s="17"/>
      <c r="E13" s="50"/>
      <c r="F13" s="96">
        <f>IF(G4="",0.8,(IF(AND(E13="",G4="Yes"),0.9,(IF(AND(E13="",G4="No"),0.8,(IF(OR(B4="A",B4="B",B4="Bc",B4="Ba"),IF(E13&lt;1.2,0,IF(E13&gt;=2.2,1,ROUND(IF(E13&lt;1.4,E13*'Reference Standards'!$F$13+'Reference Standards'!$F$14,E13*'Reference Standards'!$G$13+'Reference Standards'!$G$14),2))),IF(OR(B4="C",B4="Cb",B4="E"),IF(E13&lt;2,0,IF(E13&gt;=5,1,ROUND(IF(E13&lt;2.4,E13*'Reference Standards'!$G$8+'Reference Standards'!$G$9,E13*'Reference Standards'!$F$8+'Reference Standards'!$F$9),2)))))))))))</f>
        <v>0.8</v>
      </c>
      <c r="G13" s="435"/>
      <c r="H13" s="437"/>
      <c r="I13" s="439"/>
      <c r="J13" s="429"/>
      <c r="K13" s="11"/>
      <c r="M13" s="10"/>
      <c r="N13" s="10"/>
    </row>
    <row r="14" spans="1:14" ht="15.75" x14ac:dyDescent="0.25">
      <c r="A14" s="398" t="s">
        <v>21</v>
      </c>
      <c r="B14" s="440" t="s">
        <v>22</v>
      </c>
      <c r="C14" s="21" t="s">
        <v>103</v>
      </c>
      <c r="D14" s="69"/>
      <c r="E14" s="44"/>
      <c r="F14" s="229" t="str">
        <f>IF(E14="","",IF(E14&gt;=660,1,IF(E14&lt;=430,ROUND('Reference Standards'!$I$4*E14+'Reference Standards'!$I$5,2),ROUND('Reference Standards'!$J$4*E14+'Reference Standards'!$J$5,2))))</f>
        <v/>
      </c>
      <c r="G14" s="423">
        <f>IFERROR(AVERAGE(F14:F15),"")</f>
        <v>0.8</v>
      </c>
      <c r="H14" s="447">
        <f>IFERROR(ROUND(AVERAGE(G14:G27),2),"")</f>
        <v>0.8</v>
      </c>
      <c r="I14" s="449" t="str">
        <f>IF(H14="","",IF(H14&gt;0.69,"Functioning",IF(H14&gt;0.29,"Functioning At Risk",IF(H14&gt;-1,"Not Functioning"))))</f>
        <v>Functioning</v>
      </c>
      <c r="J14" s="429"/>
      <c r="K14" s="11"/>
      <c r="M14" s="10"/>
      <c r="N14" s="10"/>
    </row>
    <row r="15" spans="1:14" ht="15.75" x14ac:dyDescent="0.25">
      <c r="A15" s="399"/>
      <c r="B15" s="441"/>
      <c r="C15" s="24" t="s">
        <v>99</v>
      </c>
      <c r="D15" s="70"/>
      <c r="E15" s="50"/>
      <c r="F15" s="98">
        <f>IF(ISNUMBER(E14),"",IF(G4="",0.8,(IF(AND(E15="",G4="Yes"),0.9,(IF(AND(E15="",G4="No"),0.8,IF(E15&gt;=28,1,ROUND(IF(E15&lt;=13,'Reference Standards'!$I$9*E15,'Reference Standards'!$J$9*E15+'Reference Standards'!$J$10),2))))))))</f>
        <v>0.8</v>
      </c>
      <c r="G15" s="426"/>
      <c r="H15" s="447"/>
      <c r="I15" s="449"/>
      <c r="J15" s="429"/>
      <c r="K15" s="11"/>
      <c r="M15" s="10"/>
      <c r="N15" s="10"/>
    </row>
    <row r="16" spans="1:14" ht="15.75" x14ac:dyDescent="0.25">
      <c r="A16" s="399"/>
      <c r="B16" s="399" t="s">
        <v>126</v>
      </c>
      <c r="C16" s="19" t="s">
        <v>43</v>
      </c>
      <c r="D16" s="19"/>
      <c r="E16" s="49"/>
      <c r="F16" s="29">
        <f>IF(G4="",0.8,(IF(AND(E16="",G4="Yes"),0.9,(IF(AND(E16="",G4="No"),0.8,IF(OR(E16="Ex/Ex",E16="Ex/VH",E16="Ex/H",E16="Ex/M",E16="VH/Ex",E16="VH/VH", E16="H/Ex",E16="H/VH"),0, IF(OR(E16="M/Ex"),0.1,IF(OR(E16="VH/H",E16="VH/M",E16="H/H",E16="H/M", E16="M/VH"),0.2, IF(OR(E16="Ex/VL",E16="Ex/L", E16="M/H"),0.3, IF(OR(E16="VH/L",E16="H/L"),0.4, IF(OR(E16="VH/VL",E16="H/VL",E16="M/M"),0.5, IF(OR(E16="M/L",E16="L/Ex"),0.6, IF(OR(E16="M/VL",E16="L/VH", E16="L/H",E16="L/M",E16="L/L",E16="L/VL",LEFT(E16)="V"),1)))))))))))))</f>
        <v>0.8</v>
      </c>
      <c r="G16" s="423">
        <f>IFERROR(AVERAGE(F16:F18),"")</f>
        <v>0.80000000000000016</v>
      </c>
      <c r="H16" s="448"/>
      <c r="I16" s="449"/>
      <c r="J16" s="429"/>
      <c r="K16" s="11"/>
      <c r="M16" s="10"/>
      <c r="N16" s="10"/>
    </row>
    <row r="17" spans="1:14" ht="15.75" x14ac:dyDescent="0.25">
      <c r="A17" s="399"/>
      <c r="B17" s="399"/>
      <c r="C17" s="20" t="s">
        <v>57</v>
      </c>
      <c r="D17" s="173"/>
      <c r="E17" s="243"/>
      <c r="F17" s="29">
        <f>IF(G4="",0.8,(IF(AND(E17="",G4="Yes"),0.9,(IF(AND(E17="",G4="No"),0.8,ROUND(IF(E17&gt;=75,0,IF(E17&lt;=5,1,IF(E17&gt;10,E17*'Reference Standards'!$I$14+'Reference Standards'!$I$15,'Reference Standards'!$J$14*E17+'Reference Standards'!$J$15))),2))))))</f>
        <v>0.8</v>
      </c>
      <c r="G17" s="424"/>
      <c r="H17" s="448"/>
      <c r="I17" s="449"/>
      <c r="J17" s="429"/>
      <c r="K17" s="11"/>
      <c r="M17" s="10"/>
      <c r="N17" s="10"/>
    </row>
    <row r="18" spans="1:14" ht="15.75" x14ac:dyDescent="0.25">
      <c r="A18" s="399"/>
      <c r="B18" s="400"/>
      <c r="C18" s="20" t="s">
        <v>125</v>
      </c>
      <c r="D18" s="20"/>
      <c r="E18" s="50"/>
      <c r="F18" s="98">
        <f>IF(G4="",0.8,(IF(AND(E18="",G4="Yes"),0.9,(IF(AND(E18="",G4="No"),0.8,IF(E18&gt;=50,0,ROUND(E18*'Reference Standards'!$I$18+'Reference Standards'!$I$19,2)))))))</f>
        <v>0.8</v>
      </c>
      <c r="G18" s="426"/>
      <c r="H18" s="448"/>
      <c r="I18" s="449"/>
      <c r="J18" s="429"/>
      <c r="K18" s="11"/>
      <c r="M18" s="10"/>
      <c r="N18" s="10"/>
    </row>
    <row r="19" spans="1:14" ht="15.75" x14ac:dyDescent="0.25">
      <c r="A19" s="399"/>
      <c r="B19" s="18" t="s">
        <v>70</v>
      </c>
      <c r="C19" s="26" t="s">
        <v>80</v>
      </c>
      <c r="D19" s="68"/>
      <c r="E19" s="50"/>
      <c r="F19" s="27" t="str">
        <f>IF(E19="","",IF(E19&gt;=50,0,ROUND(E19*'Reference Standards'!$I$22+'Reference Standards'!$I$23,2)))</f>
        <v/>
      </c>
      <c r="G19" s="27" t="str">
        <f>IFERROR(AVERAGE(F19),"")</f>
        <v/>
      </c>
      <c r="H19" s="448"/>
      <c r="I19" s="449"/>
      <c r="J19" s="429"/>
      <c r="K19" s="11"/>
      <c r="M19" s="10"/>
      <c r="N19" s="10"/>
    </row>
    <row r="20" spans="1:14" ht="15.75" x14ac:dyDescent="0.25">
      <c r="A20" s="399"/>
      <c r="B20" s="398" t="s">
        <v>45</v>
      </c>
      <c r="C20" s="25" t="s">
        <v>46</v>
      </c>
      <c r="D20" s="25"/>
      <c r="E20" s="53"/>
      <c r="F20" s="230">
        <f>IF(G4="",0.8,(IF(AND(E20="",G4="Yes"),0.9,(IF(AND(E20="",G4="No"),0.8,ROUND( IF(OR(LEFT(B4)="C",B4="E"), IF(OR(E20&lt;=1,E20&gt;=9),0,IF(AND(E20&gt;=3.5,E20&lt;=6),1,IF(E20&lt;3.5, E20*'Reference Standards'!$I$37+'Reference Standards'!$I$38, E20*'Reference Standards'!$J$37+'Reference Standards'!$J$38))),   IF(OR(B4="A",(B4)="B", (B4)="Ba"), IF(E20&gt;=6.5,0, IF(E20&lt;=4, 1, E20^2*'Reference Standards'!$I$26+E20*'Reference Standards'!$I$27+'Reference Standards'!$I$28)), IF(B4="Bc",  IF(E20&gt;=8,0, IF(E20&lt;=5, 1, E20^2*'Reference Standards'!$I$31+E20*'Reference Standards'!$I$32+'Reference Standards'!$I$33))))),2))))))</f>
        <v>0.8</v>
      </c>
      <c r="G20" s="430">
        <f>IFERROR(AVERAGE(F20:F23),"")</f>
        <v>0.80000000000000016</v>
      </c>
      <c r="H20" s="448"/>
      <c r="I20" s="449"/>
      <c r="J20" s="429"/>
      <c r="K20" s="11"/>
      <c r="M20" s="10"/>
      <c r="N20" s="10"/>
    </row>
    <row r="21" spans="1:14" ht="15.75" x14ac:dyDescent="0.25">
      <c r="A21" s="399"/>
      <c r="B21" s="399"/>
      <c r="C21" s="19" t="s">
        <v>47</v>
      </c>
      <c r="D21" s="19"/>
      <c r="E21" s="52"/>
      <c r="F21" s="29">
        <f>IF(G4="",0.8,(IF(AND(E21="",G4="Yes"),0.9,(IF(AND(E21="",G4="No"),0.8,ROUND(  IF(E21&lt;=1.1,0, IF(E21&gt;=3,1, IF(E21&lt;2, E21^2*'Reference Standards'!$I$42+  E21*'Reference Standards'!$I$43 + 'Reference Standards'!$I$44,      E21*'Reference Standards'!$J$43+'Reference Standards'!$J$44))),2))))))</f>
        <v>0.8</v>
      </c>
      <c r="G21" s="425"/>
      <c r="H21" s="448"/>
      <c r="I21" s="449"/>
      <c r="J21" s="429"/>
      <c r="K21" s="11"/>
      <c r="M21" s="10"/>
      <c r="N21" s="10"/>
    </row>
    <row r="22" spans="1:14" ht="15.75" x14ac:dyDescent="0.25">
      <c r="A22" s="399"/>
      <c r="B22" s="399"/>
      <c r="C22" s="19" t="s">
        <v>104</v>
      </c>
      <c r="D22" s="19"/>
      <c r="E22" s="52"/>
      <c r="F22" s="245">
        <f>IF(G4="",0.8,(IF(AND(E22="",G4="Yes"),0.9,(IF(AND(E22="",G4="No"),0.8,IF(OR(B4="A",LEFT(B4,1)="B"),IF(OR(E22&lt;=20,E22&gt;=90),0,IF(AND(E22&gt;=50,E22&lt;=60),1,IF(E22&lt;50,E22*'Reference Standards'!$I$48+'Reference Standards'!$I$49,E22*'Reference Standards'!$J$48+'Reference Standards'!$J$49))),IF(OR(LEFT(B4)="C",B4="E"),IF(OR(E22&lt;=20,E22&gt;=85),0,IF(AND(E22&lt;=65,E22&gt;=45),1,IF(E22&lt;45,E22*'Reference Standards'!$I$53+'Reference Standards'!$I$54,E22*'Reference Standards'!$J$53+'Reference Standards'!$J$54))))))))))</f>
        <v>0.8</v>
      </c>
      <c r="G22" s="425"/>
      <c r="H22" s="448"/>
      <c r="I22" s="449"/>
      <c r="J22" s="429"/>
      <c r="K22" s="11"/>
      <c r="M22" s="10"/>
      <c r="N22" s="10"/>
    </row>
    <row r="23" spans="1:14" ht="15.75" x14ac:dyDescent="0.25">
      <c r="A23" s="399"/>
      <c r="B23" s="400"/>
      <c r="C23" s="23" t="s">
        <v>88</v>
      </c>
      <c r="D23" s="19"/>
      <c r="E23" s="54"/>
      <c r="F23" s="246" t="str">
        <f>IF(E23="","",IF(E23&gt;=1.6,0,IF(E23&lt;=1,1,ROUND('Reference Standards'!$I$57*E23^3+'Reference Standards'!$I$58*E23^2+'Reference Standards'!$I$59*E23+'Reference Standards'!$I$60,2))))</f>
        <v/>
      </c>
      <c r="G23" s="431"/>
      <c r="H23" s="448"/>
      <c r="I23" s="449"/>
      <c r="J23" s="429"/>
      <c r="K23" s="11"/>
      <c r="M23" s="10"/>
      <c r="N23" s="10"/>
    </row>
    <row r="24" spans="1:14" ht="15.75" x14ac:dyDescent="0.25">
      <c r="A24" s="399"/>
      <c r="B24" s="399" t="s">
        <v>44</v>
      </c>
      <c r="C24" s="21" t="s">
        <v>182</v>
      </c>
      <c r="D24" s="69"/>
      <c r="E24" s="22"/>
      <c r="F24" s="97">
        <f>IF(G4="",0.8,(IF(AND(E24="",G4="Yes"),0.9,(IF(AND(E24="",G4="No"),0.8,IF(G3="Unconfined Alluvial",IF(E24&gt;=100,1,IF(E24&lt;30,0,ROUND('Reference Standards'!$I$64*E24+'Reference Standards'!$I$65,2))),IF(OR(G3="Confined Alluvial",G3="Colluvial/V-Shaped"),(IF(E24&gt;=100,1,IF(E24&lt;60,0,ROUND('Reference Standards'!$J$64*E24+'Reference Standards'!$J$65,2)))))))))))</f>
        <v>0.8</v>
      </c>
      <c r="G24" s="423">
        <f>IFERROR(AVERAGE(F24:F27),"")</f>
        <v>0.80000000000000016</v>
      </c>
      <c r="H24" s="448"/>
      <c r="I24" s="449"/>
      <c r="J24" s="429"/>
      <c r="K24" s="11"/>
      <c r="M24" s="10"/>
      <c r="N24" s="10"/>
    </row>
    <row r="25" spans="1:14" ht="15.75" x14ac:dyDescent="0.25">
      <c r="A25" s="399"/>
      <c r="B25" s="399"/>
      <c r="C25" s="23" t="s">
        <v>183</v>
      </c>
      <c r="D25" s="173"/>
      <c r="E25" s="244"/>
      <c r="F25" s="29">
        <f>IF(G4="",0.8,(IF(AND(E25="",G4="Yes"),0.9,(IF(AND(E25="",G4="No"),0.8,IF(B5="Yes",IF(E25&lt;=50,0,IF(E25&gt;=80,1,ROUND('Reference Standards'!$I$69*E25+'Reference Standards'!$I$70,2))),IF(B5="No",IF(E25&gt;=80,0,IF(E25&lt;=50,1,ROUND(E25*'Reference Standards'!$J$69+'Reference Standards'!$J$70,2))))))))))</f>
        <v>0.8</v>
      </c>
      <c r="G25" s="424"/>
      <c r="H25" s="448"/>
      <c r="I25" s="449"/>
      <c r="J25" s="429"/>
      <c r="K25" s="11"/>
      <c r="M25" s="10"/>
      <c r="N25" s="10"/>
    </row>
    <row r="26" spans="1:14" ht="15.75" x14ac:dyDescent="0.25">
      <c r="A26" s="399"/>
      <c r="B26" s="399"/>
      <c r="C26" s="23" t="s">
        <v>184</v>
      </c>
      <c r="D26" s="173"/>
      <c r="E26" s="244"/>
      <c r="F26" s="29">
        <f>IF(G4="",0.8,(IF(AND(E26="",G4="Yes"),0.9,(IF(AND(E26="",G4="No"),0.8,IF(E26&lt;=50,0,IF(E26&gt;=80,1, ROUND(E26*'Reference Standards'!$I$73+'Reference Standards'!$I$74,2))))))))</f>
        <v>0.8</v>
      </c>
      <c r="G26" s="425"/>
      <c r="H26" s="448"/>
      <c r="I26" s="449"/>
      <c r="J26" s="429"/>
      <c r="K26" s="11"/>
      <c r="M26" s="10"/>
      <c r="N26" s="10"/>
    </row>
    <row r="27" spans="1:14" ht="15.75" x14ac:dyDescent="0.25">
      <c r="A27" s="400"/>
      <c r="B27" s="399"/>
      <c r="C27" s="443" t="s">
        <v>277</v>
      </c>
      <c r="D27" s="444"/>
      <c r="E27" s="16"/>
      <c r="F27" s="98" t="str">
        <f>IF(OR(B5="",B5="No"),"",IF(AND(E27="",B5="Yes",G4="Yes"),0.9,IF(OR(G4="No",G4=""),0.8,IF(E27&lt;=9,0,IF(E27&gt;=14,1,ROUND('Reference Standards'!$I$77*E27+'Reference Standards'!$I$78,2))))))</f>
        <v/>
      </c>
      <c r="G27" s="426"/>
      <c r="H27" s="448"/>
      <c r="I27" s="449"/>
      <c r="J27" s="429"/>
      <c r="K27" s="11"/>
      <c r="M27" s="10"/>
      <c r="N27" s="10"/>
    </row>
    <row r="28" spans="1:14" ht="15.75" x14ac:dyDescent="0.25">
      <c r="A28" s="409" t="s">
        <v>49</v>
      </c>
      <c r="B28" s="174" t="s">
        <v>169</v>
      </c>
      <c r="C28" s="175" t="s">
        <v>176</v>
      </c>
      <c r="D28" s="177"/>
      <c r="E28" s="101"/>
      <c r="F28" s="182">
        <f>IF(G4="",0.8,(IF(AND(E28="",G4="Yes"),0.9,IF(E28&gt;=25,0,IF(E28&lt;=10,1,ROUND(IF(E28&gt;18,'Reference Standards'!$L$4*E28+'Reference Standards'!$L$5,IF(E28&lt;12,'Reference Standards'!$N$4*E28+'Reference Standards'!$N$5,'Reference Standards'!$M$4*E28+'Reference Standards'!$M$5)),2))))))</f>
        <v>0.8</v>
      </c>
      <c r="G28" s="180">
        <f>IFERROR(AVERAGE(F28),"")</f>
        <v>0.8</v>
      </c>
      <c r="H28" s="411">
        <f>IFERROR(ROUND(AVERAGE(G28:G30),2),"")</f>
        <v>0.8</v>
      </c>
      <c r="I28" s="415" t="str">
        <f>IF(H28="","",IF(H28&gt;0.69,"Functioning",IF(H28&gt;0.29,"Functioning At Risk",IF(H28&gt;-1,"Not Functioning"))))</f>
        <v>Functioning</v>
      </c>
      <c r="J28" s="429"/>
      <c r="K28" s="11"/>
      <c r="N28" s="10"/>
    </row>
    <row r="29" spans="1:14" ht="15.75" x14ac:dyDescent="0.25">
      <c r="A29" s="410"/>
      <c r="B29" s="176" t="s">
        <v>170</v>
      </c>
      <c r="C29" s="175" t="s">
        <v>177</v>
      </c>
      <c r="D29" s="178"/>
      <c r="E29" s="49"/>
      <c r="F29" s="231">
        <f>IF(G4="",0.8,(IF(AND(E29="",G4="Yes"),0.9,IF(D2="2A",IF(E29&lt;=5.3,0,IF(E29&gt;=8.79,1,ROUND(E29*'Reference Standards'!$L$9+'Reference Standards'!$L$10,2))),IF(D2=7,IF(E29&lt;=0.8,0,IF(E29&gt;=1.25,1,ROUND(E29*'Reference Standards'!$N$9+'Reference Standards'!$N$10,2))),IF(OR(D2="2B", D2="2Bd",D2="2C"),IF(E29&lt;=3.8,0,(IF(E29&gt;=6.3,1,ROUND(E29*'Reference Standards'!$M$9+'Reference Standards'!$M$10,2))))))))))</f>
        <v>0.8</v>
      </c>
      <c r="G29" s="181">
        <f>IFERROR(AVERAGE(F29),"")</f>
        <v>0.8</v>
      </c>
      <c r="H29" s="412"/>
      <c r="I29" s="416"/>
      <c r="J29" s="429"/>
      <c r="K29" s="11"/>
      <c r="N29" s="10"/>
    </row>
    <row r="30" spans="1:14" ht="15.75" x14ac:dyDescent="0.25">
      <c r="A30" s="410"/>
      <c r="B30" s="174" t="s">
        <v>172</v>
      </c>
      <c r="C30" s="175" t="s">
        <v>178</v>
      </c>
      <c r="D30" s="179"/>
      <c r="E30" s="101"/>
      <c r="F30" s="182">
        <f>IF(G4="",0.8,(IF(AND(E30="",G4="Yes"),0.9,IF(D2="2A",IF(E30&gt;=12.5,0,IF(E30&lt;=7.5,1,ROUND(E30*'Reference Standards'!$L$15+'Reference Standards'!$L$16,2))),IF(OR(D2="2B",D2="2Bd",D2="2C"),IF(D3="North",IF(E30&gt;=18.8,0,IF(E30&lt;=11.3,1,ROUND(E30*'Reference Standards'!$M$15+'Reference Standards'!$M$16,2))),IF(D3="Central",(IF(E30&gt;=37.5,0,IF(E30&lt;=22.5,1,ROUND(E30*'Reference Standards'!$N$15+'Reference Standards'!$N$16,2)))),IF(E30&gt;=81.2,0,(IF(E30&lt;=48.7,1,ROUND(E30*'Reference Standards'!$O$15+'Reference Standards'!$O$16,2)))))))))))</f>
        <v>0.8</v>
      </c>
      <c r="G30" s="182">
        <f>IFERROR(AVERAGE(F30),"")</f>
        <v>0.8</v>
      </c>
      <c r="H30" s="412"/>
      <c r="I30" s="416"/>
      <c r="J30" s="429"/>
      <c r="K30" s="11"/>
      <c r="N30" s="10"/>
    </row>
    <row r="31" spans="1:14" ht="15.75" x14ac:dyDescent="0.25">
      <c r="A31" s="445" t="s">
        <v>50</v>
      </c>
      <c r="B31" s="236" t="s">
        <v>105</v>
      </c>
      <c r="C31" s="40" t="s">
        <v>179</v>
      </c>
      <c r="D31" s="41"/>
      <c r="E31" s="44"/>
      <c r="F31" s="99">
        <f>IF(G4="",0.8,(IF(AND(E30="",G4="Yes"),0.9,IF(D5="Northern Forest Rivers",IF(E31&lt;=38.2,0,IF(E31&gt;=77,1,ROUND(IF(E31&lt;49, 'Reference Standards'!$Q$5*E31+'Reference Standards'!$Q$6, IF(E31&lt;59.8, 'Reference Standards'!$R$5*E31+'Reference Standards'!$R$6, 'Reference Standards'!$S$5*E31+'Reference Standards'!$S$6)),2))),   IF(D5="Northern Forest Streams Riffle-run",IF(E31&lt;40.4,0,IF(E31&gt;=82,1,ROUND(IF(E31&lt;53, 'Reference Standards'!$T$5*E31+'Reference Standards'!$T$6, IF(E31&lt;59.8, 'Reference Standards'!$U$5*E31+'Reference Standards'!$U$6, 'Reference Standards'!$V$5*E31+'Reference Standards'!$V$6) ),2))), IF(D5="Northern Forest Streams Glide-pool",IF(E31&lt;=37,0,IF(E31&gt;=76,1,ROUND(IF(E31&lt;51, 'Reference Standards'!$W$5*E31+'Reference Standards'!$W$6, IF(E31&lt;65.6, 'Reference Standards'!$X$5*E31+'Reference Standards'!$X$6, 'Reference Standards'!$Y$5*E31+'Reference Standards'!$Y$6) ),2))), IF(D5="Northern Coldwater",IF(E31&lt;19.6,0,IF(E31&gt;=52,1,ROUND(IF(E31&lt;32, 'Reference Standards'!$Z$5*E31+'Reference Standards'!$Z$6, IF(E31&lt;44.4,'Reference Standards'!$AA$5*E31+'Reference Standards'!$AA$6, 'Reference Standards'!$AB$5*E31+'Reference Standards'!$AB$6) ),2))), IF(D5="Southern Forest Streams Riffle-run", IF(E31&lt;24,0,IF(E31&gt;=62,1,ROUND(IF(E31&lt;37, 'Reference Standards'!$Q$11*E31+'Reference Standards'!$Q$12, IF(E31&lt;49.6,'Reference Standards'!$R$11*E31+'Reference Standards'!$R$12,'Reference Standards'!$S$11*E31+'Reference Standards'!$S$12)),2))), IF(D5="Southern Forest Streams Glide-pool", IF(E31&lt;29.4,0,IF(E31&gt;=65,1,ROUND(IF(E31&lt;43,'Reference Standards'!$T$11*E31+'Reference Standards'!$T$12, IF(E31&lt;56.6, 'Reference Standards'!$U$11*E31+'Reference Standards'!$U$12,'Reference Standards'!$V$11*E31+'Reference Standards'!$V$12)),2))), IF(D5="Southern Coldwater", IF(E31&lt;29.2,0,IF(E31&gt;=72,1,ROUND(IF(E31&lt;43, 'Reference Standards'!$W$11*E31+'Reference Standards'!$W$12, IF(E31&lt;56.8,'Reference Standards'!$X$11*E31+'Reference Standards'!$X$12, 'Reference Standards'!$Y$11*E31+'Reference Standards'!$Y$12)),2))), IF(D5="Prairie Forest Rivers", IF(E31&lt;20.2,0,IF(E31&gt;=62,1,ROUND(IF(E31&lt;31,'Reference Standards'!$Q$17*E31+'Reference Standards'!$Q$18, IF(E31&lt;41.8,'Reference Standards'!$R$17*E31+'Reference Standards'!$R$18,'Reference Standards'!$S$17*E31+'Reference Standards'!$S$18)),2))), IF(D5="Prairie Streams Glide-Pool", IF(E31&lt;27.4,0,IF(E31&gt;=69,1,ROUND(IF(E31&lt;41,'Reference Standards'!$T$17*E31+'Reference Standards'!$T$18, IF(E31&lt;54.6,'Reference Standards'!$U$17*E31+'Reference Standards'!$U$18, 'Reference Standards'!$V$17*E31+'Reference Standards'!$V$18)),2))) ))))))))))))</f>
        <v>0.8</v>
      </c>
      <c r="G31" s="237">
        <f>IFERROR(AVERAGE(F31),"")</f>
        <v>0.8</v>
      </c>
      <c r="H31" s="450">
        <f>IFERROR(ROUND(AVERAGE(G31:G32),2),"")</f>
        <v>0.8</v>
      </c>
      <c r="I31" s="414" t="str">
        <f>IF(H31="","",IF(H31&gt;0.69,"Functioning",IF(H31&gt;0.29,"Functioning At Risk",IF(H31&gt;-1,"Not Functioning"))))</f>
        <v>Functioning</v>
      </c>
      <c r="J31" s="429"/>
      <c r="K31" s="11"/>
      <c r="N31" s="10"/>
    </row>
    <row r="32" spans="1:14" ht="15.75" x14ac:dyDescent="0.25">
      <c r="A32" s="446"/>
      <c r="B32" s="238" t="s">
        <v>54</v>
      </c>
      <c r="C32" s="183" t="s">
        <v>180</v>
      </c>
      <c r="D32" s="184"/>
      <c r="E32" s="101"/>
      <c r="F32" s="99">
        <f>IF(G4="",0.8,(IF(AND(E32="",G4="Yes"),0.9,IF(G2="Northern Rivers",IF(E32&lt;29,0,IF(E32&gt;=66,1,ROUND(IF(E32&lt;38, 'Reference Standards'!$Q$23*E32+'Reference Standards'!$Q$24, IF(E32&lt;47, 'Reference Standards'!$R$23*E32+'Reference Standards'!$R$24, 'Reference Standards'!$S$23*E32+'Reference Standards'!$S$24)),2))),   IF(G2="Northern Streams",IF(E32&lt;35,0,IF(E32&gt;=61,1,ROUND(IF(E32&lt;47, 'Reference Standards'!$T$23*E32+'Reference Standards'!$T$24, IF(E32&lt;56, 'Reference Standards'!$U$23*E32+'Reference Standards'!$U$24, 'Reference Standards'!$V$23*E32+'Reference Standards'!$V$24) ),2))), IF(G2="Northern Headwaters",IF(E32&lt;23,0,IF(E32&gt;=68,1,ROUND(IF(E32&lt;42, 'Reference Standards'!$W$23*E32+'Reference Standards'!$W$24, IF(E32&lt;56, 'Reference Standards'!$X$23*E32+'Reference Standards'!$X$24, 'Reference Standards'!$Y$23*E32+'Reference Standards'!$Y$24) ),2))), IF(G2="Northern Coldwater",IF(E32&lt;25,0,IF(E32&gt;=60,1,ROUND(IF(E32&lt;35, 'Reference Standards'!$Z$23*E32+'Reference Standards'!$Z$24, IF(E32&lt;45, 'Reference Standards'!$AA$23*E32+'Reference Standards'!$AA$24, 'Reference Standards'!$AB$23*E32+'Reference Standards'!$AB$24) ),2))), IF(G2="Southern River", IF(E32&lt;38,0,IF(E32&gt;=71,1,ROUND(IF(E32&lt;49, 'Reference Standards'!$Q$29*E32+'Reference Standards'!$Q$30, IF(E32&lt;60,'Reference Standards'!$R$29*E32+'Reference Standards'!$R$30, 'Reference Standards'!$S$29*E32+'Reference Standards'!$S$30)),2))), IF(G2="Southern Streams", IF(E32&lt;35,0,IF(E32&gt;=66,1,ROUND(IF(E32&lt;50,'Reference Standards'!$T$29*E32+'Reference Standards'!$T$30, IF(E32&lt;59, 'Reference Standards'!$U$29*E32+'Reference Standards'!$U$30, 'Reference Standards'!$V$29*E32+'Reference Standards'!$V$30)),2))), IF(G2="Southern Headwaters", IF(E32&lt;33,0,IF(E32&gt;=74,1,ROUND(IF(E32&lt;55, 'Reference Standards'!$W$29*E32+'Reference Standards'!$W$30, IF(E32&lt;62, 'Reference Standards'!$X$29*E32+'Reference Standards'!$X$30, 'Reference Standards'!$Y$29*E32+'Reference Standards'!$Y$30)),2))), IF(G2="Southern Coldwater", IF(E32&lt;37,0,IF(E32&gt;=82,1,ROUND(IF(E32&lt;50, 'Reference Standards'!$Z$29*E32+'Reference Standards'!$Z$30, IF(E32&lt;63,'Reference Standards'!$AA$29*E32+'Reference Standards'!$AA$30,'Reference Standards'!$AB$29*E32+'Reference Standards'!$AB$30)),2))), IF(G2="Low Gradient", IF(E32&lt;15,0,IF(E32&gt;=70,1,ROUND(IF(E32&lt;42, 'Reference Standards'!$Q$34*E32+'Reference Standards'!$Q$35, IF(E32&lt;52, 'Reference Standards'!$R$34*E32+'Reference Standards'!$R$35, 'Reference Standards'!$S$34*E32+'Reference Standards'!$S$35)),2))) ))))))))))))</f>
        <v>0.8</v>
      </c>
      <c r="G32" s="237">
        <f>IFERROR(AVERAGE(F32),"")</f>
        <v>0.8</v>
      </c>
      <c r="H32" s="450"/>
      <c r="I32" s="414"/>
      <c r="J32" s="429"/>
      <c r="K32" s="11"/>
      <c r="N32" s="10"/>
    </row>
    <row r="33" spans="1:11" ht="4.1500000000000004" customHeight="1" x14ac:dyDescent="0.25">
      <c r="J33" s="4"/>
      <c r="K33" s="11"/>
    </row>
    <row r="34" spans="1:11" ht="4.1500000000000004" customHeight="1" x14ac:dyDescent="0.25">
      <c r="K34" s="11"/>
    </row>
    <row r="35" spans="1:11" ht="21" customHeight="1" x14ac:dyDescent="0.25">
      <c r="A35" s="406" t="s">
        <v>310</v>
      </c>
      <c r="B35" s="407"/>
      <c r="C35" s="407"/>
      <c r="D35" s="407"/>
      <c r="E35" s="407"/>
      <c r="F35" s="407"/>
      <c r="G35" s="407"/>
      <c r="H35" s="407"/>
      <c r="I35" s="407"/>
      <c r="J35" s="408"/>
    </row>
    <row r="36" spans="1:11" ht="15.6" customHeight="1" x14ac:dyDescent="0.25">
      <c r="A36" s="122" t="s">
        <v>68</v>
      </c>
      <c r="B36" s="101"/>
      <c r="C36" s="122" t="s">
        <v>195</v>
      </c>
      <c r="D36" s="48"/>
      <c r="E36" s="165" t="s">
        <v>226</v>
      </c>
      <c r="F36" s="166"/>
      <c r="G36" s="48"/>
      <c r="H36" s="404" t="s">
        <v>137</v>
      </c>
      <c r="I36" s="405"/>
      <c r="J36" s="101"/>
    </row>
    <row r="37" spans="1:11" ht="15.6" customHeight="1" x14ac:dyDescent="0.25">
      <c r="A37" s="122" t="s">
        <v>69</v>
      </c>
      <c r="B37" s="48"/>
      <c r="C37" s="122" t="s">
        <v>205</v>
      </c>
      <c r="D37" s="48"/>
      <c r="E37" s="413" t="s">
        <v>92</v>
      </c>
      <c r="F37" s="413"/>
      <c r="G37" s="48"/>
      <c r="H37" s="404" t="s">
        <v>138</v>
      </c>
      <c r="I37" s="405"/>
      <c r="J37" s="101"/>
    </row>
    <row r="38" spans="1:11" ht="15.75" x14ac:dyDescent="0.25">
      <c r="A38" s="122" t="s">
        <v>136</v>
      </c>
      <c r="B38" s="48"/>
      <c r="C38" s="122" t="s">
        <v>206</v>
      </c>
      <c r="D38" s="48"/>
      <c r="E38" s="413" t="s">
        <v>267</v>
      </c>
      <c r="F38" s="413"/>
      <c r="G38" s="48"/>
      <c r="H38" s="404" t="s">
        <v>139</v>
      </c>
      <c r="I38" s="405"/>
      <c r="J38" s="101"/>
    </row>
    <row r="39" spans="1:11" ht="15.75" x14ac:dyDescent="0.25">
      <c r="A39" s="106" t="s">
        <v>261</v>
      </c>
      <c r="B39" s="48"/>
      <c r="C39" s="122" t="s">
        <v>207</v>
      </c>
      <c r="D39" s="48"/>
      <c r="E39" s="225" t="s">
        <v>260</v>
      </c>
      <c r="F39" s="226"/>
      <c r="G39" s="48"/>
      <c r="H39" s="404" t="s">
        <v>140</v>
      </c>
      <c r="I39" s="405"/>
      <c r="J39" s="101"/>
    </row>
    <row r="40" spans="1:11" ht="7.9" customHeight="1" x14ac:dyDescent="0.25">
      <c r="A40" s="1"/>
      <c r="B40" s="4"/>
      <c r="C40" s="4"/>
      <c r="D40" s="4"/>
      <c r="E40" s="4"/>
      <c r="F40" s="4"/>
      <c r="G40" s="4"/>
      <c r="H40" s="12"/>
      <c r="I40" s="104"/>
      <c r="J40" s="12"/>
    </row>
    <row r="41" spans="1:11" ht="21" x14ac:dyDescent="0.35">
      <c r="A41" s="420" t="s">
        <v>311</v>
      </c>
      <c r="B41" s="420"/>
      <c r="C41" s="420"/>
      <c r="D41" s="420"/>
      <c r="E41" s="420"/>
      <c r="F41" s="420"/>
      <c r="G41" s="420" t="s">
        <v>14</v>
      </c>
      <c r="H41" s="420"/>
      <c r="I41" s="420"/>
      <c r="J41" s="420"/>
    </row>
    <row r="42" spans="1:11" ht="15.75" x14ac:dyDescent="0.25">
      <c r="A42" s="46" t="s">
        <v>1</v>
      </c>
      <c r="B42" s="46" t="s">
        <v>2</v>
      </c>
      <c r="C42" s="421" t="s">
        <v>3</v>
      </c>
      <c r="D42" s="422"/>
      <c r="E42" s="46" t="s">
        <v>12</v>
      </c>
      <c r="F42" s="45" t="s">
        <v>13</v>
      </c>
      <c r="G42" s="46" t="s">
        <v>15</v>
      </c>
      <c r="H42" s="46" t="s">
        <v>16</v>
      </c>
      <c r="I42" s="105" t="s">
        <v>16</v>
      </c>
      <c r="J42" s="46" t="s">
        <v>264</v>
      </c>
    </row>
    <row r="43" spans="1:11" ht="15.75" x14ac:dyDescent="0.25">
      <c r="A43" s="427" t="s">
        <v>51</v>
      </c>
      <c r="B43" s="427" t="s">
        <v>78</v>
      </c>
      <c r="C43" s="167" t="s">
        <v>162</v>
      </c>
      <c r="D43" s="169"/>
      <c r="E43" s="44"/>
      <c r="F43" s="28">
        <f>IF(G39="Yes","",(IF(G38="",0.8,(IF(AND(E43="",G38="Yes"),0.9,(IF(AND(E43="",G38="No"),0.8,IF(E43&gt;=80,0,IF(E43&lt;=40,1,IF(E43&gt;=68,ROUND(E43*'Reference Standards'!$B$4+'Reference Standards'!$B$5,2),ROUND(E43*'Reference Standards'!$C$4+'Reference Standards'!$C$5,2)))))))))))</f>
        <v>0.8</v>
      </c>
      <c r="G43" s="401">
        <f>IFERROR(AVERAGE(F43:F45),"")</f>
        <v>0.59666666666666668</v>
      </c>
      <c r="H43" s="401">
        <f>IFERROR(ROUND(AVERAGE(G43:G45),2),"")</f>
        <v>0.6</v>
      </c>
      <c r="I43" s="414" t="str">
        <f>IF(H43="","",IF(H43&gt;0.69,"Functioning",IF(H43&gt;0.29,"Functioning At Risk",IF(H43&gt;-1,"Not Functioning"))))</f>
        <v>Functioning At Risk</v>
      </c>
      <c r="J43" s="429">
        <f>IF(AND(H43="",H46="",H48="",H62="",H65=""),"",ROUND((IF(H43="",0,H43)*0.2)+(IF(H46="",0,H46)*0.2)+(IF(H48="",0,H48)*0.2)+(IF(H62="",0,H62)*0.2)+(IF(H65="",0,H65)*0.2),2))</f>
        <v>0.76</v>
      </c>
    </row>
    <row r="44" spans="1:11" ht="15.75" customHeight="1" x14ac:dyDescent="0.25">
      <c r="A44" s="428"/>
      <c r="B44" s="428"/>
      <c r="C44" s="168" t="s">
        <v>164</v>
      </c>
      <c r="D44" s="170"/>
      <c r="E44" s="49">
        <v>0.5</v>
      </c>
      <c r="F44" s="228">
        <f>IF(G39="No","",IF(E44="","",  IF(E44&gt;0.95,0,IF(E44&lt;=0.02,1,ROUND(IF(E44&gt;0.26,'Reference Standards'!$B$10*E44+'Reference Standards'!$B$11, IF(E44&lt;0.05, 'Reference Standards'!$D$10*E44+'Reference Standards'!$D$11, 'Reference Standards'!$C$10*E44+'Reference Standards'!$C$11)),2))) ))</f>
        <v>0.19</v>
      </c>
      <c r="G44" s="402"/>
      <c r="H44" s="402"/>
      <c r="I44" s="414"/>
      <c r="J44" s="429"/>
    </row>
    <row r="45" spans="1:11" ht="15.75" x14ac:dyDescent="0.25">
      <c r="A45" s="428"/>
      <c r="B45" s="442"/>
      <c r="C45" s="171" t="s">
        <v>166</v>
      </c>
      <c r="D45" s="172"/>
      <c r="E45" s="49"/>
      <c r="F45" s="227">
        <f>IF(G39="Yes","",(IF(G38="",0.8,(IF(AND(E45="",G38="Yes"),0.9,(IF(AND(E45="",G38="No"),0.8,IF(E45&gt;3.22,0,IF(E45&lt;0,"",ROUND('Reference Standards'!$B$15*E45+'Reference Standards'!$B$16,2))))))))))</f>
        <v>0.8</v>
      </c>
      <c r="G45" s="403"/>
      <c r="H45" s="403"/>
      <c r="I45" s="414"/>
      <c r="J45" s="429"/>
    </row>
    <row r="46" spans="1:11" ht="15.75" x14ac:dyDescent="0.25">
      <c r="A46" s="432" t="s">
        <v>4</v>
      </c>
      <c r="B46" s="434" t="s">
        <v>5</v>
      </c>
      <c r="C46" s="17" t="s">
        <v>6</v>
      </c>
      <c r="D46" s="17"/>
      <c r="E46" s="44"/>
      <c r="F46" s="96">
        <f>IF(G38="",0.8,(IF(AND(E46="",G38="Yes"),0.9,(IF(AND(E46="",G38="No"),0.8,ROUND(IF(E46&gt;1.6,0,IF(E46&lt;=1,1,E46^2*'Reference Standards'!$F$2+E46*'Reference Standards'!$F$3+'Reference Standards'!$F$4)),2))))))</f>
        <v>0.8</v>
      </c>
      <c r="G46" s="435">
        <f>IFERROR(AVERAGE(F46:F47),"")</f>
        <v>0.8</v>
      </c>
      <c r="H46" s="436">
        <f>IFERROR(ROUND(AVERAGE(G46),2),"")</f>
        <v>0.8</v>
      </c>
      <c r="I46" s="438" t="str">
        <f>IF(H46="","",IF(H46&gt;0.69,"Functioning",IF(H46&gt;0.29,"Functioning At Risk",IF(H46&gt;-1,"Not Functioning"))))</f>
        <v>Functioning</v>
      </c>
      <c r="J46" s="429"/>
    </row>
    <row r="47" spans="1:11" ht="15.75" x14ac:dyDescent="0.25">
      <c r="A47" s="433"/>
      <c r="B47" s="434"/>
      <c r="C47" s="17" t="s">
        <v>7</v>
      </c>
      <c r="D47" s="17"/>
      <c r="E47" s="50"/>
      <c r="F47" s="96">
        <f>IF(G38="",0.8,(IF(AND(E47="",G38="Yes"),0.9,(IF(AND(E47="",G38="No"),0.8,(IF(OR(B38="A",B38="B",B38="Bc",B38="Ba"),IF(E47&lt;1.2,0,IF(E47&gt;=2.2,1,ROUND(IF(E47&lt;1.4,E47*'Reference Standards'!$F$13+'Reference Standards'!$F$14,E47*'Reference Standards'!$G$13+'Reference Standards'!$G$14),2))),IF(OR(B38="C",B38="Cb",B38="E"),IF(E47&lt;2,0,IF(E47&gt;=5,1,ROUND(IF(E47&lt;2.4,E47*'Reference Standards'!$G$8+'Reference Standards'!$G$9,E47*'Reference Standards'!$F$8+'Reference Standards'!$F$9),2)))))))))))</f>
        <v>0.8</v>
      </c>
      <c r="G47" s="435"/>
      <c r="H47" s="437"/>
      <c r="I47" s="439"/>
      <c r="J47" s="429"/>
    </row>
    <row r="48" spans="1:11" ht="15.75" x14ac:dyDescent="0.25">
      <c r="A48" s="398" t="s">
        <v>21</v>
      </c>
      <c r="B48" s="440" t="s">
        <v>22</v>
      </c>
      <c r="C48" s="21" t="s">
        <v>103</v>
      </c>
      <c r="D48" s="69"/>
      <c r="E48" s="44"/>
      <c r="F48" s="229" t="str">
        <f>IF(E48="","",IF(E48&gt;=660,1,IF(E48&lt;=430,ROUND('Reference Standards'!$I$4*E48+'Reference Standards'!$I$5,2),ROUND('Reference Standards'!$J$4*E48+'Reference Standards'!$J$5,2))))</f>
        <v/>
      </c>
      <c r="G48" s="423">
        <f>IFERROR(AVERAGE(F48:F49),"")</f>
        <v>0.8</v>
      </c>
      <c r="H48" s="447">
        <f>IFERROR(ROUND(AVERAGE(G48:G61),2),"")</f>
        <v>0.8</v>
      </c>
      <c r="I48" s="449" t="str">
        <f>IF(H48="","",IF(H48&gt;0.69,"Functioning",IF(H48&gt;0.29,"Functioning At Risk",IF(H48&gt;-1,"Not Functioning"))))</f>
        <v>Functioning</v>
      </c>
      <c r="J48" s="429"/>
    </row>
    <row r="49" spans="1:10" ht="15.75" x14ac:dyDescent="0.25">
      <c r="A49" s="399"/>
      <c r="B49" s="441"/>
      <c r="C49" s="24" t="s">
        <v>99</v>
      </c>
      <c r="D49" s="70"/>
      <c r="E49" s="50"/>
      <c r="F49" s="98">
        <f>IF(ISNUMBER(E48),"",IF(G38="",0.8,(IF(AND(E49="",G38="Yes"),0.9,(IF(AND(E49="",G38="No"),0.8,IF(E49&gt;=28,1,ROUND(IF(E49&lt;=13,'Reference Standards'!$I$9*E49,'Reference Standards'!$J$9*E49+'Reference Standards'!$J$10),2))))))))</f>
        <v>0.8</v>
      </c>
      <c r="G49" s="426"/>
      <c r="H49" s="447"/>
      <c r="I49" s="449"/>
      <c r="J49" s="429"/>
    </row>
    <row r="50" spans="1:10" ht="15.75" x14ac:dyDescent="0.25">
      <c r="A50" s="399"/>
      <c r="B50" s="399" t="s">
        <v>126</v>
      </c>
      <c r="C50" s="19" t="s">
        <v>43</v>
      </c>
      <c r="D50" s="19"/>
      <c r="E50" s="49"/>
      <c r="F50" s="29">
        <f>IF(G38="",0.8,(IF(AND(E50="",G38="Yes"),0.9,(IF(AND(E50="",G38="No"),0.8,IF(OR(E50="Ex/Ex",E50="Ex/VH",E50="Ex/H",E50="Ex/M",E50="VH/Ex",E50="VH/VH", E50="H/Ex",E50="H/VH"),0, IF(OR(E50="M/Ex"),0.1,IF(OR(E50="VH/H",E50="VH/M",E50="H/H",E50="H/M", E50="M/VH"),0.2, IF(OR(E50="Ex/VL",E50="Ex/L", E50="M/H"),0.3, IF(OR(E50="VH/L",E50="H/L"),0.4, IF(OR(E50="VH/VL",E50="H/VL",E50="M/M"),0.5, IF(OR(E50="M/L",E50="L/Ex"),0.6, IF(OR(E50="M/VL",E50="L/VH", E50="L/H",E50="L/M",E50="L/L",E50="L/VL",LEFT(E50)="V"),1)))))))))))))</f>
        <v>0.8</v>
      </c>
      <c r="G50" s="423">
        <f>IFERROR(AVERAGE(F50:F52),"")</f>
        <v>0.80000000000000016</v>
      </c>
      <c r="H50" s="448"/>
      <c r="I50" s="449"/>
      <c r="J50" s="429"/>
    </row>
    <row r="51" spans="1:10" ht="15.75" x14ac:dyDescent="0.25">
      <c r="A51" s="399"/>
      <c r="B51" s="399"/>
      <c r="C51" s="20" t="s">
        <v>57</v>
      </c>
      <c r="D51" s="173"/>
      <c r="E51" s="243"/>
      <c r="F51" s="29">
        <f>IF(G38="",0.8,(IF(AND(E51="",G38="Yes"),0.9,(IF(AND(E51="",G38="No"),0.8,ROUND(IF(E51&gt;=75,0,IF(E51&lt;=5,1,IF(E51&gt;10,E51*'Reference Standards'!$I$14+'Reference Standards'!$I$15,'Reference Standards'!$J$14*E51+'Reference Standards'!$J$15))),2))))))</f>
        <v>0.8</v>
      </c>
      <c r="G51" s="424"/>
      <c r="H51" s="448"/>
      <c r="I51" s="449"/>
      <c r="J51" s="429"/>
    </row>
    <row r="52" spans="1:10" ht="15.75" x14ac:dyDescent="0.25">
      <c r="A52" s="399"/>
      <c r="B52" s="400"/>
      <c r="C52" s="20" t="s">
        <v>125</v>
      </c>
      <c r="D52" s="20"/>
      <c r="E52" s="50"/>
      <c r="F52" s="98">
        <f>IF(G38="",0.8,(IF(AND(E52="",G38="Yes"),0.9,(IF(AND(E52="",G38="No"),0.8,IF(E52&gt;=50,0,ROUND(E52*'Reference Standards'!$I$18+'Reference Standards'!$I$19,2)))))))</f>
        <v>0.8</v>
      </c>
      <c r="G52" s="426"/>
      <c r="H52" s="448"/>
      <c r="I52" s="449"/>
      <c r="J52" s="429"/>
    </row>
    <row r="53" spans="1:10" ht="15.75" x14ac:dyDescent="0.25">
      <c r="A53" s="399"/>
      <c r="B53" s="18" t="s">
        <v>70</v>
      </c>
      <c r="C53" s="26" t="s">
        <v>80</v>
      </c>
      <c r="D53" s="68"/>
      <c r="E53" s="50"/>
      <c r="F53" s="27" t="str">
        <f>IF(E53="","",IF(E53&gt;=50,0,ROUND(E53*'Reference Standards'!$I$22+'Reference Standards'!$I$23,2)))</f>
        <v/>
      </c>
      <c r="G53" s="27" t="str">
        <f>IFERROR(AVERAGE(F53),"")</f>
        <v/>
      </c>
      <c r="H53" s="448"/>
      <c r="I53" s="449"/>
      <c r="J53" s="429"/>
    </row>
    <row r="54" spans="1:10" ht="15.75" x14ac:dyDescent="0.25">
      <c r="A54" s="399"/>
      <c r="B54" s="398" t="s">
        <v>45</v>
      </c>
      <c r="C54" s="25" t="s">
        <v>46</v>
      </c>
      <c r="D54" s="25"/>
      <c r="E54" s="53"/>
      <c r="F54" s="230">
        <f>IF(G38="",0.8,(IF(AND(E54="",G38="Yes"),0.9,(IF(AND(E54="",G38="No"),0.8,ROUND( IF(OR(LEFT(B38)="C",B38="E"), IF(OR(E54&lt;=1,E54&gt;=9),0,IF(AND(E54&gt;=3.5,E54&lt;=6),1,IF(E54&lt;3.5, E54*'Reference Standards'!$I$37+'Reference Standards'!$I$38, E54*'Reference Standards'!$J$37+'Reference Standards'!$J$38))),   IF(OR(B38="A",(B38)="B", (B38)="Ba"), IF(E54&gt;=6.5,0, IF(E54&lt;=4, 1, E54^2*'Reference Standards'!$I$26+E54*'Reference Standards'!$I$27+'Reference Standards'!$I$28)), IF(B38="Bc",  IF(E54&gt;=8,0, IF(E54&lt;=5, 1, E54^2*'Reference Standards'!$I$31+E54*'Reference Standards'!$I$32+'Reference Standards'!$I$33))))),2))))))</f>
        <v>0.8</v>
      </c>
      <c r="G54" s="430">
        <f>IFERROR(AVERAGE(F54:F57),"")</f>
        <v>0.80000000000000016</v>
      </c>
      <c r="H54" s="448"/>
      <c r="I54" s="449"/>
      <c r="J54" s="429"/>
    </row>
    <row r="55" spans="1:10" ht="15.75" x14ac:dyDescent="0.25">
      <c r="A55" s="399"/>
      <c r="B55" s="399"/>
      <c r="C55" s="19" t="s">
        <v>47</v>
      </c>
      <c r="D55" s="19"/>
      <c r="E55" s="52"/>
      <c r="F55" s="29">
        <f>IF(G38="",0.8,(IF(AND(E55="",G38="Yes"),0.9,(IF(AND(E55="",G38="No"),0.8,ROUND(  IF(E55&lt;=1.1,0, IF(E55&gt;=3,1, IF(E55&lt;2, E55^2*'Reference Standards'!$I$42+  E55*'Reference Standards'!$I$43 + 'Reference Standards'!$I$44,      E55*'Reference Standards'!$J$43+'Reference Standards'!$J$44))),2))))))</f>
        <v>0.8</v>
      </c>
      <c r="G55" s="425"/>
      <c r="H55" s="448"/>
      <c r="I55" s="449"/>
      <c r="J55" s="429"/>
    </row>
    <row r="56" spans="1:10" ht="15.75" x14ac:dyDescent="0.25">
      <c r="A56" s="399"/>
      <c r="B56" s="399"/>
      <c r="C56" s="19" t="s">
        <v>104</v>
      </c>
      <c r="D56" s="19"/>
      <c r="E56" s="52"/>
      <c r="F56" s="245">
        <f>IF(G38="",0.8,(IF(AND(E56="",G38="Yes"),0.9,(IF(AND(E56="",G38="No"),0.8,IF(OR(B38="A",LEFT(B38,1)="B"),IF(OR(E56&lt;=20,E56&gt;=90),0,IF(AND(E56&gt;=50,E56&lt;=60),1,IF(E56&lt;50,E56*'Reference Standards'!$I$48+'Reference Standards'!$I$49,E56*'Reference Standards'!$J$48+'Reference Standards'!$J$49))),IF(OR(LEFT(B38)="C",B38="E"),IF(OR(E56&lt;=20,E56&gt;=85),0,IF(AND(E56&lt;=65,E56&gt;=45),1,IF(E56&lt;45,E56*'Reference Standards'!$I$53+'Reference Standards'!$I$54,E56*'Reference Standards'!$J$53+'Reference Standards'!$J$54))))))))))</f>
        <v>0.8</v>
      </c>
      <c r="G56" s="425"/>
      <c r="H56" s="448"/>
      <c r="I56" s="449"/>
      <c r="J56" s="429"/>
    </row>
    <row r="57" spans="1:10" ht="15.75" x14ac:dyDescent="0.25">
      <c r="A57" s="399"/>
      <c r="B57" s="400"/>
      <c r="C57" s="23" t="s">
        <v>88</v>
      </c>
      <c r="D57" s="19"/>
      <c r="E57" s="54"/>
      <c r="F57" s="246" t="str">
        <f>IF(E57="","",IF(E57&gt;=1.6,0,IF(E57&lt;=1,1,ROUND('Reference Standards'!$I$57*E57^3+'Reference Standards'!$I$58*E57^2+'Reference Standards'!$I$59*E57+'Reference Standards'!$I$60,2))))</f>
        <v/>
      </c>
      <c r="G57" s="431"/>
      <c r="H57" s="448"/>
      <c r="I57" s="449"/>
      <c r="J57" s="429"/>
    </row>
    <row r="58" spans="1:10" ht="15.75" x14ac:dyDescent="0.25">
      <c r="A58" s="399"/>
      <c r="B58" s="398" t="s">
        <v>44</v>
      </c>
      <c r="C58" s="21" t="s">
        <v>182</v>
      </c>
      <c r="D58" s="69"/>
      <c r="E58" s="22"/>
      <c r="F58" s="97">
        <f>IF(G38="",0.8,(IF(AND(E58="",G38="Yes"),0.9,(IF(AND(E58="",G38="No"),0.8,IF(G37="Unconfined Alluvial",IF(E58&gt;=100,1,IF(E58&lt;30,0,ROUND('Reference Standards'!$I$64*E58+'Reference Standards'!$I$65,2))),IF(OR(G37="Confined Alluvial",G37="Colluvial/V-Shaped"),(IF(E58&gt;=100,1,IF(E58&lt;60,0,ROUND('Reference Standards'!$J$64*E58+'Reference Standards'!$J$65,2)))))))))))</f>
        <v>0.8</v>
      </c>
      <c r="G58" s="423">
        <f>IFERROR(AVERAGE(F58:F61),"")</f>
        <v>0.80000000000000016</v>
      </c>
      <c r="H58" s="448"/>
      <c r="I58" s="449"/>
      <c r="J58" s="429"/>
    </row>
    <row r="59" spans="1:10" ht="15.75" x14ac:dyDescent="0.25">
      <c r="A59" s="399"/>
      <c r="B59" s="399"/>
      <c r="C59" s="23" t="s">
        <v>183</v>
      </c>
      <c r="D59" s="173"/>
      <c r="E59" s="244"/>
      <c r="F59" s="29">
        <f>IF(G38="",0.8,(IF(AND(E59="",G38="Yes"),0.9,(IF(AND(E59="",G38="No"),0.8,IF(B39="Yes",IF(E59&lt;=50,0,IF(E59&gt;=80,1,ROUND('Reference Standards'!$I$69*E59+'Reference Standards'!$I$70,2))),IF(B39="No",IF(E59&gt;=80,0,IF(E59&lt;=50,1,ROUND(E59*'Reference Standards'!$J$69+'Reference Standards'!$J$70,2))))))))))</f>
        <v>0.8</v>
      </c>
      <c r="G59" s="424"/>
      <c r="H59" s="448"/>
      <c r="I59" s="449"/>
      <c r="J59" s="429"/>
    </row>
    <row r="60" spans="1:10" ht="15.75" x14ac:dyDescent="0.25">
      <c r="A60" s="399"/>
      <c r="B60" s="399"/>
      <c r="C60" s="23" t="s">
        <v>184</v>
      </c>
      <c r="D60" s="173"/>
      <c r="E60" s="244"/>
      <c r="F60" s="29">
        <f>IF(G38="",0.8,(IF(AND(E60="",G38="Yes"),0.9,(IF(AND(E60="",G38="No"),0.8,IF(E60&lt;=50,0,IF(E60&gt;=80,1, ROUND(E60*'Reference Standards'!$I$73+'Reference Standards'!$I$74,2))))))))</f>
        <v>0.8</v>
      </c>
      <c r="G60" s="425"/>
      <c r="H60" s="448"/>
      <c r="I60" s="449"/>
      <c r="J60" s="429"/>
    </row>
    <row r="61" spans="1:10" ht="15.75" x14ac:dyDescent="0.25">
      <c r="A61" s="399"/>
      <c r="B61" s="400"/>
      <c r="C61" s="443" t="s">
        <v>277</v>
      </c>
      <c r="D61" s="444"/>
      <c r="E61" s="16"/>
      <c r="F61" s="98" t="str">
        <f>IF(OR(B39="",B39="No"),"",IF(AND(E61="",B39="Yes",G38="Yes"),0.9,IF(OR(G38="No",G38=""),0.8,IF(E61&lt;=9,0,IF(E61&gt;=14,1,ROUND('Reference Standards'!$I$77*E61+'Reference Standards'!$I$78,2))))))</f>
        <v/>
      </c>
      <c r="G61" s="426"/>
      <c r="H61" s="448"/>
      <c r="I61" s="449"/>
      <c r="J61" s="429"/>
    </row>
    <row r="62" spans="1:10" ht="15.75" x14ac:dyDescent="0.25">
      <c r="A62" s="409" t="s">
        <v>49</v>
      </c>
      <c r="B62" s="174" t="s">
        <v>169</v>
      </c>
      <c r="C62" s="175" t="s">
        <v>176</v>
      </c>
      <c r="D62" s="177"/>
      <c r="E62" s="101"/>
      <c r="F62" s="182">
        <f>IF(G38="",0.8,(IF(AND(E62="",G38="Yes"),0.9,IF(E62&gt;=25,0,IF(E62&lt;=10,1,ROUND(IF(E62&gt;18,'Reference Standards'!$L$4*E62+'Reference Standards'!$L$5,IF(E62&lt;12,'Reference Standards'!$N$4*E62+'Reference Standards'!$N$5,'Reference Standards'!$M$4*E62+'Reference Standards'!$M$5)),2))))))</f>
        <v>0.8</v>
      </c>
      <c r="G62" s="180">
        <f>IFERROR(AVERAGE(F62),"")</f>
        <v>0.8</v>
      </c>
      <c r="H62" s="411">
        <f>IFERROR(ROUND(AVERAGE(G62:G64),2),"")</f>
        <v>0.8</v>
      </c>
      <c r="I62" s="415" t="str">
        <f>IF(H62="","",IF(H62&gt;0.69,"Functioning",IF(H62&gt;0.29,"Functioning At Risk",IF(H62&gt;-1,"Not Functioning"))))</f>
        <v>Functioning</v>
      </c>
      <c r="J62" s="429"/>
    </row>
    <row r="63" spans="1:10" ht="15.75" x14ac:dyDescent="0.25">
      <c r="A63" s="410"/>
      <c r="B63" s="176" t="s">
        <v>170</v>
      </c>
      <c r="C63" s="175" t="s">
        <v>177</v>
      </c>
      <c r="D63" s="178"/>
      <c r="E63" s="49"/>
      <c r="F63" s="231">
        <f>IF(G38="",0.8,(IF(AND(E63="",G38="Yes"),0.9,IF(D36="2A",IF(E63&lt;=5.3,0,IF(E63&gt;=8.79,1,ROUND(E63*'Reference Standards'!$L$9+'Reference Standards'!$L$10,2))),IF(D36=7,IF(E63&lt;=0.8,0,IF(E63&gt;=1.25,1,ROUND(E63*'Reference Standards'!$N$9+'Reference Standards'!$N$10,2))),IF(OR(D36="2B", D36="2Bd",D36="2C"),IF(E63&lt;=3.8,0,(IF(E63&gt;=6.3,1,ROUND(E63*'Reference Standards'!$M$9+'Reference Standards'!$M$10,2))))))))))</f>
        <v>0.8</v>
      </c>
      <c r="G63" s="181">
        <f>IFERROR(AVERAGE(F63),"")</f>
        <v>0.8</v>
      </c>
      <c r="H63" s="412"/>
      <c r="I63" s="416"/>
      <c r="J63" s="429"/>
    </row>
    <row r="64" spans="1:10" ht="15.75" x14ac:dyDescent="0.25">
      <c r="A64" s="410"/>
      <c r="B64" s="174" t="s">
        <v>172</v>
      </c>
      <c r="C64" s="175" t="s">
        <v>178</v>
      </c>
      <c r="D64" s="179"/>
      <c r="E64" s="101"/>
      <c r="F64" s="182">
        <f>IF(G38="",0.8,(IF(AND(E64="",G38="Yes"),0.9,IF(D36="2A",IF(E64&gt;=12.5,0,IF(E64&lt;=7.5,1,ROUND(E64*'Reference Standards'!$L$15+'Reference Standards'!$L$16,2))),IF(OR(D36="2B",D36="2Bd",D36="2C"),IF(D37="North",IF(E64&gt;=18.8,0,IF(E64&lt;=11.3,1,ROUND(E64*'Reference Standards'!$M$15+'Reference Standards'!$M$16,2))),IF(D37="Central",(IF(E64&gt;=37.5,0,IF(E64&lt;=22.5,1,ROUND(E64*'Reference Standards'!$N$15+'Reference Standards'!$N$16,2)))),IF(E64&gt;=81.2,0,(IF(E64&lt;=48.7,1,ROUND(E64*'Reference Standards'!$O$15+'Reference Standards'!$O$16,2)))))))))))</f>
        <v>0.8</v>
      </c>
      <c r="G64" s="182">
        <f>IFERROR(AVERAGE(F64),"")</f>
        <v>0.8</v>
      </c>
      <c r="H64" s="412"/>
      <c r="I64" s="416"/>
      <c r="J64" s="429"/>
    </row>
    <row r="65" spans="1:11" ht="15.75" x14ac:dyDescent="0.25">
      <c r="A65" s="445" t="s">
        <v>50</v>
      </c>
      <c r="B65" s="236" t="s">
        <v>105</v>
      </c>
      <c r="C65" s="40" t="s">
        <v>179</v>
      </c>
      <c r="D65" s="41"/>
      <c r="E65" s="44"/>
      <c r="F65" s="99">
        <f>IF(G38="",0.8,(IF(AND(E64="",G38="Yes"),0.9,IF(D39="Northern Forest Rivers",IF(E65&lt;=38.2,0,IF(E65&gt;=77,1,ROUND(IF(E65&lt;49, 'Reference Standards'!$Q$5*E65+'Reference Standards'!$Q$6, IF(E65&lt;59.8, 'Reference Standards'!$R$5*E65+'Reference Standards'!$R$6, 'Reference Standards'!$S$5*E65+'Reference Standards'!$S$6)),2))),   IF(D39="Northern Forest Streams Riffle-run",IF(E65&lt;40.4,0,IF(E65&gt;=82,1,ROUND(IF(E65&lt;53, 'Reference Standards'!$T$5*E65+'Reference Standards'!$T$6, IF(E65&lt;59.8, 'Reference Standards'!$U$5*E65+'Reference Standards'!$U$6, 'Reference Standards'!$V$5*E65+'Reference Standards'!$V$6) ),2))), IF(D39="Northern Forest Streams Glide-pool",IF(E65&lt;=37,0,IF(E65&gt;=76,1,ROUND(IF(E65&lt;51, 'Reference Standards'!$W$5*E65+'Reference Standards'!$W$6, IF(E65&lt;65.6, 'Reference Standards'!$X$5*E65+'Reference Standards'!$X$6, 'Reference Standards'!$Y$5*E65+'Reference Standards'!$Y$6) ),2))), IF(D39="Northern Coldwater",IF(E65&lt;19.6,0,IF(E65&gt;=52,1,ROUND(IF(E65&lt;32, 'Reference Standards'!$Z$5*E65+'Reference Standards'!$Z$6, IF(E65&lt;44.4,'Reference Standards'!$AA$5*E65+'Reference Standards'!$AA$6, 'Reference Standards'!$AB$5*E65+'Reference Standards'!$AB$6) ),2))), IF(D39="Southern Forest Streams Riffle-run", IF(E65&lt;24,0,IF(E65&gt;=62,1,ROUND(IF(E65&lt;37, 'Reference Standards'!$Q$11*E65+'Reference Standards'!$Q$12, IF(E65&lt;49.6,'Reference Standards'!$R$11*E65+'Reference Standards'!$R$12,'Reference Standards'!$S$11*E65+'Reference Standards'!$S$12)),2))), IF(D39="Southern Forest Streams Glide-pool", IF(E65&lt;29.4,0,IF(E65&gt;=65,1,ROUND(IF(E65&lt;43,'Reference Standards'!$T$11*E65+'Reference Standards'!$T$12, IF(E65&lt;56.6, 'Reference Standards'!$U$11*E65+'Reference Standards'!$U$12,'Reference Standards'!$V$11*E65+'Reference Standards'!$V$12)),2))), IF(D39="Southern Coldwater", IF(E65&lt;29.2,0,IF(E65&gt;=72,1,ROUND(IF(E65&lt;43, 'Reference Standards'!$W$11*E65+'Reference Standards'!$W$12, IF(E65&lt;56.8,'Reference Standards'!$X$11*E65+'Reference Standards'!$X$12, 'Reference Standards'!$Y$11*E65+'Reference Standards'!$Y$12)),2))), IF(D39="Prairie Forest Rivers", IF(E65&lt;20.2,0,IF(E65&gt;=62,1,ROUND(IF(E65&lt;31,'Reference Standards'!$Q$17*E65+'Reference Standards'!$Q$18, IF(E65&lt;41.8,'Reference Standards'!$R$17*E65+'Reference Standards'!$R$18,'Reference Standards'!$S$17*E65+'Reference Standards'!$S$18)),2))), IF(D39="Prairie Streams Glide-Pool", IF(E65&lt;27.4,0,IF(E65&gt;=69,1,ROUND(IF(E65&lt;41,'Reference Standards'!$T$17*E65+'Reference Standards'!$T$18, IF(E65&lt;54.6,'Reference Standards'!$U$17*E65+'Reference Standards'!$U$18, 'Reference Standards'!$V$17*E65+'Reference Standards'!$V$18)),2))) ))))))))))))</f>
        <v>0.8</v>
      </c>
      <c r="G65" s="237">
        <f>IFERROR(AVERAGE(F65),"")</f>
        <v>0.8</v>
      </c>
      <c r="H65" s="450">
        <f>IFERROR(ROUND(AVERAGE(G65:G66),2),"")</f>
        <v>0.8</v>
      </c>
      <c r="I65" s="414" t="str">
        <f>IF(H65="","",IF(H65&gt;0.69,"Functioning",IF(H65&gt;0.29,"Functioning At Risk",IF(H65&gt;-1,"Not Functioning"))))</f>
        <v>Functioning</v>
      </c>
      <c r="J65" s="429"/>
    </row>
    <row r="66" spans="1:11" ht="15.75" x14ac:dyDescent="0.25">
      <c r="A66" s="446"/>
      <c r="B66" s="238" t="s">
        <v>54</v>
      </c>
      <c r="C66" s="183" t="s">
        <v>180</v>
      </c>
      <c r="D66" s="184"/>
      <c r="E66" s="101"/>
      <c r="F66" s="99">
        <f>IF(G38="",0.8,(IF(AND(E66="",G38="Yes"),0.9,IF(G36="Northern Rivers",IF(E66&lt;29,0,IF(E66&gt;=66,1,ROUND(IF(E66&lt;38, 'Reference Standards'!$Q$23*E66+'Reference Standards'!$Q$24, IF(E66&lt;47, 'Reference Standards'!$R$23*E66+'Reference Standards'!$R$24, 'Reference Standards'!$S$23*E66+'Reference Standards'!$S$24)),2))),   IF(G36="Northern Streams",IF(E66&lt;35,0,IF(E66&gt;=61,1,ROUND(IF(E66&lt;47, 'Reference Standards'!$T$23*E66+'Reference Standards'!$T$24, IF(E66&lt;56, 'Reference Standards'!$U$23*E66+'Reference Standards'!$U$24, 'Reference Standards'!$V$23*E66+'Reference Standards'!$V$24) ),2))), IF(G36="Northern Headwaters",IF(E66&lt;23,0,IF(E66&gt;=68,1,ROUND(IF(E66&lt;42, 'Reference Standards'!$W$23*E66+'Reference Standards'!$W$24, IF(E66&lt;56, 'Reference Standards'!$X$23*E66+'Reference Standards'!$X$24, 'Reference Standards'!$Y$23*E66+'Reference Standards'!$Y$24) ),2))), IF(G36="Northern Coldwater",IF(E66&lt;25,0,IF(E66&gt;=60,1,ROUND(IF(E66&lt;35, 'Reference Standards'!$Z$23*E66+'Reference Standards'!$Z$24, IF(E66&lt;45, 'Reference Standards'!$AA$23*E66+'Reference Standards'!$AA$24, 'Reference Standards'!$AB$23*E66+'Reference Standards'!$AB$24) ),2))), IF(G36="Southern River", IF(E66&lt;38,0,IF(E66&gt;=71,1,ROUND(IF(E66&lt;49, 'Reference Standards'!$Q$29*E66+'Reference Standards'!$Q$30, IF(E66&lt;60,'Reference Standards'!$R$29*E66+'Reference Standards'!$R$30, 'Reference Standards'!$S$29*E66+'Reference Standards'!$S$30)),2))), IF(G36="Southern Streams", IF(E66&lt;35,0,IF(E66&gt;=66,1,ROUND(IF(E66&lt;50,'Reference Standards'!$T$29*E66+'Reference Standards'!$T$30, IF(E66&lt;59, 'Reference Standards'!$U$29*E66+'Reference Standards'!$U$30, 'Reference Standards'!$V$29*E66+'Reference Standards'!$V$30)),2))), IF(G36="Southern Headwaters", IF(E66&lt;33,0,IF(E66&gt;=74,1,ROUND(IF(E66&lt;55, 'Reference Standards'!$W$29*E66+'Reference Standards'!$W$30, IF(E66&lt;62, 'Reference Standards'!$X$29*E66+'Reference Standards'!$X$30, 'Reference Standards'!$Y$29*E66+'Reference Standards'!$Y$30)),2))), IF(G36="Southern Coldwater", IF(E66&lt;37,0,IF(E66&gt;=82,1,ROUND(IF(E66&lt;50, 'Reference Standards'!$Z$29*E66+'Reference Standards'!$Z$30, IF(E66&lt;63,'Reference Standards'!$AA$29*E66+'Reference Standards'!$AA$30,'Reference Standards'!$AB$29*E66+'Reference Standards'!$AB$30)),2))), IF(G36="Low Gradient", IF(E66&lt;15,0,IF(E66&gt;=70,1,ROUND(IF(E66&lt;42, 'Reference Standards'!$Q$34*E66+'Reference Standards'!$Q$35, IF(E66&lt;52, 'Reference Standards'!$R$34*E66+'Reference Standards'!$R$35, 'Reference Standards'!$S$34*E66+'Reference Standards'!$S$35)),2))) ))))))))))))</f>
        <v>0.8</v>
      </c>
      <c r="G66" s="237">
        <f>IFERROR(AVERAGE(F66),"")</f>
        <v>0.8</v>
      </c>
      <c r="H66" s="450"/>
      <c r="I66" s="414"/>
      <c r="J66" s="429"/>
    </row>
    <row r="67" spans="1:11" ht="6.6" customHeight="1" x14ac:dyDescent="0.25">
      <c r="J67" s="4"/>
      <c r="K67" s="11"/>
    </row>
    <row r="68" spans="1:11" ht="6.6" customHeight="1" x14ac:dyDescent="0.25">
      <c r="K68" s="11"/>
    </row>
    <row r="69" spans="1:11" ht="21" customHeight="1" x14ac:dyDescent="0.25">
      <c r="A69" s="406" t="s">
        <v>310</v>
      </c>
      <c r="B69" s="407"/>
      <c r="C69" s="407"/>
      <c r="D69" s="407"/>
      <c r="E69" s="407"/>
      <c r="F69" s="407"/>
      <c r="G69" s="407"/>
      <c r="H69" s="407"/>
      <c r="I69" s="407"/>
      <c r="J69" s="408"/>
    </row>
    <row r="70" spans="1:11" ht="15.6" customHeight="1" x14ac:dyDescent="0.25">
      <c r="A70" s="122" t="s">
        <v>68</v>
      </c>
      <c r="B70" s="101"/>
      <c r="C70" s="122" t="s">
        <v>195</v>
      </c>
      <c r="D70" s="48"/>
      <c r="E70" s="165" t="s">
        <v>226</v>
      </c>
      <c r="F70" s="166"/>
      <c r="G70" s="48"/>
      <c r="H70" s="404" t="s">
        <v>137</v>
      </c>
      <c r="I70" s="405"/>
      <c r="J70" s="101"/>
    </row>
    <row r="71" spans="1:11" ht="15.6" customHeight="1" x14ac:dyDescent="0.25">
      <c r="A71" s="122" t="s">
        <v>69</v>
      </c>
      <c r="B71" s="48"/>
      <c r="C71" s="122" t="s">
        <v>205</v>
      </c>
      <c r="D71" s="48"/>
      <c r="E71" s="413" t="s">
        <v>92</v>
      </c>
      <c r="F71" s="413"/>
      <c r="G71" s="48"/>
      <c r="H71" s="404" t="s">
        <v>138</v>
      </c>
      <c r="I71" s="405"/>
      <c r="J71" s="101"/>
    </row>
    <row r="72" spans="1:11" ht="15.6" customHeight="1" x14ac:dyDescent="0.25">
      <c r="A72" s="122" t="s">
        <v>136</v>
      </c>
      <c r="B72" s="48"/>
      <c r="C72" s="122" t="s">
        <v>206</v>
      </c>
      <c r="D72" s="48"/>
      <c r="E72" s="413" t="s">
        <v>267</v>
      </c>
      <c r="F72" s="413"/>
      <c r="G72" s="48"/>
      <c r="H72" s="404" t="s">
        <v>139</v>
      </c>
      <c r="I72" s="405"/>
      <c r="J72" s="101"/>
    </row>
    <row r="73" spans="1:11" ht="15.6" customHeight="1" x14ac:dyDescent="0.25">
      <c r="A73" s="106" t="s">
        <v>261</v>
      </c>
      <c r="B73" s="48"/>
      <c r="C73" s="122" t="s">
        <v>207</v>
      </c>
      <c r="D73" s="48"/>
      <c r="E73" s="225" t="s">
        <v>260</v>
      </c>
      <c r="F73" s="226"/>
      <c r="G73" s="48"/>
      <c r="H73" s="404" t="s">
        <v>140</v>
      </c>
      <c r="I73" s="405"/>
      <c r="J73" s="101"/>
    </row>
    <row r="74" spans="1:11" ht="9.6" customHeight="1" x14ac:dyDescent="0.25">
      <c r="A74" s="1"/>
      <c r="B74" s="4"/>
      <c r="C74" s="4"/>
      <c r="D74" s="4"/>
      <c r="E74" s="4"/>
      <c r="F74" s="4"/>
      <c r="G74" s="4"/>
      <c r="H74" s="12"/>
      <c r="I74" s="104"/>
      <c r="J74" s="12"/>
    </row>
    <row r="75" spans="1:11" ht="21" x14ac:dyDescent="0.35">
      <c r="A75" s="420" t="s">
        <v>311</v>
      </c>
      <c r="B75" s="420"/>
      <c r="C75" s="420"/>
      <c r="D75" s="420"/>
      <c r="E75" s="420"/>
      <c r="F75" s="420"/>
      <c r="G75" s="420" t="s">
        <v>14</v>
      </c>
      <c r="H75" s="420"/>
      <c r="I75" s="420"/>
      <c r="J75" s="420"/>
    </row>
    <row r="76" spans="1:11" ht="15.75" x14ac:dyDescent="0.25">
      <c r="A76" s="46" t="s">
        <v>1</v>
      </c>
      <c r="B76" s="46" t="s">
        <v>2</v>
      </c>
      <c r="C76" s="421" t="s">
        <v>3</v>
      </c>
      <c r="D76" s="422"/>
      <c r="E76" s="46" t="s">
        <v>12</v>
      </c>
      <c r="F76" s="45" t="s">
        <v>13</v>
      </c>
      <c r="G76" s="46" t="s">
        <v>15</v>
      </c>
      <c r="H76" s="46" t="s">
        <v>16</v>
      </c>
      <c r="I76" s="105" t="s">
        <v>16</v>
      </c>
      <c r="J76" s="46" t="s">
        <v>264</v>
      </c>
    </row>
    <row r="77" spans="1:11" ht="15.75" customHeight="1" x14ac:dyDescent="0.25">
      <c r="A77" s="427" t="s">
        <v>51</v>
      </c>
      <c r="B77" s="427" t="s">
        <v>78</v>
      </c>
      <c r="C77" s="167" t="s">
        <v>162</v>
      </c>
      <c r="D77" s="169"/>
      <c r="E77" s="44"/>
      <c r="F77" s="28">
        <f>IF(G73="Yes","",(IF(G72="",0.8,(IF(AND(E77="",G72="Yes"),0.9,(IF(AND(E77="",G72="No"),0.8,IF(E77&gt;=80,0,IF(E77&lt;=40,1,IF(E77&gt;=68,ROUND(E77*'Reference Standards'!$B$4+'Reference Standards'!$B$5,2),ROUND(E77*'Reference Standards'!$C$4+'Reference Standards'!$C$5,2)))))))))))</f>
        <v>0.8</v>
      </c>
      <c r="G77" s="401">
        <f>IFERROR(AVERAGE(F77:F79),"")</f>
        <v>0.8</v>
      </c>
      <c r="H77" s="401">
        <f>IFERROR(ROUND(AVERAGE(G77:G79),2),"")</f>
        <v>0.8</v>
      </c>
      <c r="I77" s="414" t="str">
        <f>IF(H77="","",IF(H77&gt;0.69,"Functioning",IF(H77&gt;0.29,"Functioning At Risk",IF(H77&gt;-1,"Not Functioning"))))</f>
        <v>Functioning</v>
      </c>
      <c r="J77" s="429">
        <f>IF(AND(H77="",H80="",H82="",H96="",H99=""),"",ROUND((IF(H77="",0,H77)*0.2)+(IF(H80="",0,H80)*0.2)+(IF(H82="",0,H82)*0.2)+(IF(H96="",0,H96)*0.2)+(IF(H99="",0,H99)*0.2),2))</f>
        <v>0.8</v>
      </c>
    </row>
    <row r="78" spans="1:11" ht="15.75" customHeight="1" x14ac:dyDescent="0.25">
      <c r="A78" s="428"/>
      <c r="B78" s="428"/>
      <c r="C78" s="168" t="s">
        <v>164</v>
      </c>
      <c r="D78" s="170"/>
      <c r="E78" s="49"/>
      <c r="F78" s="228" t="str">
        <f>IF(G73="No","",IF(E78="","",  IF(E78&gt;0.95,0,IF(E78&lt;=0.02,1,ROUND(IF(E78&gt;0.26,'Reference Standards'!$B$10*E78+'Reference Standards'!$B$11, IF(E78&lt;0.05, 'Reference Standards'!$D$10*E78+'Reference Standards'!$D$11, 'Reference Standards'!$C$10*E78+'Reference Standards'!$C$11)),2))) ))</f>
        <v/>
      </c>
      <c r="G78" s="402"/>
      <c r="H78" s="402"/>
      <c r="I78" s="414"/>
      <c r="J78" s="429"/>
    </row>
    <row r="79" spans="1:11" ht="15.75" x14ac:dyDescent="0.25">
      <c r="A79" s="428"/>
      <c r="B79" s="442"/>
      <c r="C79" s="171" t="s">
        <v>166</v>
      </c>
      <c r="D79" s="172"/>
      <c r="E79" s="49"/>
      <c r="F79" s="227">
        <f>IF(G73="Yes","",(IF(G72="",0.8,(IF(AND(E79="",G72="Yes"),0.9,(IF(AND(E79="",G72="No"),0.8,IF(E79&gt;3.22,0,IF(E79&lt;0,"",ROUND('Reference Standards'!$B$15*E79+'Reference Standards'!$B$16,2))))))))))</f>
        <v>0.8</v>
      </c>
      <c r="G79" s="403"/>
      <c r="H79" s="403"/>
      <c r="I79" s="414"/>
      <c r="J79" s="429"/>
    </row>
    <row r="80" spans="1:11" ht="15.75" x14ac:dyDescent="0.25">
      <c r="A80" s="432" t="s">
        <v>4</v>
      </c>
      <c r="B80" s="434" t="s">
        <v>5</v>
      </c>
      <c r="C80" s="17" t="s">
        <v>6</v>
      </c>
      <c r="D80" s="17"/>
      <c r="E80" s="44"/>
      <c r="F80" s="96">
        <f>IF(G72="",0.8,(IF(AND(E80="",G72="Yes"),0.9,(IF(AND(E80="",G72="No"),0.8,ROUND(IF(E80&gt;1.6,0,IF(E80&lt;=1,1,E80^2*'Reference Standards'!$F$2+E80*'Reference Standards'!$F$3+'Reference Standards'!$F$4)),2))))))</f>
        <v>0.8</v>
      </c>
      <c r="G80" s="435">
        <f>IFERROR(AVERAGE(F80:F81),"")</f>
        <v>0.8</v>
      </c>
      <c r="H80" s="436">
        <f>IFERROR(ROUND(AVERAGE(G80),2),"")</f>
        <v>0.8</v>
      </c>
      <c r="I80" s="438" t="str">
        <f>IF(H80="","",IF(H80&gt;0.69,"Functioning",IF(H80&gt;0.29,"Functioning At Risk",IF(H80&gt;-1,"Not Functioning"))))</f>
        <v>Functioning</v>
      </c>
      <c r="J80" s="429"/>
    </row>
    <row r="81" spans="1:10" ht="15.75" x14ac:dyDescent="0.25">
      <c r="A81" s="433"/>
      <c r="B81" s="434"/>
      <c r="C81" s="17" t="s">
        <v>7</v>
      </c>
      <c r="D81" s="17"/>
      <c r="E81" s="50"/>
      <c r="F81" s="96">
        <f>IF(G72="",0.8,(IF(AND(E81="",G72="Yes"),0.9,(IF(AND(E81="",G72="No"),0.8,(IF(OR(B72="A",B72="B",B72="Bc",B72="Ba"),IF(E81&lt;1.2,0,IF(E81&gt;=2.2,1,ROUND(IF(E81&lt;1.4,E81*'Reference Standards'!$F$13+'Reference Standards'!$F$14,E81*'Reference Standards'!$G$13+'Reference Standards'!$G$14),2))),IF(OR(B72="C",B72="Cb",B72="E"),IF(E81&lt;2,0,IF(E81&gt;=5,1,ROUND(IF(E81&lt;2.4,E81*'Reference Standards'!$G$8+'Reference Standards'!$G$9,E81*'Reference Standards'!$F$8+'Reference Standards'!$F$9),2)))))))))))</f>
        <v>0.8</v>
      </c>
      <c r="G81" s="435"/>
      <c r="H81" s="437"/>
      <c r="I81" s="439"/>
      <c r="J81" s="429"/>
    </row>
    <row r="82" spans="1:10" ht="15.75" x14ac:dyDescent="0.25">
      <c r="A82" s="398" t="s">
        <v>21</v>
      </c>
      <c r="B82" s="440" t="s">
        <v>22</v>
      </c>
      <c r="C82" s="21" t="s">
        <v>103</v>
      </c>
      <c r="D82" s="69"/>
      <c r="E82" s="44"/>
      <c r="F82" s="229" t="str">
        <f>IF(E82="","",IF(E82&gt;=660,1,IF(E82&lt;=430,ROUND('Reference Standards'!$I$4*E82+'Reference Standards'!$I$5,2),ROUND('Reference Standards'!$J$4*E82+'Reference Standards'!$J$5,2))))</f>
        <v/>
      </c>
      <c r="G82" s="423">
        <f>IFERROR(AVERAGE(F82:F83),"")</f>
        <v>0.8</v>
      </c>
      <c r="H82" s="447">
        <f>IFERROR(ROUND(AVERAGE(G82:G95),2),"")</f>
        <v>0.8</v>
      </c>
      <c r="I82" s="449" t="str">
        <f>IF(H82="","",IF(H82&gt;0.69,"Functioning",IF(H82&gt;0.29,"Functioning At Risk",IF(H82&gt;-1,"Not Functioning"))))</f>
        <v>Functioning</v>
      </c>
      <c r="J82" s="429"/>
    </row>
    <row r="83" spans="1:10" ht="15.75" x14ac:dyDescent="0.25">
      <c r="A83" s="399"/>
      <c r="B83" s="441"/>
      <c r="C83" s="24" t="s">
        <v>99</v>
      </c>
      <c r="D83" s="70"/>
      <c r="E83" s="50"/>
      <c r="F83" s="98">
        <f>IF(ISNUMBER(E82),"",IF(G72="",0.8,(IF(AND(E83="",G72="Yes"),0.9,(IF(AND(E83="",G72="No"),0.8,IF(E83&gt;=28,1,ROUND(IF(E83&lt;=13,'Reference Standards'!$I$9*E83,'Reference Standards'!$J$9*E83+'Reference Standards'!$J$10),2))))))))</f>
        <v>0.8</v>
      </c>
      <c r="G83" s="426"/>
      <c r="H83" s="447"/>
      <c r="I83" s="449"/>
      <c r="J83" s="429"/>
    </row>
    <row r="84" spans="1:10" ht="15.75" x14ac:dyDescent="0.25">
      <c r="A84" s="399"/>
      <c r="B84" s="399" t="s">
        <v>126</v>
      </c>
      <c r="C84" s="19" t="s">
        <v>43</v>
      </c>
      <c r="D84" s="19"/>
      <c r="E84" s="49"/>
      <c r="F84" s="29">
        <f>IF(G72="",0.8,(IF(AND(E84="",G72="Yes"),0.9,(IF(AND(E84="",G72="No"),0.8,IF(OR(E84="Ex/Ex",E84="Ex/VH",E84="Ex/H",E84="Ex/M",E84="VH/Ex",E84="VH/VH", E84="H/Ex",E84="H/VH"),0, IF(OR(E84="M/Ex"),0.1,IF(OR(E84="VH/H",E84="VH/M",E84="H/H",E84="H/M", E84="M/VH"),0.2, IF(OR(E84="Ex/VL",E84="Ex/L", E84="M/H"),0.3, IF(OR(E84="VH/L",E84="H/L"),0.4, IF(OR(E84="VH/VL",E84="H/VL",E84="M/M"),0.5, IF(OR(E84="M/L",E84="L/Ex"),0.6, IF(OR(E84="M/VL",E84="L/VH", E84="L/H",E84="L/M",E84="L/L",E84="L/VL",LEFT(E84)="V"),1)))))))))))))</f>
        <v>0.8</v>
      </c>
      <c r="G84" s="423">
        <f>IFERROR(AVERAGE(F84:F86),"")</f>
        <v>0.80000000000000016</v>
      </c>
      <c r="H84" s="448"/>
      <c r="I84" s="449"/>
      <c r="J84" s="429"/>
    </row>
    <row r="85" spans="1:10" ht="15.75" x14ac:dyDescent="0.25">
      <c r="A85" s="399"/>
      <c r="B85" s="399"/>
      <c r="C85" s="20" t="s">
        <v>57</v>
      </c>
      <c r="D85" s="173"/>
      <c r="E85" s="243"/>
      <c r="F85" s="29">
        <f>IF(G72="",0.8,(IF(AND(E85="",G72="Yes"),0.9,(IF(AND(E85="",G72="No"),0.8,ROUND(IF(E85&gt;=75,0,IF(E85&lt;=5,1,IF(E85&gt;10,E85*'Reference Standards'!$I$14+'Reference Standards'!$I$15,'Reference Standards'!$J$14*E85+'Reference Standards'!$J$15))),2))))))</f>
        <v>0.8</v>
      </c>
      <c r="G85" s="424"/>
      <c r="H85" s="448"/>
      <c r="I85" s="449"/>
      <c r="J85" s="429"/>
    </row>
    <row r="86" spans="1:10" ht="15.75" x14ac:dyDescent="0.25">
      <c r="A86" s="399"/>
      <c r="B86" s="400"/>
      <c r="C86" s="20" t="s">
        <v>125</v>
      </c>
      <c r="D86" s="20"/>
      <c r="E86" s="50"/>
      <c r="F86" s="98">
        <f>IF(G72="",0.8,(IF(AND(E86="",G72="Yes"),0.9,(IF(AND(E86="",G72="No"),0.8,IF(E86&gt;=50,0,ROUND(E86*'Reference Standards'!$I$18+'Reference Standards'!$I$19,2)))))))</f>
        <v>0.8</v>
      </c>
      <c r="G86" s="426"/>
      <c r="H86" s="448"/>
      <c r="I86" s="449"/>
      <c r="J86" s="429"/>
    </row>
    <row r="87" spans="1:10" ht="15.75" x14ac:dyDescent="0.25">
      <c r="A87" s="399"/>
      <c r="B87" s="18" t="s">
        <v>70</v>
      </c>
      <c r="C87" s="26" t="s">
        <v>80</v>
      </c>
      <c r="D87" s="68"/>
      <c r="E87" s="50"/>
      <c r="F87" s="27" t="str">
        <f>IF(E87="","",IF(E87&gt;=50,0,ROUND(E87*'Reference Standards'!$I$22+'Reference Standards'!$I$23,2)))</f>
        <v/>
      </c>
      <c r="G87" s="27" t="str">
        <f>IFERROR(AVERAGE(F87),"")</f>
        <v/>
      </c>
      <c r="H87" s="448"/>
      <c r="I87" s="449"/>
      <c r="J87" s="429"/>
    </row>
    <row r="88" spans="1:10" ht="15.75" x14ac:dyDescent="0.25">
      <c r="A88" s="399"/>
      <c r="B88" s="398" t="s">
        <v>45</v>
      </c>
      <c r="C88" s="25" t="s">
        <v>46</v>
      </c>
      <c r="D88" s="25"/>
      <c r="E88" s="53"/>
      <c r="F88" s="230">
        <f>IF(G72="",0.8,(IF(AND(E88="",G72="Yes"),0.9,(IF(AND(E88="",G72="No"),0.8,ROUND( IF(OR(LEFT(B72)="C",B72="E"), IF(OR(E88&lt;=1,E88&gt;=9),0,IF(AND(E88&gt;=3.5,E88&lt;=6),1,IF(E88&lt;3.5, E88*'Reference Standards'!$I$37+'Reference Standards'!$I$38, E88*'Reference Standards'!$J$37+'Reference Standards'!$J$38))),   IF(OR(B72="A",(B72)="B", (B72)="Ba"), IF(E88&gt;=6.5,0, IF(E88&lt;=4, 1, E88^2*'Reference Standards'!$I$26+E88*'Reference Standards'!$I$27+'Reference Standards'!$I$28)), IF(B72="Bc",  IF(E88&gt;=8,0, IF(E88&lt;=5, 1, E88^2*'Reference Standards'!$I$31+E88*'Reference Standards'!$I$32+'Reference Standards'!$I$33))))),2))))))</f>
        <v>0.8</v>
      </c>
      <c r="G88" s="430">
        <f>IFERROR(AVERAGE(F88:F91),"")</f>
        <v>0.80000000000000016</v>
      </c>
      <c r="H88" s="448"/>
      <c r="I88" s="449"/>
      <c r="J88" s="429"/>
    </row>
    <row r="89" spans="1:10" ht="15.75" x14ac:dyDescent="0.25">
      <c r="A89" s="399"/>
      <c r="B89" s="399"/>
      <c r="C89" s="19" t="s">
        <v>47</v>
      </c>
      <c r="D89" s="19"/>
      <c r="E89" s="52"/>
      <c r="F89" s="29">
        <f>IF(G72="",0.8,(IF(AND(E89="",G72="Yes"),0.9,(IF(AND(E89="",G72="No"),0.8,ROUND(  IF(E89&lt;=1.1,0, IF(E89&gt;=3,1, IF(E89&lt;2, E89^2*'Reference Standards'!$I$42+  E89*'Reference Standards'!$I$43 + 'Reference Standards'!$I$44,      E89*'Reference Standards'!$J$43+'Reference Standards'!$J$44))),2))))))</f>
        <v>0.8</v>
      </c>
      <c r="G89" s="425"/>
      <c r="H89" s="448"/>
      <c r="I89" s="449"/>
      <c r="J89" s="429"/>
    </row>
    <row r="90" spans="1:10" ht="15.75" x14ac:dyDescent="0.25">
      <c r="A90" s="399"/>
      <c r="B90" s="399"/>
      <c r="C90" s="19" t="s">
        <v>104</v>
      </c>
      <c r="D90" s="19"/>
      <c r="E90" s="52"/>
      <c r="F90" s="245">
        <f>IF(G72="",0.8,(IF(AND(E90="",G72="Yes"),0.9,(IF(AND(E90="",G72="No"),0.8,IF(OR(B72="A",LEFT(B72,1)="B"),IF(OR(E90&lt;=20,E90&gt;=90),0,IF(AND(E90&gt;=50,E90&lt;=60),1,IF(E90&lt;50,E90*'Reference Standards'!$I$48+'Reference Standards'!$I$49,E90*'Reference Standards'!$J$48+'Reference Standards'!$J$49))),IF(OR(LEFT(B72)="C",B72="E"),IF(OR(E90&lt;=20,E90&gt;=85),0,IF(AND(E90&lt;=65,E90&gt;=45),1,IF(E90&lt;45,E90*'Reference Standards'!$I$53+'Reference Standards'!$I$54,E90*'Reference Standards'!$J$53+'Reference Standards'!$J$54))))))))))</f>
        <v>0.8</v>
      </c>
      <c r="G90" s="425"/>
      <c r="H90" s="448"/>
      <c r="I90" s="449"/>
      <c r="J90" s="429"/>
    </row>
    <row r="91" spans="1:10" ht="15.75" x14ac:dyDescent="0.25">
      <c r="A91" s="399"/>
      <c r="B91" s="400"/>
      <c r="C91" s="23" t="s">
        <v>88</v>
      </c>
      <c r="D91" s="19"/>
      <c r="E91" s="54"/>
      <c r="F91" s="246" t="str">
        <f>IF(E91="","",IF(E91&gt;=1.6,0,IF(E91&lt;=1,1,ROUND('Reference Standards'!$I$57*E91^3+'Reference Standards'!$I$58*E91^2+'Reference Standards'!$I$59*E91+'Reference Standards'!$I$60,2))))</f>
        <v/>
      </c>
      <c r="G91" s="431"/>
      <c r="H91" s="448"/>
      <c r="I91" s="449"/>
      <c r="J91" s="429"/>
    </row>
    <row r="92" spans="1:10" ht="15.75" x14ac:dyDescent="0.25">
      <c r="A92" s="399"/>
      <c r="B92" s="398" t="s">
        <v>44</v>
      </c>
      <c r="C92" s="21" t="s">
        <v>182</v>
      </c>
      <c r="D92" s="69"/>
      <c r="E92" s="22"/>
      <c r="F92" s="97">
        <f>IF(G72="",0.8,(IF(AND(E92="",G72="Yes"),0.9,(IF(AND(E92="",G72="No"),0.8,IF(G71="Unconfined Alluvial",IF(E92&gt;=100,1,IF(E92&lt;30,0,ROUND('Reference Standards'!$I$64*E92+'Reference Standards'!$I$65,2))),IF(OR(G71="Confined Alluvial",G71="Colluvial/V-Shaped"),(IF(E92&gt;=100,1,IF(E92&lt;60,0,ROUND('Reference Standards'!$J$64*E92+'Reference Standards'!$J$65,2)))))))))))</f>
        <v>0.8</v>
      </c>
      <c r="G92" s="423">
        <f>IFERROR(AVERAGE(F92:F95),"")</f>
        <v>0.80000000000000016</v>
      </c>
      <c r="H92" s="448"/>
      <c r="I92" s="449"/>
      <c r="J92" s="429"/>
    </row>
    <row r="93" spans="1:10" ht="15.75" x14ac:dyDescent="0.25">
      <c r="A93" s="399"/>
      <c r="B93" s="399"/>
      <c r="C93" s="23" t="s">
        <v>183</v>
      </c>
      <c r="D93" s="173"/>
      <c r="E93" s="244"/>
      <c r="F93" s="29">
        <f>IF(G72="",0.8,(IF(AND(E93="",G72="Yes"),0.9,(IF(AND(E93="",G72="No"),0.8,IF(B73="Yes",IF(E93&lt;=50,0,IF(E93&gt;=80,1,ROUND('Reference Standards'!$I$69*E93+'Reference Standards'!$I$70,2))),IF(B73="No",IF(E93&gt;=80,0,IF(E93&lt;=50,1,ROUND(E93*'Reference Standards'!$J$69+'Reference Standards'!$J$70,2))))))))))</f>
        <v>0.8</v>
      </c>
      <c r="G93" s="424"/>
      <c r="H93" s="448"/>
      <c r="I93" s="449"/>
      <c r="J93" s="429"/>
    </row>
    <row r="94" spans="1:10" ht="15.75" x14ac:dyDescent="0.25">
      <c r="A94" s="399"/>
      <c r="B94" s="399"/>
      <c r="C94" s="23" t="s">
        <v>184</v>
      </c>
      <c r="D94" s="173"/>
      <c r="E94" s="244"/>
      <c r="F94" s="29">
        <f>IF(G72="",0.8,(IF(AND(E94="",G72="Yes"),0.9,(IF(AND(E94="",G72="No"),0.8,IF(E94&lt;=50,0,IF(E94&gt;=80,1, ROUND(E94*'Reference Standards'!$I$73+'Reference Standards'!$I$74,2))))))))</f>
        <v>0.8</v>
      </c>
      <c r="G94" s="425"/>
      <c r="H94" s="448"/>
      <c r="I94" s="449"/>
      <c r="J94" s="429"/>
    </row>
    <row r="95" spans="1:10" ht="15.75" x14ac:dyDescent="0.25">
      <c r="A95" s="399"/>
      <c r="B95" s="400"/>
      <c r="C95" s="443" t="s">
        <v>277</v>
      </c>
      <c r="D95" s="444"/>
      <c r="E95" s="16"/>
      <c r="F95" s="98" t="str">
        <f>IF(OR(B73="",B73="No"),"",IF(AND(E95="",B73="Yes",G72="Yes"),0.9,IF(OR(G72="No",G72=""),0.8,IF(E95&lt;=9,0,IF(E95&gt;=14,1,ROUND('Reference Standards'!$I$77*E95+'Reference Standards'!$I$78,2))))))</f>
        <v/>
      </c>
      <c r="G95" s="426"/>
      <c r="H95" s="448"/>
      <c r="I95" s="449"/>
      <c r="J95" s="429"/>
    </row>
    <row r="96" spans="1:10" ht="15.75" x14ac:dyDescent="0.25">
      <c r="A96" s="409" t="s">
        <v>49</v>
      </c>
      <c r="B96" s="174" t="s">
        <v>169</v>
      </c>
      <c r="C96" s="175" t="s">
        <v>176</v>
      </c>
      <c r="D96" s="177"/>
      <c r="E96" s="101"/>
      <c r="F96" s="182">
        <f>IF(G72="",0.8,(IF(AND(E96="",G72="Yes"),0.9,IF(E96&gt;=25,0,IF(E96&lt;=10,1,ROUND(IF(E96&gt;18,'Reference Standards'!$L$4*E96+'Reference Standards'!$L$5,IF(E96&lt;12,'Reference Standards'!$N$4*E96+'Reference Standards'!$N$5,'Reference Standards'!$M$4*E96+'Reference Standards'!$M$5)),2))))))</f>
        <v>0.8</v>
      </c>
      <c r="G96" s="180">
        <f>IFERROR(AVERAGE(F96),"")</f>
        <v>0.8</v>
      </c>
      <c r="H96" s="411">
        <f>IFERROR(ROUND(AVERAGE(G96:G98),2),"")</f>
        <v>0.8</v>
      </c>
      <c r="I96" s="415" t="str">
        <f>IF(H96="","",IF(H96&gt;0.69,"Functioning",IF(H96&gt;0.29,"Functioning At Risk",IF(H96&gt;-1,"Not Functioning"))))</f>
        <v>Functioning</v>
      </c>
      <c r="J96" s="429"/>
    </row>
    <row r="97" spans="1:11" ht="15.75" x14ac:dyDescent="0.25">
      <c r="A97" s="410"/>
      <c r="B97" s="176" t="s">
        <v>170</v>
      </c>
      <c r="C97" s="175" t="s">
        <v>177</v>
      </c>
      <c r="D97" s="178"/>
      <c r="E97" s="49"/>
      <c r="F97" s="231">
        <f>IF(G72="",0.8,(IF(AND(E97="",G72="Yes"),0.9,IF(D70="2A",IF(E97&lt;=5.3,0,IF(E97&gt;=8.79,1,ROUND(E97*'Reference Standards'!$L$9+'Reference Standards'!$L$10,2))),IF(D70=7,IF(E97&lt;=0.8,0,IF(E97&gt;=1.25,1,ROUND(E97*'Reference Standards'!$N$9+'Reference Standards'!$N$10,2))),IF(OR(D70="2B", D70="2Bd",D70="2C"),IF(E97&lt;=3.8,0,(IF(E97&gt;=6.3,1,ROUND(E97*'Reference Standards'!$M$9+'Reference Standards'!$M$10,2))))))))))</f>
        <v>0.8</v>
      </c>
      <c r="G97" s="181">
        <f>IFERROR(AVERAGE(F97),"")</f>
        <v>0.8</v>
      </c>
      <c r="H97" s="412"/>
      <c r="I97" s="416"/>
      <c r="J97" s="429"/>
    </row>
    <row r="98" spans="1:11" ht="15.75" x14ac:dyDescent="0.25">
      <c r="A98" s="410"/>
      <c r="B98" s="174" t="s">
        <v>172</v>
      </c>
      <c r="C98" s="175" t="s">
        <v>178</v>
      </c>
      <c r="D98" s="179"/>
      <c r="E98" s="101"/>
      <c r="F98" s="182">
        <f>IF(G72="",0.8,(IF(AND(E98="",G72="Yes"),0.9,IF(D70="2A",IF(E98&gt;=12.5,0,IF(E98&lt;=7.5,1,ROUND(E98*'Reference Standards'!$L$15+'Reference Standards'!$L$16,2))),IF(OR(D70="2B",D70="2Bd",D70="2C"),IF(D71="North",IF(E98&gt;=18.8,0,IF(E98&lt;=11.3,1,ROUND(E98*'Reference Standards'!$M$15+'Reference Standards'!$M$16,2))),IF(D71="Central",(IF(E98&gt;=37.5,0,IF(E98&lt;=22.5,1,ROUND(E98*'Reference Standards'!$N$15+'Reference Standards'!$N$16,2)))),IF(E98&gt;=81.2,0,(IF(E98&lt;=48.7,1,ROUND(E98*'Reference Standards'!$O$15+'Reference Standards'!$O$16,2)))))))))))</f>
        <v>0.8</v>
      </c>
      <c r="G98" s="182">
        <f>IFERROR(AVERAGE(F98),"")</f>
        <v>0.8</v>
      </c>
      <c r="H98" s="412"/>
      <c r="I98" s="416"/>
      <c r="J98" s="429"/>
    </row>
    <row r="99" spans="1:11" ht="15.75" x14ac:dyDescent="0.25">
      <c r="A99" s="445" t="s">
        <v>50</v>
      </c>
      <c r="B99" s="236" t="s">
        <v>105</v>
      </c>
      <c r="C99" s="40" t="s">
        <v>179</v>
      </c>
      <c r="D99" s="41"/>
      <c r="E99" s="44"/>
      <c r="F99" s="99">
        <f>IF(G72="",0.8,(IF(AND(E98="",G72="Yes"),0.9,IF(D73="Northern Forest Rivers",IF(E99&lt;=38.2,0,IF(E99&gt;=77,1,ROUND(IF(E99&lt;49, 'Reference Standards'!$Q$5*E99+'Reference Standards'!$Q$6, IF(E99&lt;59.8, 'Reference Standards'!$R$5*E99+'Reference Standards'!$R$6, 'Reference Standards'!$S$5*E99+'Reference Standards'!$S$6)),2))),   IF(D73="Northern Forest Streams Riffle-run",IF(E99&lt;40.4,0,IF(E99&gt;=82,1,ROUND(IF(E99&lt;53, 'Reference Standards'!$T$5*E99+'Reference Standards'!$T$6, IF(E99&lt;59.8, 'Reference Standards'!$U$5*E99+'Reference Standards'!$U$6, 'Reference Standards'!$V$5*E99+'Reference Standards'!$V$6) ),2))), IF(D73="Northern Forest Streams Glide-pool",IF(E99&lt;=37,0,IF(E99&gt;=76,1,ROUND(IF(E99&lt;51, 'Reference Standards'!$W$5*E99+'Reference Standards'!$W$6, IF(E99&lt;65.6, 'Reference Standards'!$X$5*E99+'Reference Standards'!$X$6, 'Reference Standards'!$Y$5*E99+'Reference Standards'!$Y$6) ),2))), IF(D73="Northern Coldwater",IF(E99&lt;19.6,0,IF(E99&gt;=52,1,ROUND(IF(E99&lt;32, 'Reference Standards'!$Z$5*E99+'Reference Standards'!$Z$6, IF(E99&lt;44.4,'Reference Standards'!$AA$5*E99+'Reference Standards'!$AA$6, 'Reference Standards'!$AB$5*E99+'Reference Standards'!$AB$6) ),2))), IF(D73="Southern Forest Streams Riffle-run", IF(E99&lt;24,0,IF(E99&gt;=62,1,ROUND(IF(E99&lt;37, 'Reference Standards'!$Q$11*E99+'Reference Standards'!$Q$12, IF(E99&lt;49.6,'Reference Standards'!$R$11*E99+'Reference Standards'!$R$12,'Reference Standards'!$S$11*E99+'Reference Standards'!$S$12)),2))), IF(D73="Southern Forest Streams Glide-pool", IF(E99&lt;29.4,0,IF(E99&gt;=65,1,ROUND(IF(E99&lt;43,'Reference Standards'!$T$11*E99+'Reference Standards'!$T$12, IF(E99&lt;56.6, 'Reference Standards'!$U$11*E99+'Reference Standards'!$U$12,'Reference Standards'!$V$11*E99+'Reference Standards'!$V$12)),2))), IF(D73="Southern Coldwater", IF(E99&lt;29.2,0,IF(E99&gt;=72,1,ROUND(IF(E99&lt;43, 'Reference Standards'!$W$11*E99+'Reference Standards'!$W$12, IF(E99&lt;56.8,'Reference Standards'!$X$11*E99+'Reference Standards'!$X$12, 'Reference Standards'!$Y$11*E99+'Reference Standards'!$Y$12)),2))), IF(D73="Prairie Forest Rivers", IF(E99&lt;20.2,0,IF(E99&gt;=62,1,ROUND(IF(E99&lt;31,'Reference Standards'!$Q$17*E99+'Reference Standards'!$Q$18, IF(E99&lt;41.8,'Reference Standards'!$R$17*E99+'Reference Standards'!$R$18,'Reference Standards'!$S$17*E99+'Reference Standards'!$S$18)),2))), IF(D73="Prairie Streams Glide-Pool", IF(E99&lt;27.4,0,IF(E99&gt;=69,1,ROUND(IF(E99&lt;41,'Reference Standards'!$T$17*E99+'Reference Standards'!$T$18, IF(E99&lt;54.6,'Reference Standards'!$U$17*E99+'Reference Standards'!$U$18, 'Reference Standards'!$V$17*E99+'Reference Standards'!$V$18)),2))) ))))))))))))</f>
        <v>0.8</v>
      </c>
      <c r="G99" s="237">
        <f>IFERROR(AVERAGE(F99),"")</f>
        <v>0.8</v>
      </c>
      <c r="H99" s="450">
        <f>IFERROR(ROUND(AVERAGE(G99:G100),2),"")</f>
        <v>0.8</v>
      </c>
      <c r="I99" s="414" t="str">
        <f>IF(H99="","",IF(H99&gt;0.69,"Functioning",IF(H99&gt;0.29,"Functioning At Risk",IF(H99&gt;-1,"Not Functioning"))))</f>
        <v>Functioning</v>
      </c>
      <c r="J99" s="429"/>
    </row>
    <row r="100" spans="1:11" ht="15.75" x14ac:dyDescent="0.25">
      <c r="A100" s="446"/>
      <c r="B100" s="238" t="s">
        <v>54</v>
      </c>
      <c r="C100" s="183" t="s">
        <v>180</v>
      </c>
      <c r="D100" s="184"/>
      <c r="E100" s="101"/>
      <c r="F100" s="99">
        <f>IF(G72="",0.8,(IF(AND(E100="",G72="Yes"),0.9,IF(G70="Northern Rivers",IF(E100&lt;29,0,IF(E100&gt;=66,1,ROUND(IF(E100&lt;38, 'Reference Standards'!$Q$23*E100+'Reference Standards'!$Q$24, IF(E100&lt;47, 'Reference Standards'!$R$23*E100+'Reference Standards'!$R$24, 'Reference Standards'!$S$23*E100+'Reference Standards'!$S$24)),2))),   IF(G70="Northern Streams",IF(E100&lt;35,0,IF(E100&gt;=61,1,ROUND(IF(E100&lt;47, 'Reference Standards'!$T$23*E100+'Reference Standards'!$T$24, IF(E100&lt;56, 'Reference Standards'!$U$23*E100+'Reference Standards'!$U$24, 'Reference Standards'!$V$23*E100+'Reference Standards'!$V$24) ),2))), IF(G70="Northern Headwaters",IF(E100&lt;23,0,IF(E100&gt;=68,1,ROUND(IF(E100&lt;42, 'Reference Standards'!$W$23*E100+'Reference Standards'!$W$24, IF(E100&lt;56, 'Reference Standards'!$X$23*E100+'Reference Standards'!$X$24, 'Reference Standards'!$Y$23*E100+'Reference Standards'!$Y$24) ),2))), IF(G70="Northern Coldwater",IF(E100&lt;25,0,IF(E100&gt;=60,1,ROUND(IF(E100&lt;35, 'Reference Standards'!$Z$23*E100+'Reference Standards'!$Z$24, IF(E100&lt;45, 'Reference Standards'!$AA$23*E100+'Reference Standards'!$AA$24, 'Reference Standards'!$AB$23*E100+'Reference Standards'!$AB$24) ),2))), IF(G70="Southern River", IF(E100&lt;38,0,IF(E100&gt;=71,1,ROUND(IF(E100&lt;49, 'Reference Standards'!$Q$29*E100+'Reference Standards'!$Q$30, IF(E100&lt;60,'Reference Standards'!$R$29*E100+'Reference Standards'!$R$30, 'Reference Standards'!$S$29*E100+'Reference Standards'!$S$30)),2))), IF(G70="Southern Streams", IF(E100&lt;35,0,IF(E100&gt;=66,1,ROUND(IF(E100&lt;50,'Reference Standards'!$T$29*E100+'Reference Standards'!$T$30, IF(E100&lt;59, 'Reference Standards'!$U$29*E100+'Reference Standards'!$U$30, 'Reference Standards'!$V$29*E100+'Reference Standards'!$V$30)),2))), IF(G70="Southern Headwaters", IF(E100&lt;33,0,IF(E100&gt;=74,1,ROUND(IF(E100&lt;55, 'Reference Standards'!$W$29*E100+'Reference Standards'!$W$30, IF(E100&lt;62, 'Reference Standards'!$X$29*E100+'Reference Standards'!$X$30, 'Reference Standards'!$Y$29*E100+'Reference Standards'!$Y$30)),2))), IF(G70="Southern Coldwater", IF(E100&lt;37,0,IF(E100&gt;=82,1,ROUND(IF(E100&lt;50, 'Reference Standards'!$Z$29*E100+'Reference Standards'!$Z$30, IF(E100&lt;63,'Reference Standards'!$AA$29*E100+'Reference Standards'!$AA$30,'Reference Standards'!$AB$29*E100+'Reference Standards'!$AB$30)),2))), IF(G70="Low Gradient", IF(E100&lt;15,0,IF(E100&gt;=70,1,ROUND(IF(E100&lt;42, 'Reference Standards'!$Q$34*E100+'Reference Standards'!$Q$35, IF(E100&lt;52, 'Reference Standards'!$R$34*E100+'Reference Standards'!$R$35, 'Reference Standards'!$S$34*E100+'Reference Standards'!$S$35)),2))) ))))))))))))</f>
        <v>0.8</v>
      </c>
      <c r="G100" s="237">
        <f>IFERROR(AVERAGE(F100),"")</f>
        <v>0.8</v>
      </c>
      <c r="H100" s="450"/>
      <c r="I100" s="414"/>
      <c r="J100" s="429"/>
    </row>
    <row r="101" spans="1:11" ht="8.4499999999999993" customHeight="1" x14ac:dyDescent="0.25">
      <c r="J101" s="4"/>
      <c r="K101" s="11"/>
    </row>
    <row r="102" spans="1:11" ht="8.4499999999999993" customHeight="1" x14ac:dyDescent="0.25">
      <c r="K102" s="11"/>
    </row>
    <row r="103" spans="1:11" ht="21" customHeight="1" x14ac:dyDescent="0.25">
      <c r="A103" s="406" t="s">
        <v>310</v>
      </c>
      <c r="B103" s="407"/>
      <c r="C103" s="407"/>
      <c r="D103" s="407"/>
      <c r="E103" s="407"/>
      <c r="F103" s="407"/>
      <c r="G103" s="407"/>
      <c r="H103" s="407"/>
      <c r="I103" s="407"/>
      <c r="J103" s="408"/>
    </row>
    <row r="104" spans="1:11" ht="18" customHeight="1" x14ac:dyDescent="0.25">
      <c r="A104" s="122" t="s">
        <v>68</v>
      </c>
      <c r="B104" s="101"/>
      <c r="C104" s="122" t="s">
        <v>195</v>
      </c>
      <c r="D104" s="48"/>
      <c r="E104" s="165" t="s">
        <v>226</v>
      </c>
      <c r="F104" s="166"/>
      <c r="G104" s="48"/>
      <c r="H104" s="404" t="s">
        <v>137</v>
      </c>
      <c r="I104" s="405"/>
      <c r="J104" s="101"/>
    </row>
    <row r="105" spans="1:11" ht="18" customHeight="1" x14ac:dyDescent="0.25">
      <c r="A105" s="122" t="s">
        <v>69</v>
      </c>
      <c r="B105" s="48"/>
      <c r="C105" s="122" t="s">
        <v>205</v>
      </c>
      <c r="D105" s="48"/>
      <c r="E105" s="413" t="s">
        <v>92</v>
      </c>
      <c r="F105" s="413"/>
      <c r="G105" s="48"/>
      <c r="H105" s="404" t="s">
        <v>138</v>
      </c>
      <c r="I105" s="405"/>
      <c r="J105" s="101"/>
    </row>
    <row r="106" spans="1:11" ht="18" customHeight="1" x14ac:dyDescent="0.25">
      <c r="A106" s="122" t="s">
        <v>136</v>
      </c>
      <c r="B106" s="48"/>
      <c r="C106" s="122" t="s">
        <v>206</v>
      </c>
      <c r="D106" s="48"/>
      <c r="E106" s="413" t="s">
        <v>267</v>
      </c>
      <c r="F106" s="413"/>
      <c r="G106" s="48"/>
      <c r="H106" s="404" t="s">
        <v>139</v>
      </c>
      <c r="I106" s="405"/>
      <c r="J106" s="101"/>
    </row>
    <row r="107" spans="1:11" ht="18" customHeight="1" x14ac:dyDescent="0.25">
      <c r="A107" s="106" t="s">
        <v>261</v>
      </c>
      <c r="B107" s="48"/>
      <c r="C107" s="122" t="s">
        <v>207</v>
      </c>
      <c r="D107" s="48"/>
      <c r="E107" s="225" t="s">
        <v>260</v>
      </c>
      <c r="F107" s="226"/>
      <c r="G107" s="48"/>
      <c r="H107" s="404" t="s">
        <v>140</v>
      </c>
      <c r="I107" s="405"/>
      <c r="J107" s="101"/>
    </row>
    <row r="108" spans="1:11" ht="6.6" customHeight="1" x14ac:dyDescent="0.25">
      <c r="A108" s="1"/>
      <c r="B108" s="4"/>
      <c r="C108" s="4"/>
      <c r="D108" s="4"/>
      <c r="E108" s="4"/>
      <c r="F108" s="4"/>
      <c r="G108" s="4"/>
      <c r="H108" s="12"/>
      <c r="I108" s="104"/>
      <c r="J108" s="12"/>
    </row>
    <row r="109" spans="1:11" ht="21" x14ac:dyDescent="0.35">
      <c r="A109" s="420" t="s">
        <v>311</v>
      </c>
      <c r="B109" s="420"/>
      <c r="C109" s="420"/>
      <c r="D109" s="420"/>
      <c r="E109" s="420"/>
      <c r="F109" s="420"/>
      <c r="G109" s="420" t="s">
        <v>14</v>
      </c>
      <c r="H109" s="420"/>
      <c r="I109" s="420"/>
      <c r="J109" s="420"/>
    </row>
    <row r="110" spans="1:11" ht="15.75" x14ac:dyDescent="0.25">
      <c r="A110" s="46" t="s">
        <v>1</v>
      </c>
      <c r="B110" s="46" t="s">
        <v>2</v>
      </c>
      <c r="C110" s="421" t="s">
        <v>3</v>
      </c>
      <c r="D110" s="422"/>
      <c r="E110" s="46" t="s">
        <v>12</v>
      </c>
      <c r="F110" s="45" t="s">
        <v>13</v>
      </c>
      <c r="G110" s="46" t="s">
        <v>15</v>
      </c>
      <c r="H110" s="46" t="s">
        <v>16</v>
      </c>
      <c r="I110" s="105" t="s">
        <v>16</v>
      </c>
      <c r="J110" s="46" t="s">
        <v>264</v>
      </c>
    </row>
    <row r="111" spans="1:11" ht="15.75" customHeight="1" x14ac:dyDescent="0.25">
      <c r="A111" s="427" t="s">
        <v>51</v>
      </c>
      <c r="B111" s="427" t="s">
        <v>78</v>
      </c>
      <c r="C111" s="167" t="s">
        <v>162</v>
      </c>
      <c r="D111" s="169"/>
      <c r="E111" s="44"/>
      <c r="F111" s="28">
        <f>IF(G107="Yes","",(IF(G106="",0.8,(IF(AND(E111="",G106="Yes"),0.9,(IF(AND(E111="",G106="No"),0.8,IF(E111&gt;=80,0,IF(E111&lt;=40,1,IF(E111&gt;=68,ROUND(E111*'Reference Standards'!$B$4+'Reference Standards'!$B$5,2),ROUND(E111*'Reference Standards'!$C$4+'Reference Standards'!$C$5,2)))))))))))</f>
        <v>0.8</v>
      </c>
      <c r="G111" s="401">
        <f>IFERROR(AVERAGE(F111:F113),"")</f>
        <v>0.8</v>
      </c>
      <c r="H111" s="401">
        <f>IFERROR(ROUND(AVERAGE(G111:G113),2),"")</f>
        <v>0.8</v>
      </c>
      <c r="I111" s="414" t="str">
        <f>IF(H111="","",IF(H111&gt;0.69,"Functioning",IF(H111&gt;0.29,"Functioning At Risk",IF(H111&gt;-1,"Not Functioning"))))</f>
        <v>Functioning</v>
      </c>
      <c r="J111" s="429">
        <f>IF(AND(H111="",H114="",H116="",H130="",H133=""),"",ROUND((IF(H111="",0,H111)*0.2)+(IF(H114="",0,H114)*0.2)+(IF(H116="",0,H116)*0.2)+(IF(H130="",0,H130)*0.2)+(IF(H133="",0,H133)*0.2),2))</f>
        <v>0.8</v>
      </c>
    </row>
    <row r="112" spans="1:11" ht="15.75" customHeight="1" x14ac:dyDescent="0.25">
      <c r="A112" s="428"/>
      <c r="B112" s="428"/>
      <c r="C112" s="168" t="s">
        <v>164</v>
      </c>
      <c r="D112" s="170"/>
      <c r="E112" s="49"/>
      <c r="F112" s="228" t="str">
        <f>IF(G107="No","",IF(E112="","",  IF(E112&gt;0.95,0,IF(E112&lt;=0.02,1,ROUND(IF(E112&gt;0.26,'Reference Standards'!$B$10*E112+'Reference Standards'!$B$11, IF(E112&lt;0.05, 'Reference Standards'!$D$10*E112+'Reference Standards'!$D$11, 'Reference Standards'!$C$10*E112+'Reference Standards'!$C$11)),2))) ))</f>
        <v/>
      </c>
      <c r="G112" s="402"/>
      <c r="H112" s="402"/>
      <c r="I112" s="414"/>
      <c r="J112" s="429"/>
    </row>
    <row r="113" spans="1:10" ht="15.75" x14ac:dyDescent="0.25">
      <c r="A113" s="428"/>
      <c r="B113" s="442"/>
      <c r="C113" s="171" t="s">
        <v>166</v>
      </c>
      <c r="D113" s="172"/>
      <c r="E113" s="49"/>
      <c r="F113" s="227">
        <f>IF(G107="Yes","",(IF(G106="",0.8,(IF(AND(E113="",G106="Yes"),0.9,(IF(AND(E113="",G106="No"),0.8,IF(E113&gt;3.22,0,IF(E113&lt;0,"",ROUND('Reference Standards'!$B$15*E113+'Reference Standards'!$B$16,2))))))))))</f>
        <v>0.8</v>
      </c>
      <c r="G113" s="403"/>
      <c r="H113" s="403"/>
      <c r="I113" s="414"/>
      <c r="J113" s="429"/>
    </row>
    <row r="114" spans="1:10" ht="15.75" customHeight="1" x14ac:dyDescent="0.25">
      <c r="A114" s="432" t="s">
        <v>4</v>
      </c>
      <c r="B114" s="434" t="s">
        <v>5</v>
      </c>
      <c r="C114" s="17" t="s">
        <v>6</v>
      </c>
      <c r="D114" s="17"/>
      <c r="E114" s="44"/>
      <c r="F114" s="96">
        <f>IF(G106="",0.8,(IF(AND(E114="",G106="Yes"),0.9,(IF(AND(E114="",G106="No"),0.8,ROUND(IF(E114&gt;1.6,0,IF(E114&lt;=1,1,E114^2*'Reference Standards'!$F$2+E114*'Reference Standards'!$F$3+'Reference Standards'!$F$4)),2))))))</f>
        <v>0.8</v>
      </c>
      <c r="G114" s="435">
        <f>IFERROR(AVERAGE(F114:F115),"")</f>
        <v>0.8</v>
      </c>
      <c r="H114" s="436">
        <f>IFERROR(ROUND(AVERAGE(G114),2),"")</f>
        <v>0.8</v>
      </c>
      <c r="I114" s="438" t="str">
        <f>IF(H114="","",IF(H114&gt;0.69,"Functioning",IF(H114&gt;0.29,"Functioning At Risk",IF(H114&gt;-1,"Not Functioning"))))</f>
        <v>Functioning</v>
      </c>
      <c r="J114" s="429"/>
    </row>
    <row r="115" spans="1:10" ht="15.75" x14ac:dyDescent="0.25">
      <c r="A115" s="433"/>
      <c r="B115" s="434"/>
      <c r="C115" s="17" t="s">
        <v>7</v>
      </c>
      <c r="D115" s="17"/>
      <c r="E115" s="50"/>
      <c r="F115" s="96">
        <f>IF(G106="",0.8,(IF(AND(E115="",G106="Yes"),0.9,(IF(AND(E115="",G106="No"),0.8,(IF(OR(B106="A",B106="B",B106="Bc",B106="Ba"),IF(E115&lt;1.2,0,IF(E115&gt;=2.2,1,ROUND(IF(E115&lt;1.4,E115*'Reference Standards'!$F$13+'Reference Standards'!$F$14,E115*'Reference Standards'!$G$13+'Reference Standards'!$G$14),2))),IF(OR(B106="C",B106="Cb",B106="E"),IF(E115&lt;2,0,IF(E115&gt;=5,1,ROUND(IF(E115&lt;2.4,E115*'Reference Standards'!$G$8+'Reference Standards'!$G$9,E115*'Reference Standards'!$F$8+'Reference Standards'!$F$9),2)))))))))))</f>
        <v>0.8</v>
      </c>
      <c r="G115" s="435"/>
      <c r="H115" s="437"/>
      <c r="I115" s="439"/>
      <c r="J115" s="429"/>
    </row>
    <row r="116" spans="1:10" ht="15.75" customHeight="1" x14ac:dyDescent="0.25">
      <c r="A116" s="398" t="s">
        <v>21</v>
      </c>
      <c r="B116" s="440" t="s">
        <v>22</v>
      </c>
      <c r="C116" s="21" t="s">
        <v>103</v>
      </c>
      <c r="D116" s="69"/>
      <c r="E116" s="44"/>
      <c r="F116" s="229" t="str">
        <f>IF(E116="","",IF(E116&gt;=660,1,IF(E116&lt;=430,ROUND('Reference Standards'!$I$4*E116+'Reference Standards'!$I$5,2),ROUND('Reference Standards'!$J$4*E116+'Reference Standards'!$J$5,2))))</f>
        <v/>
      </c>
      <c r="G116" s="423">
        <f>IFERROR(AVERAGE(F116:F117),"")</f>
        <v>0.8</v>
      </c>
      <c r="H116" s="447">
        <f>IFERROR(ROUND(AVERAGE(G116:G129),2),"")</f>
        <v>0.8</v>
      </c>
      <c r="I116" s="449" t="str">
        <f>IF(H116="","",IF(H116&gt;0.69,"Functioning",IF(H116&gt;0.29,"Functioning At Risk",IF(H116&gt;-1,"Not Functioning"))))</f>
        <v>Functioning</v>
      </c>
      <c r="J116" s="429"/>
    </row>
    <row r="117" spans="1:10" ht="15.75" x14ac:dyDescent="0.25">
      <c r="A117" s="399"/>
      <c r="B117" s="441"/>
      <c r="C117" s="24" t="s">
        <v>99</v>
      </c>
      <c r="D117" s="70"/>
      <c r="E117" s="50"/>
      <c r="F117" s="98">
        <f>IF(ISNUMBER(E116),"",IF(G106="",0.8,(IF(AND(E117="",G106="Yes"),0.9,(IF(AND(E117="",G106="No"),0.8,IF(E117&gt;=28,1,ROUND(IF(E117&lt;=13,'Reference Standards'!$I$9*E117,'Reference Standards'!$J$9*E117+'Reference Standards'!$J$10),2))))))))</f>
        <v>0.8</v>
      </c>
      <c r="G117" s="426"/>
      <c r="H117" s="447"/>
      <c r="I117" s="449"/>
      <c r="J117" s="429"/>
    </row>
    <row r="118" spans="1:10" ht="15.75" x14ac:dyDescent="0.25">
      <c r="A118" s="399"/>
      <c r="B118" s="399" t="s">
        <v>126</v>
      </c>
      <c r="C118" s="19" t="s">
        <v>43</v>
      </c>
      <c r="D118" s="19"/>
      <c r="E118" s="49"/>
      <c r="F118" s="29">
        <f>IF(G106="",0.8,(IF(AND(E118="",G106="Yes"),0.9,(IF(AND(E118="",G106="No"),0.8,IF(OR(E118="Ex/Ex",E118="Ex/VH",E118="Ex/H",E118="Ex/M",E118="VH/Ex",E118="VH/VH", E118="H/Ex",E118="H/VH"),0, IF(OR(E118="M/Ex"),0.1,IF(OR(E118="VH/H",E118="VH/M",E118="H/H",E118="H/M", E118="M/VH"),0.2, IF(OR(E118="Ex/VL",E118="Ex/L", E118="M/H"),0.3, IF(OR(E118="VH/L",E118="H/L"),0.4, IF(OR(E118="VH/VL",E118="H/VL",E118="M/M"),0.5, IF(OR(E118="M/L",E118="L/Ex"),0.6, IF(OR(E118="M/VL",E118="L/VH", E118="L/H",E118="L/M",E118="L/L",E118="L/VL",LEFT(E118)="V"),1)))))))))))))</f>
        <v>0.8</v>
      </c>
      <c r="G118" s="423">
        <f>IFERROR(AVERAGE(F118:F120),"")</f>
        <v>0.80000000000000016</v>
      </c>
      <c r="H118" s="448"/>
      <c r="I118" s="449"/>
      <c r="J118" s="429"/>
    </row>
    <row r="119" spans="1:10" ht="15.75" x14ac:dyDescent="0.25">
      <c r="A119" s="399"/>
      <c r="B119" s="399"/>
      <c r="C119" s="20" t="s">
        <v>57</v>
      </c>
      <c r="D119" s="173"/>
      <c r="E119" s="243"/>
      <c r="F119" s="29">
        <f>IF(G106="",0.8,(IF(AND(E119="",G106="Yes"),0.9,(IF(AND(E119="",G106="No"),0.8,ROUND(IF(E119&gt;=75,0,IF(E119&lt;=5,1,IF(E119&gt;10,E119*'Reference Standards'!$I$14+'Reference Standards'!$I$15,'Reference Standards'!$J$14*E119+'Reference Standards'!$J$15))),2))))))</f>
        <v>0.8</v>
      </c>
      <c r="G119" s="424"/>
      <c r="H119" s="448"/>
      <c r="I119" s="449"/>
      <c r="J119" s="429"/>
    </row>
    <row r="120" spans="1:10" ht="15.75" x14ac:dyDescent="0.25">
      <c r="A120" s="399"/>
      <c r="B120" s="400"/>
      <c r="C120" s="20" t="s">
        <v>125</v>
      </c>
      <c r="D120" s="20"/>
      <c r="E120" s="50"/>
      <c r="F120" s="98">
        <f>IF(G106="",0.8,(IF(AND(E120="",G106="Yes"),0.9,(IF(AND(E120="",G106="No"),0.8,IF(E120&gt;=50,0,ROUND(E120*'Reference Standards'!$I$18+'Reference Standards'!$I$19,2)))))))</f>
        <v>0.8</v>
      </c>
      <c r="G120" s="426"/>
      <c r="H120" s="448"/>
      <c r="I120" s="449"/>
      <c r="J120" s="429"/>
    </row>
    <row r="121" spans="1:10" ht="15.75" x14ac:dyDescent="0.25">
      <c r="A121" s="399"/>
      <c r="B121" s="18" t="s">
        <v>70</v>
      </c>
      <c r="C121" s="26" t="s">
        <v>80</v>
      </c>
      <c r="D121" s="68"/>
      <c r="E121" s="50"/>
      <c r="F121" s="27" t="str">
        <f>IF(E121="","",IF(E121&gt;=50,0,ROUND(E121*'Reference Standards'!$I$22+'Reference Standards'!$I$23,2)))</f>
        <v/>
      </c>
      <c r="G121" s="27" t="str">
        <f>IFERROR(AVERAGE(F121),"")</f>
        <v/>
      </c>
      <c r="H121" s="448"/>
      <c r="I121" s="449"/>
      <c r="J121" s="429"/>
    </row>
    <row r="122" spans="1:10" ht="15.75" x14ac:dyDescent="0.25">
      <c r="A122" s="399"/>
      <c r="B122" s="398" t="s">
        <v>45</v>
      </c>
      <c r="C122" s="25" t="s">
        <v>46</v>
      </c>
      <c r="D122" s="25"/>
      <c r="E122" s="53"/>
      <c r="F122" s="230">
        <f>IF(G106="",0.8,(IF(AND(E122="",G106="Yes"),0.9,(IF(AND(E122="",G106="No"),0.8,ROUND( IF(OR(LEFT(B106)="C",B106="E"), IF(OR(E122&lt;=1,E122&gt;=9),0,IF(AND(E122&gt;=3.5,E122&lt;=6),1,IF(E122&lt;3.5, E122*'Reference Standards'!$I$37+'Reference Standards'!$I$38, E122*'Reference Standards'!$J$37+'Reference Standards'!$J$38))),   IF(OR(B106="A",(B106)="B", (B106)="Ba"), IF(E122&gt;=6.5,0, IF(E122&lt;=4, 1, E122^2*'Reference Standards'!$I$26+E122*'Reference Standards'!$I$27+'Reference Standards'!$I$28)), IF(B106="Bc",  IF(E122&gt;=8,0, IF(E122&lt;=5, 1, E122^2*'Reference Standards'!$I$31+E122*'Reference Standards'!$I$32+'Reference Standards'!$I$33))))),2))))))</f>
        <v>0.8</v>
      </c>
      <c r="G122" s="430">
        <f>IFERROR(AVERAGE(F122:F125),"")</f>
        <v>0.80000000000000016</v>
      </c>
      <c r="H122" s="448"/>
      <c r="I122" s="449"/>
      <c r="J122" s="429"/>
    </row>
    <row r="123" spans="1:10" ht="15.75" x14ac:dyDescent="0.25">
      <c r="A123" s="399"/>
      <c r="B123" s="399"/>
      <c r="C123" s="19" t="s">
        <v>47</v>
      </c>
      <c r="D123" s="19"/>
      <c r="E123" s="52"/>
      <c r="F123" s="29">
        <f>IF(G106="",0.8,(IF(AND(E123="",G106="Yes"),0.9,(IF(AND(E123="",G106="No"),0.8,ROUND(  IF(E123&lt;=1.1,0, IF(E123&gt;=3,1, IF(E123&lt;2, E123^2*'Reference Standards'!$I$42+  E123*'Reference Standards'!$I$43 + 'Reference Standards'!$I$44,      E123*'Reference Standards'!$J$43+'Reference Standards'!$J$44))),2))))))</f>
        <v>0.8</v>
      </c>
      <c r="G123" s="425"/>
      <c r="H123" s="448"/>
      <c r="I123" s="449"/>
      <c r="J123" s="429"/>
    </row>
    <row r="124" spans="1:10" ht="15.75" x14ac:dyDescent="0.25">
      <c r="A124" s="399"/>
      <c r="B124" s="399"/>
      <c r="C124" s="19" t="s">
        <v>104</v>
      </c>
      <c r="D124" s="19"/>
      <c r="E124" s="52"/>
      <c r="F124" s="245">
        <f>IF(G106="",0.8,(IF(AND(E124="",G106="Yes"),0.9,(IF(AND(E124="",G106="No"),0.8,IF(OR(B106="A",LEFT(B106,1)="B"),IF(OR(E124&lt;=20,E124&gt;=90),0,IF(AND(E124&gt;=50,E124&lt;=60),1,IF(E124&lt;50,E124*'Reference Standards'!$I$48+'Reference Standards'!$I$49,E124*'Reference Standards'!$J$48+'Reference Standards'!$J$49))),IF(OR(LEFT(B106)="C",B106="E"),IF(OR(E124&lt;=20,E124&gt;=85),0,IF(AND(E124&lt;=65,E124&gt;=45),1,IF(E124&lt;45,E124*'Reference Standards'!$I$53+'Reference Standards'!$I$54,E124*'Reference Standards'!$J$53+'Reference Standards'!$J$54))))))))))</f>
        <v>0.8</v>
      </c>
      <c r="G124" s="425"/>
      <c r="H124" s="448"/>
      <c r="I124" s="449"/>
      <c r="J124" s="429"/>
    </row>
    <row r="125" spans="1:10" ht="15.75" x14ac:dyDescent="0.25">
      <c r="A125" s="399"/>
      <c r="B125" s="400"/>
      <c r="C125" s="23" t="s">
        <v>88</v>
      </c>
      <c r="D125" s="19"/>
      <c r="E125" s="54"/>
      <c r="F125" s="246" t="str">
        <f>IF(E125="","",IF(E125&gt;=1.6,0,IF(E125&lt;=1,1,ROUND('Reference Standards'!$I$57*E125^3+'Reference Standards'!$I$58*E125^2+'Reference Standards'!$I$59*E125+'Reference Standards'!$I$60,2))))</f>
        <v/>
      </c>
      <c r="G125" s="431"/>
      <c r="H125" s="448"/>
      <c r="I125" s="449"/>
      <c r="J125" s="429"/>
    </row>
    <row r="126" spans="1:10" ht="15.75" x14ac:dyDescent="0.25">
      <c r="A126" s="399"/>
      <c r="B126" s="398" t="s">
        <v>44</v>
      </c>
      <c r="C126" s="21" t="s">
        <v>182</v>
      </c>
      <c r="D126" s="69"/>
      <c r="E126" s="22"/>
      <c r="F126" s="97">
        <f>IF(G106="",0.8,(IF(AND(E126="",G106="Yes"),0.9,(IF(AND(E126="",G106="No"),0.8,IF(G105="Unconfined Alluvial",IF(E126&gt;=100,1,IF(E126&lt;30,0,ROUND('Reference Standards'!$I$64*E126+'Reference Standards'!$I$65,2))),IF(OR(G105="Confined Alluvial",G105="Colluvial/V-Shaped"),(IF(E126&gt;=100,1,IF(E126&lt;60,0,ROUND('Reference Standards'!$J$64*E126+'Reference Standards'!$J$65,2)))))))))))</f>
        <v>0.8</v>
      </c>
      <c r="G126" s="423">
        <f>IFERROR(AVERAGE(F126:F129),"")</f>
        <v>0.80000000000000016</v>
      </c>
      <c r="H126" s="448"/>
      <c r="I126" s="449"/>
      <c r="J126" s="429"/>
    </row>
    <row r="127" spans="1:10" ht="15.75" x14ac:dyDescent="0.25">
      <c r="A127" s="399"/>
      <c r="B127" s="399"/>
      <c r="C127" s="23" t="s">
        <v>183</v>
      </c>
      <c r="D127" s="173"/>
      <c r="E127" s="244"/>
      <c r="F127" s="29">
        <f>IF(G106="",0.8,(IF(AND(E127="",G106="Yes"),0.9,(IF(AND(E127="",G106="No"),0.8,IF(B107="Yes",IF(E127&lt;=50,0,IF(E127&gt;=80,1,ROUND('Reference Standards'!$I$69*E127+'Reference Standards'!$I$70,2))),IF(B107="No",IF(E127&gt;=80,0,IF(E127&lt;=50,1,ROUND(E127*'Reference Standards'!$J$69+'Reference Standards'!$J$70,2))))))))))</f>
        <v>0.8</v>
      </c>
      <c r="G127" s="424"/>
      <c r="H127" s="448"/>
      <c r="I127" s="449"/>
      <c r="J127" s="429"/>
    </row>
    <row r="128" spans="1:10" ht="15.75" x14ac:dyDescent="0.25">
      <c r="A128" s="399"/>
      <c r="B128" s="399"/>
      <c r="C128" s="23" t="s">
        <v>184</v>
      </c>
      <c r="D128" s="173"/>
      <c r="E128" s="244"/>
      <c r="F128" s="29">
        <f>IF(G106="",0.8,(IF(AND(E128="",G106="Yes"),0.9,(IF(AND(E128="",G106="No"),0.8,IF(E128&lt;=50,0,IF(E128&gt;=80,1, ROUND(E128*'Reference Standards'!$I$73+'Reference Standards'!$I$74,2))))))))</f>
        <v>0.8</v>
      </c>
      <c r="G128" s="425"/>
      <c r="H128" s="448"/>
      <c r="I128" s="449"/>
      <c r="J128" s="429"/>
    </row>
    <row r="129" spans="1:11" ht="15.75" x14ac:dyDescent="0.25">
      <c r="A129" s="399"/>
      <c r="B129" s="400"/>
      <c r="C129" s="443" t="s">
        <v>277</v>
      </c>
      <c r="D129" s="444"/>
      <c r="E129" s="16"/>
      <c r="F129" s="98" t="str">
        <f>IF(OR(B107="",B107="No"),"",IF(AND(E129="",B107="Yes",G106="Yes"),0.9,IF(OR(G106="No",G106=""),0.8,IF(E129&lt;=9,0,IF(E129&gt;=14,1,ROUND('Reference Standards'!$I$77*E129+'Reference Standards'!$I$78,2))))))</f>
        <v/>
      </c>
      <c r="G129" s="426"/>
      <c r="H129" s="448"/>
      <c r="I129" s="449"/>
      <c r="J129" s="429"/>
    </row>
    <row r="130" spans="1:11" ht="15.75" x14ac:dyDescent="0.25">
      <c r="A130" s="409" t="s">
        <v>49</v>
      </c>
      <c r="B130" s="174" t="s">
        <v>169</v>
      </c>
      <c r="C130" s="175" t="s">
        <v>176</v>
      </c>
      <c r="D130" s="177"/>
      <c r="E130" s="101"/>
      <c r="F130" s="182">
        <f>IF(G106="",0.8,(IF(AND(E130="",G106="Yes"),0.9,IF(E130&gt;=25,0,IF(E130&lt;=10,1,ROUND(IF(E130&gt;18,'Reference Standards'!$L$4*E130+'Reference Standards'!$L$5,IF(E130&lt;12,'Reference Standards'!$N$4*E130+'Reference Standards'!$N$5,'Reference Standards'!$M$4*E130+'Reference Standards'!$M$5)),2))))))</f>
        <v>0.8</v>
      </c>
      <c r="G130" s="180">
        <f>IFERROR(AVERAGE(F130),"")</f>
        <v>0.8</v>
      </c>
      <c r="H130" s="411">
        <f>IFERROR(ROUND(AVERAGE(G130:G132),2),"")</f>
        <v>0.8</v>
      </c>
      <c r="I130" s="415" t="str">
        <f>IF(H130="","",IF(H130&gt;0.69,"Functioning",IF(H130&gt;0.29,"Functioning At Risk",IF(H130&gt;-1,"Not Functioning"))))</f>
        <v>Functioning</v>
      </c>
      <c r="J130" s="429"/>
    </row>
    <row r="131" spans="1:11" ht="15.75" x14ac:dyDescent="0.25">
      <c r="A131" s="410"/>
      <c r="B131" s="176" t="s">
        <v>170</v>
      </c>
      <c r="C131" s="175" t="s">
        <v>177</v>
      </c>
      <c r="D131" s="178"/>
      <c r="E131" s="49"/>
      <c r="F131" s="231">
        <f>IF(G106="",0.8,(IF(AND(E131="",G106="Yes"),0.9,IF(D104="2A",IF(E131&lt;=5.3,0,IF(E131&gt;=8.79,1,ROUND(E131*'Reference Standards'!$L$9+'Reference Standards'!$L$10,2))),IF(D104=7,IF(E131&lt;=0.8,0,IF(E131&gt;=1.25,1,ROUND(E131*'Reference Standards'!$N$9+'Reference Standards'!$N$10,2))),IF(OR(D104="2B", D104="2Bd",D104="2C"),IF(E131&lt;=3.8,0,(IF(E131&gt;=6.3,1,ROUND(E131*'Reference Standards'!$M$9+'Reference Standards'!$M$10,2))))))))))</f>
        <v>0.8</v>
      </c>
      <c r="G131" s="181">
        <f>IFERROR(AVERAGE(F131),"")</f>
        <v>0.8</v>
      </c>
      <c r="H131" s="412"/>
      <c r="I131" s="416"/>
      <c r="J131" s="429"/>
    </row>
    <row r="132" spans="1:11" ht="15.75" x14ac:dyDescent="0.25">
      <c r="A132" s="410"/>
      <c r="B132" s="174" t="s">
        <v>172</v>
      </c>
      <c r="C132" s="175" t="s">
        <v>178</v>
      </c>
      <c r="D132" s="179"/>
      <c r="E132" s="101"/>
      <c r="F132" s="182">
        <f>IF(G106="",0.8,(IF(AND(E132="",G106="Yes"),0.9,IF(D104="2A",IF(E132&gt;=12.5,0,IF(E132&lt;=7.5,1,ROUND(E132*'Reference Standards'!$L$15+'Reference Standards'!$L$16,2))),IF(OR(D104="2B",D104="2Bd",D104="2C"),IF(D105="North",IF(E132&gt;=18.8,0,IF(E132&lt;=11.3,1,ROUND(E132*'Reference Standards'!$M$15+'Reference Standards'!$M$16,2))),IF(D105="Central",(IF(E132&gt;=37.5,0,IF(E132&lt;=22.5,1,ROUND(E132*'Reference Standards'!$N$15+'Reference Standards'!$N$16,2)))),IF(E132&gt;=81.2,0,(IF(E132&lt;=48.7,1,ROUND(E132*'Reference Standards'!$O$15+'Reference Standards'!$O$16,2)))))))))))</f>
        <v>0.8</v>
      </c>
      <c r="G132" s="182">
        <f>IFERROR(AVERAGE(F132),"")</f>
        <v>0.8</v>
      </c>
      <c r="H132" s="412"/>
      <c r="I132" s="416"/>
      <c r="J132" s="429"/>
    </row>
    <row r="133" spans="1:11" ht="15.75" customHeight="1" x14ac:dyDescent="0.25">
      <c r="A133" s="445" t="s">
        <v>50</v>
      </c>
      <c r="B133" s="236" t="s">
        <v>105</v>
      </c>
      <c r="C133" s="40" t="s">
        <v>179</v>
      </c>
      <c r="D133" s="41"/>
      <c r="E133" s="44"/>
      <c r="F133" s="99">
        <f>IF(G106="",0.8,(IF(AND(E132="",G106="Yes"),0.9,IF(D107="Northern Forest Rivers",IF(E133&lt;=38.2,0,IF(E133&gt;=77,1,ROUND(IF(E133&lt;49, 'Reference Standards'!$Q$5*E133+'Reference Standards'!$Q$6, IF(E133&lt;59.8, 'Reference Standards'!$R$5*E133+'Reference Standards'!$R$6, 'Reference Standards'!$S$5*E133+'Reference Standards'!$S$6)),2))),   IF(D107="Northern Forest Streams Riffle-run",IF(E133&lt;40.4,0,IF(E133&gt;=82,1,ROUND(IF(E133&lt;53, 'Reference Standards'!$T$5*E133+'Reference Standards'!$T$6, IF(E133&lt;59.8, 'Reference Standards'!$U$5*E133+'Reference Standards'!$U$6, 'Reference Standards'!$V$5*E133+'Reference Standards'!$V$6) ),2))), IF(D107="Northern Forest Streams Glide-pool",IF(E133&lt;=37,0,IF(E133&gt;=76,1,ROUND(IF(E133&lt;51, 'Reference Standards'!$W$5*E133+'Reference Standards'!$W$6, IF(E133&lt;65.6, 'Reference Standards'!$X$5*E133+'Reference Standards'!$X$6, 'Reference Standards'!$Y$5*E133+'Reference Standards'!$Y$6) ),2))), IF(D107="Northern Coldwater",IF(E133&lt;19.6,0,IF(E133&gt;=52,1,ROUND(IF(E133&lt;32, 'Reference Standards'!$Z$5*E133+'Reference Standards'!$Z$6, IF(E133&lt;44.4,'Reference Standards'!$AA$5*E133+'Reference Standards'!$AA$6, 'Reference Standards'!$AB$5*E133+'Reference Standards'!$AB$6) ),2))), IF(D107="Southern Forest Streams Riffle-run", IF(E133&lt;24,0,IF(E133&gt;=62,1,ROUND(IF(E133&lt;37, 'Reference Standards'!$Q$11*E133+'Reference Standards'!$Q$12, IF(E133&lt;49.6,'Reference Standards'!$R$11*E133+'Reference Standards'!$R$12,'Reference Standards'!$S$11*E133+'Reference Standards'!$S$12)),2))), IF(D107="Southern Forest Streams Glide-pool", IF(E133&lt;29.4,0,IF(E133&gt;=65,1,ROUND(IF(E133&lt;43,'Reference Standards'!$T$11*E133+'Reference Standards'!$T$12, IF(E133&lt;56.6, 'Reference Standards'!$U$11*E133+'Reference Standards'!$U$12,'Reference Standards'!$V$11*E133+'Reference Standards'!$V$12)),2))), IF(D107="Southern Coldwater", IF(E133&lt;29.2,0,IF(E133&gt;=72,1,ROUND(IF(E133&lt;43, 'Reference Standards'!$W$11*E133+'Reference Standards'!$W$12, IF(E133&lt;56.8,'Reference Standards'!$X$11*E133+'Reference Standards'!$X$12, 'Reference Standards'!$Y$11*E133+'Reference Standards'!$Y$12)),2))), IF(D107="Prairie Forest Rivers", IF(E133&lt;20.2,0,IF(E133&gt;=62,1,ROUND(IF(E133&lt;31,'Reference Standards'!$Q$17*E133+'Reference Standards'!$Q$18, IF(E133&lt;41.8,'Reference Standards'!$R$17*E133+'Reference Standards'!$R$18,'Reference Standards'!$S$17*E133+'Reference Standards'!$S$18)),2))), IF(D107="Prairie Streams Glide-Pool", IF(E133&lt;27.4,0,IF(E133&gt;=69,1,ROUND(IF(E133&lt;41,'Reference Standards'!$T$17*E133+'Reference Standards'!$T$18, IF(E133&lt;54.6,'Reference Standards'!$U$17*E133+'Reference Standards'!$U$18, 'Reference Standards'!$V$17*E133+'Reference Standards'!$V$18)),2))) ))))))))))))</f>
        <v>0.8</v>
      </c>
      <c r="G133" s="237">
        <f>IFERROR(AVERAGE(F133),"")</f>
        <v>0.8</v>
      </c>
      <c r="H133" s="450">
        <f>IFERROR(ROUND(AVERAGE(G133:G134),2),"")</f>
        <v>0.8</v>
      </c>
      <c r="I133" s="414" t="str">
        <f>IF(H133="","",IF(H133&gt;0.69,"Functioning",IF(H133&gt;0.29,"Functioning At Risk",IF(H133&gt;-1,"Not Functioning"))))</f>
        <v>Functioning</v>
      </c>
      <c r="J133" s="429"/>
    </row>
    <row r="134" spans="1:11" ht="15.75" x14ac:dyDescent="0.25">
      <c r="A134" s="446"/>
      <c r="B134" s="238" t="s">
        <v>54</v>
      </c>
      <c r="C134" s="183" t="s">
        <v>180</v>
      </c>
      <c r="D134" s="184"/>
      <c r="E134" s="101"/>
      <c r="F134" s="99">
        <f>IF(G106="",0.8,(IF(AND(E134="",G106="Yes"),0.9,IF(G104="Northern Rivers",IF(E134&lt;29,0,IF(E134&gt;=66,1,ROUND(IF(E134&lt;38, 'Reference Standards'!$Q$23*E134+'Reference Standards'!$Q$24, IF(E134&lt;47, 'Reference Standards'!$R$23*E134+'Reference Standards'!$R$24, 'Reference Standards'!$S$23*E134+'Reference Standards'!$S$24)),2))),   IF(G104="Northern Streams",IF(E134&lt;35,0,IF(E134&gt;=61,1,ROUND(IF(E134&lt;47, 'Reference Standards'!$T$23*E134+'Reference Standards'!$T$24, IF(E134&lt;56, 'Reference Standards'!$U$23*E134+'Reference Standards'!$U$24, 'Reference Standards'!$V$23*E134+'Reference Standards'!$V$24) ),2))), IF(G104="Northern Headwaters",IF(E134&lt;23,0,IF(E134&gt;=68,1,ROUND(IF(E134&lt;42, 'Reference Standards'!$W$23*E134+'Reference Standards'!$W$24, IF(E134&lt;56, 'Reference Standards'!$X$23*E134+'Reference Standards'!$X$24, 'Reference Standards'!$Y$23*E134+'Reference Standards'!$Y$24) ),2))), IF(G104="Northern Coldwater",IF(E134&lt;25,0,IF(E134&gt;=60,1,ROUND(IF(E134&lt;35, 'Reference Standards'!$Z$23*E134+'Reference Standards'!$Z$24, IF(E134&lt;45, 'Reference Standards'!$AA$23*E134+'Reference Standards'!$AA$24, 'Reference Standards'!$AB$23*E134+'Reference Standards'!$AB$24) ),2))), IF(G104="Southern River", IF(E134&lt;38,0,IF(E134&gt;=71,1,ROUND(IF(E134&lt;49, 'Reference Standards'!$Q$29*E134+'Reference Standards'!$Q$30, IF(E134&lt;60,'Reference Standards'!$R$29*E134+'Reference Standards'!$R$30, 'Reference Standards'!$S$29*E134+'Reference Standards'!$S$30)),2))), IF(G104="Southern Streams", IF(E134&lt;35,0,IF(E134&gt;=66,1,ROUND(IF(E134&lt;50,'Reference Standards'!$T$29*E134+'Reference Standards'!$T$30, IF(E134&lt;59, 'Reference Standards'!$U$29*E134+'Reference Standards'!$U$30, 'Reference Standards'!$V$29*E134+'Reference Standards'!$V$30)),2))), IF(G104="Southern Headwaters", IF(E134&lt;33,0,IF(E134&gt;=74,1,ROUND(IF(E134&lt;55, 'Reference Standards'!$W$29*E134+'Reference Standards'!$W$30, IF(E134&lt;62, 'Reference Standards'!$X$29*E134+'Reference Standards'!$X$30, 'Reference Standards'!$Y$29*E134+'Reference Standards'!$Y$30)),2))), IF(G104="Southern Coldwater", IF(E134&lt;37,0,IF(E134&gt;=82,1,ROUND(IF(E134&lt;50, 'Reference Standards'!$Z$29*E134+'Reference Standards'!$Z$30, IF(E134&lt;63,'Reference Standards'!$AA$29*E134+'Reference Standards'!$AA$30,'Reference Standards'!$AB$29*E134+'Reference Standards'!$AB$30)),2))), IF(G104="Low Gradient", IF(E134&lt;15,0,IF(E134&gt;=70,1,ROUND(IF(E134&lt;42, 'Reference Standards'!$Q$34*E134+'Reference Standards'!$Q$35, IF(E134&lt;52, 'Reference Standards'!$R$34*E134+'Reference Standards'!$R$35, 'Reference Standards'!$S$34*E134+'Reference Standards'!$S$35)),2))) ))))))))))))</f>
        <v>0.8</v>
      </c>
      <c r="G134" s="237">
        <f>IFERROR(AVERAGE(F134),"")</f>
        <v>0.8</v>
      </c>
      <c r="H134" s="450"/>
      <c r="I134" s="414"/>
      <c r="J134" s="429"/>
    </row>
    <row r="135" spans="1:11" ht="5.45" customHeight="1" x14ac:dyDescent="0.25">
      <c r="J135" s="4"/>
      <c r="K135" s="11"/>
    </row>
    <row r="136" spans="1:11" ht="5.45" customHeight="1" x14ac:dyDescent="0.25">
      <c r="K136" s="11"/>
    </row>
    <row r="137" spans="1:11" ht="21" customHeight="1" x14ac:dyDescent="0.25">
      <c r="A137" s="406" t="s">
        <v>310</v>
      </c>
      <c r="B137" s="407"/>
      <c r="C137" s="407"/>
      <c r="D137" s="407"/>
      <c r="E137" s="407"/>
      <c r="F137" s="407"/>
      <c r="G137" s="407"/>
      <c r="H137" s="407"/>
      <c r="I137" s="407"/>
      <c r="J137" s="408"/>
    </row>
    <row r="138" spans="1:11" ht="16.149999999999999" customHeight="1" x14ac:dyDescent="0.25">
      <c r="A138" s="122" t="s">
        <v>68</v>
      </c>
      <c r="B138" s="101"/>
      <c r="C138" s="122" t="s">
        <v>195</v>
      </c>
      <c r="D138" s="48"/>
      <c r="E138" s="165" t="s">
        <v>226</v>
      </c>
      <c r="F138" s="166"/>
      <c r="G138" s="48"/>
      <c r="H138" s="404" t="s">
        <v>137</v>
      </c>
      <c r="I138" s="405"/>
      <c r="J138" s="101"/>
    </row>
    <row r="139" spans="1:11" ht="16.149999999999999" customHeight="1" x14ac:dyDescent="0.25">
      <c r="A139" s="122" t="s">
        <v>69</v>
      </c>
      <c r="B139" s="48"/>
      <c r="C139" s="122" t="s">
        <v>205</v>
      </c>
      <c r="D139" s="48"/>
      <c r="E139" s="413" t="s">
        <v>92</v>
      </c>
      <c r="F139" s="413"/>
      <c r="G139" s="48"/>
      <c r="H139" s="404" t="s">
        <v>138</v>
      </c>
      <c r="I139" s="405"/>
      <c r="J139" s="101"/>
    </row>
    <row r="140" spans="1:11" ht="16.149999999999999" customHeight="1" x14ac:dyDescent="0.25">
      <c r="A140" s="122" t="s">
        <v>136</v>
      </c>
      <c r="B140" s="48"/>
      <c r="C140" s="122" t="s">
        <v>206</v>
      </c>
      <c r="D140" s="48"/>
      <c r="E140" s="413" t="s">
        <v>267</v>
      </c>
      <c r="F140" s="413"/>
      <c r="G140" s="48"/>
      <c r="H140" s="404" t="s">
        <v>139</v>
      </c>
      <c r="I140" s="405"/>
      <c r="J140" s="101"/>
    </row>
    <row r="141" spans="1:11" ht="16.149999999999999" customHeight="1" x14ac:dyDescent="0.25">
      <c r="A141" s="106" t="s">
        <v>261</v>
      </c>
      <c r="B141" s="48"/>
      <c r="C141" s="122" t="s">
        <v>207</v>
      </c>
      <c r="D141" s="48"/>
      <c r="E141" s="225" t="s">
        <v>260</v>
      </c>
      <c r="F141" s="226"/>
      <c r="G141" s="48"/>
      <c r="H141" s="404" t="s">
        <v>140</v>
      </c>
      <c r="I141" s="405"/>
      <c r="J141" s="101"/>
    </row>
    <row r="142" spans="1:11" ht="8.4499999999999993" customHeight="1" x14ac:dyDescent="0.25">
      <c r="A142" s="1"/>
      <c r="B142" s="4"/>
      <c r="C142" s="4"/>
      <c r="D142" s="4"/>
      <c r="E142" s="4"/>
      <c r="F142" s="4"/>
      <c r="G142" s="4"/>
      <c r="H142" s="12"/>
      <c r="I142" s="104"/>
      <c r="J142" s="12"/>
    </row>
    <row r="143" spans="1:11" ht="21" x14ac:dyDescent="0.35">
      <c r="A143" s="420" t="s">
        <v>311</v>
      </c>
      <c r="B143" s="420"/>
      <c r="C143" s="420"/>
      <c r="D143" s="420"/>
      <c r="E143" s="420"/>
      <c r="F143" s="420"/>
      <c r="G143" s="420" t="s">
        <v>14</v>
      </c>
      <c r="H143" s="420"/>
      <c r="I143" s="420"/>
      <c r="J143" s="420"/>
    </row>
    <row r="144" spans="1:11" ht="15.75" x14ac:dyDescent="0.25">
      <c r="A144" s="46" t="s">
        <v>1</v>
      </c>
      <c r="B144" s="46" t="s">
        <v>2</v>
      </c>
      <c r="C144" s="421" t="s">
        <v>3</v>
      </c>
      <c r="D144" s="422"/>
      <c r="E144" s="46" t="s">
        <v>12</v>
      </c>
      <c r="F144" s="45" t="s">
        <v>13</v>
      </c>
      <c r="G144" s="46" t="s">
        <v>15</v>
      </c>
      <c r="H144" s="46" t="s">
        <v>16</v>
      </c>
      <c r="I144" s="105" t="s">
        <v>16</v>
      </c>
      <c r="J144" s="46" t="s">
        <v>264</v>
      </c>
    </row>
    <row r="145" spans="1:10" ht="15.75" customHeight="1" x14ac:dyDescent="0.25">
      <c r="A145" s="427" t="s">
        <v>51</v>
      </c>
      <c r="B145" s="427" t="s">
        <v>78</v>
      </c>
      <c r="C145" s="167" t="s">
        <v>162</v>
      </c>
      <c r="D145" s="169"/>
      <c r="E145" s="44"/>
      <c r="F145" s="28">
        <f>IF(G141="Yes","",(IF(G140="",0.8,(IF(AND(E145="",G140="Yes"),0.9,(IF(AND(E145="",G140="No"),0.8,IF(E145&gt;=80,0,IF(E145&lt;=40,1,IF(E145&gt;=68,ROUND(E145*'Reference Standards'!$B$4+'Reference Standards'!$B$5,2),ROUND(E145*'Reference Standards'!$C$4+'Reference Standards'!$C$5,2)))))))))))</f>
        <v>0.8</v>
      </c>
      <c r="G145" s="401">
        <f>IFERROR(AVERAGE(F145:F147),"")</f>
        <v>0.8</v>
      </c>
      <c r="H145" s="401">
        <f>IFERROR(ROUND(AVERAGE(G145:G147),2),"")</f>
        <v>0.8</v>
      </c>
      <c r="I145" s="414" t="str">
        <f>IF(H145="","",IF(H145&gt;0.69,"Functioning",IF(H145&gt;0.29,"Functioning At Risk",IF(H145&gt;-1,"Not Functioning"))))</f>
        <v>Functioning</v>
      </c>
      <c r="J145" s="429">
        <f>IF(AND(H145="",H148="",H150="",H164="",H167=""),"",ROUND((IF(H145="",0,H145)*0.2)+(IF(H148="",0,H148)*0.2)+(IF(H150="",0,H150)*0.2)+(IF(H164="",0,H164)*0.2)+(IF(H167="",0,H167)*0.2),2))</f>
        <v>0.8</v>
      </c>
    </row>
    <row r="146" spans="1:10" ht="15.75" customHeight="1" x14ac:dyDescent="0.25">
      <c r="A146" s="428"/>
      <c r="B146" s="428"/>
      <c r="C146" s="168" t="s">
        <v>164</v>
      </c>
      <c r="D146" s="170"/>
      <c r="E146" s="49"/>
      <c r="F146" s="228" t="str">
        <f>IF(G141="No","",IF(E146="","",  IF(E146&gt;0.95,0,IF(E146&lt;=0.02,1,ROUND(IF(E146&gt;0.26,'Reference Standards'!$B$10*E146+'Reference Standards'!$B$11, IF(E146&lt;0.05, 'Reference Standards'!$D$10*E146+'Reference Standards'!$D$11, 'Reference Standards'!$C$10*E146+'Reference Standards'!$C$11)),2))) ))</f>
        <v/>
      </c>
      <c r="G146" s="402"/>
      <c r="H146" s="402"/>
      <c r="I146" s="414"/>
      <c r="J146" s="429"/>
    </row>
    <row r="147" spans="1:10" ht="15.75" x14ac:dyDescent="0.25">
      <c r="A147" s="428"/>
      <c r="B147" s="442"/>
      <c r="C147" s="171" t="s">
        <v>166</v>
      </c>
      <c r="D147" s="172"/>
      <c r="E147" s="49"/>
      <c r="F147" s="227">
        <f>IF(G141="Yes","",(IF(G140="",0.8,(IF(AND(E147="",G140="Yes"),0.9,(IF(AND(E147="",G140="No"),0.8,IF(E147&gt;3.22,0,IF(E147&lt;0,"",ROUND('Reference Standards'!$B$15*E147+'Reference Standards'!$B$16,2))))))))))</f>
        <v>0.8</v>
      </c>
      <c r="G147" s="403"/>
      <c r="H147" s="403"/>
      <c r="I147" s="414"/>
      <c r="J147" s="429"/>
    </row>
    <row r="148" spans="1:10" ht="15.75" x14ac:dyDescent="0.25">
      <c r="A148" s="432" t="s">
        <v>4</v>
      </c>
      <c r="B148" s="434" t="s">
        <v>5</v>
      </c>
      <c r="C148" s="17" t="s">
        <v>6</v>
      </c>
      <c r="D148" s="17"/>
      <c r="E148" s="44"/>
      <c r="F148" s="96">
        <f>IF(G140="",0.8,(IF(AND(E148="",G140="Yes"),0.9,(IF(AND(E148="",G140="No"),0.8,ROUND(IF(E148&gt;1.6,0,IF(E148&lt;=1,1,E148^2*'Reference Standards'!$F$2+E148*'Reference Standards'!$F$3+'Reference Standards'!$F$4)),2))))))</f>
        <v>0.8</v>
      </c>
      <c r="G148" s="435">
        <f>IFERROR(AVERAGE(F148:F149),"")</f>
        <v>0.8</v>
      </c>
      <c r="H148" s="436">
        <f>IFERROR(ROUND(AVERAGE(G148),2),"")</f>
        <v>0.8</v>
      </c>
      <c r="I148" s="438" t="str">
        <f>IF(H148="","",IF(H148&gt;0.69,"Functioning",IF(H148&gt;0.29,"Functioning At Risk",IF(H148&gt;-1,"Not Functioning"))))</f>
        <v>Functioning</v>
      </c>
      <c r="J148" s="429"/>
    </row>
    <row r="149" spans="1:10" ht="15.75" x14ac:dyDescent="0.25">
      <c r="A149" s="433"/>
      <c r="B149" s="434"/>
      <c r="C149" s="17" t="s">
        <v>7</v>
      </c>
      <c r="D149" s="17"/>
      <c r="E149" s="50"/>
      <c r="F149" s="96">
        <f>IF(G140="",0.8,(IF(AND(E149="",G140="Yes"),0.9,(IF(AND(E149="",G140="No"),0.8,(IF(OR(B140="A",B140="B",B140="Bc",B140="Ba"),IF(E149&lt;1.2,0,IF(E149&gt;=2.2,1,ROUND(IF(E149&lt;1.4,E149*'Reference Standards'!$F$13+'Reference Standards'!$F$14,E149*'Reference Standards'!$G$13+'Reference Standards'!$G$14),2))),IF(OR(B140="C",B140="Cb",B140="E"),IF(E149&lt;2,0,IF(E149&gt;=5,1,ROUND(IF(E149&lt;2.4,E149*'Reference Standards'!$G$8+'Reference Standards'!$G$9,E149*'Reference Standards'!$F$8+'Reference Standards'!$F$9),2)))))))))))</f>
        <v>0.8</v>
      </c>
      <c r="G149" s="435"/>
      <c r="H149" s="437"/>
      <c r="I149" s="439"/>
      <c r="J149" s="429"/>
    </row>
    <row r="150" spans="1:10" ht="15.75" x14ac:dyDescent="0.25">
      <c r="A150" s="398" t="s">
        <v>21</v>
      </c>
      <c r="B150" s="440" t="s">
        <v>22</v>
      </c>
      <c r="C150" s="21" t="s">
        <v>103</v>
      </c>
      <c r="D150" s="69"/>
      <c r="E150" s="44"/>
      <c r="F150" s="229" t="str">
        <f>IF(E150="","",IF(E150&gt;=660,1,IF(E150&lt;=430,ROUND('Reference Standards'!$I$4*E150+'Reference Standards'!$I$5,2),ROUND('Reference Standards'!$J$4*E150+'Reference Standards'!$J$5,2))))</f>
        <v/>
      </c>
      <c r="G150" s="423">
        <f>IFERROR(AVERAGE(F150:F151),"")</f>
        <v>0.8</v>
      </c>
      <c r="H150" s="447">
        <f>IFERROR(ROUND(AVERAGE(G150:G163),2),"")</f>
        <v>0.8</v>
      </c>
      <c r="I150" s="449" t="str">
        <f>IF(H150="","",IF(H150&gt;0.69,"Functioning",IF(H150&gt;0.29,"Functioning At Risk",IF(H150&gt;-1,"Not Functioning"))))</f>
        <v>Functioning</v>
      </c>
      <c r="J150" s="429"/>
    </row>
    <row r="151" spans="1:10" ht="15.75" x14ac:dyDescent="0.25">
      <c r="A151" s="399"/>
      <c r="B151" s="441"/>
      <c r="C151" s="24" t="s">
        <v>99</v>
      </c>
      <c r="D151" s="70"/>
      <c r="E151" s="50"/>
      <c r="F151" s="98">
        <f>IF(ISNUMBER(E150),"",IF(G140="",0.8,(IF(AND(E151="",G140="Yes"),0.9,(IF(AND(E151="",G140="No"),0.8,IF(E151&gt;=28,1,ROUND(IF(E151&lt;=13,'Reference Standards'!$I$9*E151,'Reference Standards'!$J$9*E151+'Reference Standards'!$J$10),2))))))))</f>
        <v>0.8</v>
      </c>
      <c r="G151" s="426"/>
      <c r="H151" s="447"/>
      <c r="I151" s="449"/>
      <c r="J151" s="429"/>
    </row>
    <row r="152" spans="1:10" ht="15.75" x14ac:dyDescent="0.25">
      <c r="A152" s="399"/>
      <c r="B152" s="399" t="s">
        <v>126</v>
      </c>
      <c r="C152" s="19" t="s">
        <v>43</v>
      </c>
      <c r="D152" s="19"/>
      <c r="E152" s="49"/>
      <c r="F152" s="29">
        <f>IF(G140="",0.8,(IF(AND(E152="",G140="Yes"),0.9,(IF(AND(E152="",G140="No"),0.8,IF(OR(E152="Ex/Ex",E152="Ex/VH",E152="Ex/H",E152="Ex/M",E152="VH/Ex",E152="VH/VH", E152="H/Ex",E152="H/VH"),0, IF(OR(E152="M/Ex"),0.1,IF(OR(E152="VH/H",E152="VH/M",E152="H/H",E152="H/M", E152="M/VH"),0.2, IF(OR(E152="Ex/VL",E152="Ex/L", E152="M/H"),0.3, IF(OR(E152="VH/L",E152="H/L"),0.4, IF(OR(E152="VH/VL",E152="H/VL",E152="M/M"),0.5, IF(OR(E152="M/L",E152="L/Ex"),0.6, IF(OR(E152="M/VL",E152="L/VH", E152="L/H",E152="L/M",E152="L/L",E152="L/VL",LEFT(E152)="V"),1)))))))))))))</f>
        <v>0.8</v>
      </c>
      <c r="G152" s="423">
        <f>IFERROR(AVERAGE(F152:F154),"")</f>
        <v>0.80000000000000016</v>
      </c>
      <c r="H152" s="448"/>
      <c r="I152" s="449"/>
      <c r="J152" s="429"/>
    </row>
    <row r="153" spans="1:10" ht="15.75" x14ac:dyDescent="0.25">
      <c r="A153" s="399"/>
      <c r="B153" s="399"/>
      <c r="C153" s="20" t="s">
        <v>57</v>
      </c>
      <c r="D153" s="173"/>
      <c r="E153" s="243"/>
      <c r="F153" s="29">
        <f>IF(G140="",0.8,(IF(AND(E153="",G140="Yes"),0.9,(IF(AND(E153="",G140="No"),0.8,ROUND(IF(E153&gt;=75,0,IF(E153&lt;=5,1,IF(E153&gt;10,E153*'Reference Standards'!$I$14+'Reference Standards'!$I$15,'Reference Standards'!$J$14*E153+'Reference Standards'!$J$15))),2))))))</f>
        <v>0.8</v>
      </c>
      <c r="G153" s="424"/>
      <c r="H153" s="448"/>
      <c r="I153" s="449"/>
      <c r="J153" s="429"/>
    </row>
    <row r="154" spans="1:10" ht="15.75" x14ac:dyDescent="0.25">
      <c r="A154" s="399"/>
      <c r="B154" s="400"/>
      <c r="C154" s="20" t="s">
        <v>125</v>
      </c>
      <c r="D154" s="20"/>
      <c r="E154" s="50"/>
      <c r="F154" s="98">
        <f>IF(G140="",0.8,(IF(AND(E154="",G140="Yes"),0.9,(IF(AND(E154="",G140="No"),0.8,IF(E154&gt;=50,0,ROUND(E154*'Reference Standards'!$I$18+'Reference Standards'!$I$19,2)))))))</f>
        <v>0.8</v>
      </c>
      <c r="G154" s="426"/>
      <c r="H154" s="448"/>
      <c r="I154" s="449"/>
      <c r="J154" s="429"/>
    </row>
    <row r="155" spans="1:10" ht="15.75" x14ac:dyDescent="0.25">
      <c r="A155" s="399"/>
      <c r="B155" s="18" t="s">
        <v>70</v>
      </c>
      <c r="C155" s="26" t="s">
        <v>80</v>
      </c>
      <c r="D155" s="68"/>
      <c r="E155" s="50"/>
      <c r="F155" s="27" t="str">
        <f>IF(E155="","",IF(E155&gt;=50,0,ROUND(E155*'Reference Standards'!$I$22+'Reference Standards'!$I$23,2)))</f>
        <v/>
      </c>
      <c r="G155" s="27" t="str">
        <f>IFERROR(AVERAGE(F155),"")</f>
        <v/>
      </c>
      <c r="H155" s="448"/>
      <c r="I155" s="449"/>
      <c r="J155" s="429"/>
    </row>
    <row r="156" spans="1:10" ht="15.75" x14ac:dyDescent="0.25">
      <c r="A156" s="399"/>
      <c r="B156" s="398" t="s">
        <v>45</v>
      </c>
      <c r="C156" s="25" t="s">
        <v>46</v>
      </c>
      <c r="D156" s="25"/>
      <c r="E156" s="53"/>
      <c r="F156" s="230">
        <f>IF(G140="",0.8,(IF(AND(E156="",G140="Yes"),0.9,(IF(AND(E156="",G140="No"),0.8,ROUND( IF(OR(LEFT(B140)="C",B140="E"), IF(OR(E156&lt;=1,E156&gt;=9),0,IF(AND(E156&gt;=3.5,E156&lt;=6),1,IF(E156&lt;3.5, E156*'Reference Standards'!$I$37+'Reference Standards'!$I$38, E156*'Reference Standards'!$J$37+'Reference Standards'!$J$38))),   IF(OR(B140="A",(B140)="B", (B140)="Ba"), IF(E156&gt;=6.5,0, IF(E156&lt;=4, 1, E156^2*'Reference Standards'!$I$26+E156*'Reference Standards'!$I$27+'Reference Standards'!$I$28)), IF(B140="Bc",  IF(E156&gt;=8,0, IF(E156&lt;=5, 1, E156^2*'Reference Standards'!$I$31+E156*'Reference Standards'!$I$32+'Reference Standards'!$I$33))))),2))))))</f>
        <v>0.8</v>
      </c>
      <c r="G156" s="430">
        <f>IFERROR(AVERAGE(F156:F159),"")</f>
        <v>0.80000000000000016</v>
      </c>
      <c r="H156" s="448"/>
      <c r="I156" s="449"/>
      <c r="J156" s="429"/>
    </row>
    <row r="157" spans="1:10" ht="15.75" x14ac:dyDescent="0.25">
      <c r="A157" s="399"/>
      <c r="B157" s="399"/>
      <c r="C157" s="19" t="s">
        <v>47</v>
      </c>
      <c r="D157" s="19"/>
      <c r="E157" s="52"/>
      <c r="F157" s="29">
        <f>IF(G140="",0.8,(IF(AND(E157="",G140="Yes"),0.9,(IF(AND(E157="",G140="No"),0.8,ROUND(  IF(E157&lt;=1.1,0, IF(E157&gt;=3,1, IF(E157&lt;2, E157^2*'Reference Standards'!$I$42+  E157*'Reference Standards'!$I$43 + 'Reference Standards'!$I$44,      E157*'Reference Standards'!$J$43+'Reference Standards'!$J$44))),2))))))</f>
        <v>0.8</v>
      </c>
      <c r="G157" s="425"/>
      <c r="H157" s="448"/>
      <c r="I157" s="449"/>
      <c r="J157" s="429"/>
    </row>
    <row r="158" spans="1:10" ht="15.75" x14ac:dyDescent="0.25">
      <c r="A158" s="399"/>
      <c r="B158" s="399"/>
      <c r="C158" s="19" t="s">
        <v>104</v>
      </c>
      <c r="D158" s="19"/>
      <c r="E158" s="52"/>
      <c r="F158" s="245">
        <f>IF(G140="",0.8,(IF(AND(E158="",G140="Yes"),0.9,(IF(AND(E158="",G140="No"),0.8,IF(OR(B140="A",LEFT(B140,1)="B"),IF(OR(E158&lt;=20,E158&gt;=90),0,IF(AND(E158&gt;=50,E158&lt;=60),1,IF(E158&lt;50,E158*'Reference Standards'!$I$48+'Reference Standards'!$I$49,E158*'Reference Standards'!$J$48+'Reference Standards'!$J$49))),IF(OR(LEFT(B140)="C",B140="E"),IF(OR(E158&lt;=20,E158&gt;=85),0,IF(AND(E158&lt;=65,E158&gt;=45),1,IF(E158&lt;45,E158*'Reference Standards'!$I$53+'Reference Standards'!$I$54,E158*'Reference Standards'!$J$53+'Reference Standards'!$J$54))))))))))</f>
        <v>0.8</v>
      </c>
      <c r="G158" s="425"/>
      <c r="H158" s="448"/>
      <c r="I158" s="449"/>
      <c r="J158" s="429"/>
    </row>
    <row r="159" spans="1:10" ht="15.75" x14ac:dyDescent="0.25">
      <c r="A159" s="399"/>
      <c r="B159" s="400"/>
      <c r="C159" s="23" t="s">
        <v>88</v>
      </c>
      <c r="D159" s="19"/>
      <c r="E159" s="54"/>
      <c r="F159" s="246" t="str">
        <f>IF(E159="","",IF(E159&gt;=1.6,0,IF(E159&lt;=1,1,ROUND('Reference Standards'!$I$57*E159^3+'Reference Standards'!$I$58*E159^2+'Reference Standards'!$I$59*E159+'Reference Standards'!$I$60,2))))</f>
        <v/>
      </c>
      <c r="G159" s="431"/>
      <c r="H159" s="448"/>
      <c r="I159" s="449"/>
      <c r="J159" s="429"/>
    </row>
    <row r="160" spans="1:10" ht="15.75" x14ac:dyDescent="0.25">
      <c r="A160" s="399"/>
      <c r="B160" s="398" t="s">
        <v>44</v>
      </c>
      <c r="C160" s="21" t="s">
        <v>182</v>
      </c>
      <c r="D160" s="69"/>
      <c r="E160" s="22"/>
      <c r="F160" s="97">
        <f>IF(G140="",0.8,(IF(AND(E160="",G140="Yes"),0.9,(IF(AND(E160="",G140="No"),0.8,IF(G139="Unconfined Alluvial",IF(E160&gt;=100,1,IF(E160&lt;30,0,ROUND('Reference Standards'!$I$64*E160+'Reference Standards'!$I$65,2))),IF(OR(G139="Confined Alluvial",G139="Colluvial/V-Shaped"),(IF(E160&gt;=100,1,IF(E160&lt;60,0,ROUND('Reference Standards'!$J$64*E160+'Reference Standards'!$J$65,2)))))))))))</f>
        <v>0.8</v>
      </c>
      <c r="G160" s="423">
        <f>IFERROR(AVERAGE(F160:F163),"")</f>
        <v>0.80000000000000016</v>
      </c>
      <c r="H160" s="448"/>
      <c r="I160" s="449"/>
      <c r="J160" s="429"/>
    </row>
    <row r="161" spans="1:11" ht="15.75" x14ac:dyDescent="0.25">
      <c r="A161" s="399"/>
      <c r="B161" s="399"/>
      <c r="C161" s="23" t="s">
        <v>183</v>
      </c>
      <c r="D161" s="173"/>
      <c r="E161" s="244"/>
      <c r="F161" s="29">
        <f>IF(G140="",0.8,(IF(AND(E161="",G140="Yes"),0.9,(IF(AND(E161="",G140="No"),0.8,IF(B141="Yes",IF(E161&lt;=50,0,IF(E161&gt;=80,1,ROUND('Reference Standards'!$I$69*E161+'Reference Standards'!$I$70,2))),IF(B141="No",IF(E161&gt;=80,0,IF(E161&lt;=50,1,ROUND(E161*'Reference Standards'!$J$69+'Reference Standards'!$J$70,2))))))))))</f>
        <v>0.8</v>
      </c>
      <c r="G161" s="424"/>
      <c r="H161" s="448"/>
      <c r="I161" s="449"/>
      <c r="J161" s="429"/>
    </row>
    <row r="162" spans="1:11" ht="15.75" x14ac:dyDescent="0.25">
      <c r="A162" s="399"/>
      <c r="B162" s="399"/>
      <c r="C162" s="23" t="s">
        <v>184</v>
      </c>
      <c r="D162" s="173"/>
      <c r="E162" s="244"/>
      <c r="F162" s="29">
        <f>IF(G140="",0.8,(IF(AND(E162="",G140="Yes"),0.9,(IF(AND(E162="",G140="No"),0.8,IF(E162&lt;=50,0,IF(E162&gt;=80,1, ROUND(E162*'Reference Standards'!$I$73+'Reference Standards'!$I$74,2))))))))</f>
        <v>0.8</v>
      </c>
      <c r="G162" s="425"/>
      <c r="H162" s="448"/>
      <c r="I162" s="449"/>
      <c r="J162" s="429"/>
    </row>
    <row r="163" spans="1:11" ht="15.75" x14ac:dyDescent="0.25">
      <c r="A163" s="399"/>
      <c r="B163" s="400"/>
      <c r="C163" s="443" t="s">
        <v>277</v>
      </c>
      <c r="D163" s="444"/>
      <c r="E163" s="16"/>
      <c r="F163" s="98" t="str">
        <f>IF(OR(B141="",B141="No"),"",IF(AND(E163="",B141="Yes",G140="Yes"),0.9,IF(OR(G140="No",G140=""),0.8,IF(E163&lt;=9,0,IF(E163&gt;=14,1,ROUND('Reference Standards'!$I$77*E163+'Reference Standards'!$I$78,2))))))</f>
        <v/>
      </c>
      <c r="G163" s="426"/>
      <c r="H163" s="448"/>
      <c r="I163" s="449"/>
      <c r="J163" s="429"/>
    </row>
    <row r="164" spans="1:11" ht="15.75" x14ac:dyDescent="0.25">
      <c r="A164" s="409" t="s">
        <v>49</v>
      </c>
      <c r="B164" s="174" t="s">
        <v>169</v>
      </c>
      <c r="C164" s="175" t="s">
        <v>176</v>
      </c>
      <c r="D164" s="177"/>
      <c r="E164" s="101"/>
      <c r="F164" s="182">
        <f>IF(G140="",0.8,(IF(AND(E164="",G140="Yes"),0.9,IF(E164&gt;=25,0,IF(E164&lt;=10,1,ROUND(IF(E164&gt;18,'Reference Standards'!$L$4*E164+'Reference Standards'!$L$5,IF(E164&lt;12,'Reference Standards'!$N$4*E164+'Reference Standards'!$N$5,'Reference Standards'!$M$4*E164+'Reference Standards'!$M$5)),2))))))</f>
        <v>0.8</v>
      </c>
      <c r="G164" s="180">
        <f>IFERROR(AVERAGE(F164),"")</f>
        <v>0.8</v>
      </c>
      <c r="H164" s="411">
        <f>IFERROR(ROUND(AVERAGE(G164:G166),2),"")</f>
        <v>0.8</v>
      </c>
      <c r="I164" s="415" t="str">
        <f>IF(H164="","",IF(H164&gt;0.69,"Functioning",IF(H164&gt;0.29,"Functioning At Risk",IF(H164&gt;-1,"Not Functioning"))))</f>
        <v>Functioning</v>
      </c>
      <c r="J164" s="429"/>
    </row>
    <row r="165" spans="1:11" ht="15.75" x14ac:dyDescent="0.25">
      <c r="A165" s="410"/>
      <c r="B165" s="176" t="s">
        <v>170</v>
      </c>
      <c r="C165" s="175" t="s">
        <v>177</v>
      </c>
      <c r="D165" s="178"/>
      <c r="E165" s="49"/>
      <c r="F165" s="231">
        <f>IF(G140="",0.8,(IF(AND(E165="",G140="Yes"),0.9,IF(D138="2A",IF(E165&lt;=5.3,0,IF(E165&gt;=8.79,1,ROUND(E165*'Reference Standards'!$L$9+'Reference Standards'!$L$10,2))),IF(D138=7,IF(E165&lt;=0.8,0,IF(E165&gt;=1.25,1,ROUND(E165*'Reference Standards'!$N$9+'Reference Standards'!$N$10,2))),IF(OR(D138="2B", D138="2Bd",D138="2C"),IF(E165&lt;=3.8,0,(IF(E165&gt;=6.3,1,ROUND(E165*'Reference Standards'!$M$9+'Reference Standards'!$M$10,2))))))))))</f>
        <v>0.8</v>
      </c>
      <c r="G165" s="181">
        <f>IFERROR(AVERAGE(F165),"")</f>
        <v>0.8</v>
      </c>
      <c r="H165" s="412"/>
      <c r="I165" s="416"/>
      <c r="J165" s="429"/>
    </row>
    <row r="166" spans="1:11" ht="15.75" x14ac:dyDescent="0.25">
      <c r="A166" s="410"/>
      <c r="B166" s="174" t="s">
        <v>172</v>
      </c>
      <c r="C166" s="175" t="s">
        <v>178</v>
      </c>
      <c r="D166" s="179"/>
      <c r="E166" s="101"/>
      <c r="F166" s="182">
        <f>IF(G140="",0.8,(IF(AND(E166="",G140="Yes"),0.9,IF(D138="2A",IF(E166&gt;=12.5,0,IF(E166&lt;=7.5,1,ROUND(E166*'Reference Standards'!$L$15+'Reference Standards'!$L$16,2))),IF(OR(D138="2B",D138="2Bd",D138="2C"),IF(D139="North",IF(E166&gt;=18.8,0,IF(E166&lt;=11.3,1,ROUND(E166*'Reference Standards'!$M$15+'Reference Standards'!$M$16,2))),IF(D139="Central",(IF(E166&gt;=37.5,0,IF(E166&lt;=22.5,1,ROUND(E166*'Reference Standards'!$N$15+'Reference Standards'!$N$16,2)))),IF(E166&gt;=81.2,0,(IF(E166&lt;=48.7,1,ROUND(E166*'Reference Standards'!$O$15+'Reference Standards'!$O$16,2)))))))))))</f>
        <v>0.8</v>
      </c>
      <c r="G166" s="182">
        <f>IFERROR(AVERAGE(F166),"")</f>
        <v>0.8</v>
      </c>
      <c r="H166" s="412"/>
      <c r="I166" s="416"/>
      <c r="J166" s="429"/>
    </row>
    <row r="167" spans="1:11" ht="15.75" x14ac:dyDescent="0.25">
      <c r="A167" s="445" t="s">
        <v>50</v>
      </c>
      <c r="B167" s="236" t="s">
        <v>105</v>
      </c>
      <c r="C167" s="40" t="s">
        <v>179</v>
      </c>
      <c r="D167" s="41"/>
      <c r="E167" s="44"/>
      <c r="F167" s="99">
        <f>IF(G140="",0.8,(IF(AND(E166="",G140="Yes"),0.9,IF(D141="Northern Forest Rivers",IF(E167&lt;=38.2,0,IF(E167&gt;=77,1,ROUND(IF(E167&lt;49, 'Reference Standards'!$Q$5*E167+'Reference Standards'!$Q$6, IF(E167&lt;59.8, 'Reference Standards'!$R$5*E167+'Reference Standards'!$R$6, 'Reference Standards'!$S$5*E167+'Reference Standards'!$S$6)),2))),   IF(D141="Northern Forest Streams Riffle-run",IF(E167&lt;40.4,0,IF(E167&gt;=82,1,ROUND(IF(E167&lt;53, 'Reference Standards'!$T$5*E167+'Reference Standards'!$T$6, IF(E167&lt;59.8, 'Reference Standards'!$U$5*E167+'Reference Standards'!$U$6, 'Reference Standards'!$V$5*E167+'Reference Standards'!$V$6) ),2))), IF(D141="Northern Forest Streams Glide-pool",IF(E167&lt;=37,0,IF(E167&gt;=76,1,ROUND(IF(E167&lt;51, 'Reference Standards'!$W$5*E167+'Reference Standards'!$W$6, IF(E167&lt;65.6, 'Reference Standards'!$X$5*E167+'Reference Standards'!$X$6, 'Reference Standards'!$Y$5*E167+'Reference Standards'!$Y$6) ),2))), IF(D141="Northern Coldwater",IF(E167&lt;19.6,0,IF(E167&gt;=52,1,ROUND(IF(E167&lt;32, 'Reference Standards'!$Z$5*E167+'Reference Standards'!$Z$6, IF(E167&lt;44.4,'Reference Standards'!$AA$5*E167+'Reference Standards'!$AA$6, 'Reference Standards'!$AB$5*E167+'Reference Standards'!$AB$6) ),2))), IF(D141="Southern Forest Streams Riffle-run", IF(E167&lt;24,0,IF(E167&gt;=62,1,ROUND(IF(E167&lt;37, 'Reference Standards'!$Q$11*E167+'Reference Standards'!$Q$12, IF(E167&lt;49.6,'Reference Standards'!$R$11*E167+'Reference Standards'!$R$12,'Reference Standards'!$S$11*E167+'Reference Standards'!$S$12)),2))), IF(D141="Southern Forest Streams Glide-pool", IF(E167&lt;29.4,0,IF(E167&gt;=65,1,ROUND(IF(E167&lt;43,'Reference Standards'!$T$11*E167+'Reference Standards'!$T$12, IF(E167&lt;56.6, 'Reference Standards'!$U$11*E167+'Reference Standards'!$U$12,'Reference Standards'!$V$11*E167+'Reference Standards'!$V$12)),2))), IF(D141="Southern Coldwater", IF(E167&lt;29.2,0,IF(E167&gt;=72,1,ROUND(IF(E167&lt;43, 'Reference Standards'!$W$11*E167+'Reference Standards'!$W$12, IF(E167&lt;56.8,'Reference Standards'!$X$11*E167+'Reference Standards'!$X$12, 'Reference Standards'!$Y$11*E167+'Reference Standards'!$Y$12)),2))), IF(D141="Prairie Forest Rivers", IF(E167&lt;20.2,0,IF(E167&gt;=62,1,ROUND(IF(E167&lt;31,'Reference Standards'!$Q$17*E167+'Reference Standards'!$Q$18, IF(E167&lt;41.8,'Reference Standards'!$R$17*E167+'Reference Standards'!$R$18,'Reference Standards'!$S$17*E167+'Reference Standards'!$S$18)),2))), IF(D141="Prairie Streams Glide-Pool", IF(E167&lt;27.4,0,IF(E167&gt;=69,1,ROUND(IF(E167&lt;41,'Reference Standards'!$T$17*E167+'Reference Standards'!$T$18, IF(E167&lt;54.6,'Reference Standards'!$U$17*E167+'Reference Standards'!$U$18, 'Reference Standards'!$V$17*E167+'Reference Standards'!$V$18)),2))) ))))))))))))</f>
        <v>0.8</v>
      </c>
      <c r="G167" s="237">
        <f>IFERROR(AVERAGE(F167),"")</f>
        <v>0.8</v>
      </c>
      <c r="H167" s="450">
        <f>IFERROR(ROUND(AVERAGE(G167:G168),2),"")</f>
        <v>0.8</v>
      </c>
      <c r="I167" s="414" t="str">
        <f>IF(H167="","",IF(H167&gt;0.69,"Functioning",IF(H167&gt;0.29,"Functioning At Risk",IF(H167&gt;-1,"Not Functioning"))))</f>
        <v>Functioning</v>
      </c>
      <c r="J167" s="429"/>
    </row>
    <row r="168" spans="1:11" ht="15.75" x14ac:dyDescent="0.25">
      <c r="A168" s="446"/>
      <c r="B168" s="238" t="s">
        <v>54</v>
      </c>
      <c r="C168" s="183" t="s">
        <v>180</v>
      </c>
      <c r="D168" s="184"/>
      <c r="E168" s="101"/>
      <c r="F168" s="99">
        <f>IF(G140="",0.8,(IF(AND(E168="",G140="Yes"),0.9,IF(G138="Northern Rivers",IF(E168&lt;29,0,IF(E168&gt;=66,1,ROUND(IF(E168&lt;38, 'Reference Standards'!$Q$23*E168+'Reference Standards'!$Q$24, IF(E168&lt;47, 'Reference Standards'!$R$23*E168+'Reference Standards'!$R$24, 'Reference Standards'!$S$23*E168+'Reference Standards'!$S$24)),2))),   IF(G138="Northern Streams",IF(E168&lt;35,0,IF(E168&gt;=61,1,ROUND(IF(E168&lt;47, 'Reference Standards'!$T$23*E168+'Reference Standards'!$T$24, IF(E168&lt;56, 'Reference Standards'!$U$23*E168+'Reference Standards'!$U$24, 'Reference Standards'!$V$23*E168+'Reference Standards'!$V$24) ),2))), IF(G138="Northern Headwaters",IF(E168&lt;23,0,IF(E168&gt;=68,1,ROUND(IF(E168&lt;42, 'Reference Standards'!$W$23*E168+'Reference Standards'!$W$24, IF(E168&lt;56, 'Reference Standards'!$X$23*E168+'Reference Standards'!$X$24, 'Reference Standards'!$Y$23*E168+'Reference Standards'!$Y$24) ),2))), IF(G138="Northern Coldwater",IF(E168&lt;25,0,IF(E168&gt;=60,1,ROUND(IF(E168&lt;35, 'Reference Standards'!$Z$23*E168+'Reference Standards'!$Z$24, IF(E168&lt;45, 'Reference Standards'!$AA$23*E168+'Reference Standards'!$AA$24, 'Reference Standards'!$AB$23*E168+'Reference Standards'!$AB$24) ),2))), IF(G138="Southern River", IF(E168&lt;38,0,IF(E168&gt;=71,1,ROUND(IF(E168&lt;49, 'Reference Standards'!$Q$29*E168+'Reference Standards'!$Q$30, IF(E168&lt;60,'Reference Standards'!$R$29*E168+'Reference Standards'!$R$30, 'Reference Standards'!$S$29*E168+'Reference Standards'!$S$30)),2))), IF(G138="Southern Streams", IF(E168&lt;35,0,IF(E168&gt;=66,1,ROUND(IF(E168&lt;50,'Reference Standards'!$T$29*E168+'Reference Standards'!$T$30, IF(E168&lt;59, 'Reference Standards'!$U$29*E168+'Reference Standards'!$U$30, 'Reference Standards'!$V$29*E168+'Reference Standards'!$V$30)),2))), IF(G138="Southern Headwaters", IF(E168&lt;33,0,IF(E168&gt;=74,1,ROUND(IF(E168&lt;55, 'Reference Standards'!$W$29*E168+'Reference Standards'!$W$30, IF(E168&lt;62, 'Reference Standards'!$X$29*E168+'Reference Standards'!$X$30, 'Reference Standards'!$Y$29*E168+'Reference Standards'!$Y$30)),2))), IF(G138="Southern Coldwater", IF(E168&lt;37,0,IF(E168&gt;=82,1,ROUND(IF(E168&lt;50, 'Reference Standards'!$Z$29*E168+'Reference Standards'!$Z$30, IF(E168&lt;63,'Reference Standards'!$AA$29*E168+'Reference Standards'!$AA$30,'Reference Standards'!$AB$29*E168+'Reference Standards'!$AB$30)),2))), IF(G138="Low Gradient", IF(E168&lt;15,0,IF(E168&gt;=70,1,ROUND(IF(E168&lt;42, 'Reference Standards'!$Q$34*E168+'Reference Standards'!$Q$35, IF(E168&lt;52, 'Reference Standards'!$R$34*E168+'Reference Standards'!$R$35, 'Reference Standards'!$S$34*E168+'Reference Standards'!$S$35)),2))) ))))))))))))</f>
        <v>0.8</v>
      </c>
      <c r="G168" s="237">
        <f>IFERROR(AVERAGE(F168),"")</f>
        <v>0.8</v>
      </c>
      <c r="H168" s="450"/>
      <c r="I168" s="414"/>
      <c r="J168" s="429"/>
    </row>
    <row r="169" spans="1:11" ht="6" customHeight="1" x14ac:dyDescent="0.25">
      <c r="J169" s="4"/>
      <c r="K169" s="11"/>
    </row>
    <row r="170" spans="1:11" ht="6" customHeight="1" x14ac:dyDescent="0.25">
      <c r="K170" s="11"/>
    </row>
    <row r="171" spans="1:11" ht="21" customHeight="1" x14ac:dyDescent="0.25">
      <c r="A171" s="406" t="s">
        <v>310</v>
      </c>
      <c r="B171" s="407"/>
      <c r="C171" s="407"/>
      <c r="D171" s="407"/>
      <c r="E171" s="407"/>
      <c r="F171" s="407"/>
      <c r="G171" s="407"/>
      <c r="H171" s="407"/>
      <c r="I171" s="407"/>
      <c r="J171" s="408"/>
    </row>
    <row r="172" spans="1:11" ht="17.45" customHeight="1" x14ac:dyDescent="0.25">
      <c r="A172" s="122" t="s">
        <v>68</v>
      </c>
      <c r="B172" s="101"/>
      <c r="C172" s="122" t="s">
        <v>195</v>
      </c>
      <c r="D172" s="48"/>
      <c r="E172" s="165" t="s">
        <v>226</v>
      </c>
      <c r="F172" s="166"/>
      <c r="G172" s="48"/>
      <c r="H172" s="404" t="s">
        <v>137</v>
      </c>
      <c r="I172" s="405"/>
      <c r="J172" s="101"/>
    </row>
    <row r="173" spans="1:11" ht="17.45" customHeight="1" x14ac:dyDescent="0.25">
      <c r="A173" s="122" t="s">
        <v>69</v>
      </c>
      <c r="B173" s="48"/>
      <c r="C173" s="122" t="s">
        <v>205</v>
      </c>
      <c r="D173" s="48"/>
      <c r="E173" s="413" t="s">
        <v>92</v>
      </c>
      <c r="F173" s="413"/>
      <c r="G173" s="48"/>
      <c r="H173" s="404" t="s">
        <v>138</v>
      </c>
      <c r="I173" s="405"/>
      <c r="J173" s="101"/>
    </row>
    <row r="174" spans="1:11" ht="17.45" customHeight="1" x14ac:dyDescent="0.25">
      <c r="A174" s="122" t="s">
        <v>136</v>
      </c>
      <c r="B174" s="48"/>
      <c r="C174" s="122" t="s">
        <v>206</v>
      </c>
      <c r="D174" s="48"/>
      <c r="E174" s="413" t="s">
        <v>267</v>
      </c>
      <c r="F174" s="413"/>
      <c r="G174" s="48"/>
      <c r="H174" s="404" t="s">
        <v>139</v>
      </c>
      <c r="I174" s="405"/>
      <c r="J174" s="101"/>
    </row>
    <row r="175" spans="1:11" ht="17.45" customHeight="1" x14ac:dyDescent="0.25">
      <c r="A175" s="106" t="s">
        <v>261</v>
      </c>
      <c r="B175" s="48"/>
      <c r="C175" s="122" t="s">
        <v>207</v>
      </c>
      <c r="D175" s="48"/>
      <c r="E175" s="225" t="s">
        <v>260</v>
      </c>
      <c r="F175" s="226"/>
      <c r="G175" s="48"/>
      <c r="H175" s="404" t="s">
        <v>140</v>
      </c>
      <c r="I175" s="405"/>
      <c r="J175" s="101"/>
    </row>
    <row r="176" spans="1:11" ht="6" customHeight="1" x14ac:dyDescent="0.25">
      <c r="A176" s="1"/>
      <c r="B176" s="4"/>
      <c r="C176" s="4"/>
      <c r="D176" s="4"/>
      <c r="E176" s="4"/>
      <c r="F176" s="4"/>
      <c r="G176" s="4"/>
      <c r="H176" s="12"/>
      <c r="I176" s="104"/>
      <c r="J176" s="12"/>
    </row>
    <row r="177" spans="1:10" ht="21" x14ac:dyDescent="0.35">
      <c r="A177" s="420" t="s">
        <v>311</v>
      </c>
      <c r="B177" s="420"/>
      <c r="C177" s="420"/>
      <c r="D177" s="420"/>
      <c r="E177" s="420"/>
      <c r="F177" s="420"/>
      <c r="G177" s="420" t="s">
        <v>14</v>
      </c>
      <c r="H177" s="420"/>
      <c r="I177" s="420"/>
      <c r="J177" s="420"/>
    </row>
    <row r="178" spans="1:10" ht="15.75" x14ac:dyDescent="0.25">
      <c r="A178" s="46" t="s">
        <v>1</v>
      </c>
      <c r="B178" s="46" t="s">
        <v>2</v>
      </c>
      <c r="C178" s="421" t="s">
        <v>3</v>
      </c>
      <c r="D178" s="422"/>
      <c r="E178" s="46" t="s">
        <v>12</v>
      </c>
      <c r="F178" s="45" t="s">
        <v>13</v>
      </c>
      <c r="G178" s="46" t="s">
        <v>15</v>
      </c>
      <c r="H178" s="46" t="s">
        <v>16</v>
      </c>
      <c r="I178" s="105" t="s">
        <v>16</v>
      </c>
      <c r="J178" s="46" t="s">
        <v>264</v>
      </c>
    </row>
    <row r="179" spans="1:10" ht="15.75" customHeight="1" x14ac:dyDescent="0.25">
      <c r="A179" s="427" t="s">
        <v>51</v>
      </c>
      <c r="B179" s="427" t="s">
        <v>78</v>
      </c>
      <c r="C179" s="167" t="s">
        <v>162</v>
      </c>
      <c r="D179" s="169"/>
      <c r="E179" s="44"/>
      <c r="F179" s="28">
        <f>IF(G175="Yes","",(IF(G174="",0.8,(IF(AND(E179="",G174="Yes"),0.9,(IF(AND(E179="",G174="No"),0.8,IF(E179&gt;=80,0,IF(E179&lt;=40,1,IF(E179&gt;=68,ROUND(E179*'Reference Standards'!$B$4+'Reference Standards'!$B$5,2),ROUND(E179*'Reference Standards'!$C$4+'Reference Standards'!$C$5,2)))))))))))</f>
        <v>0.8</v>
      </c>
      <c r="G179" s="401">
        <f>IFERROR(AVERAGE(F179:F181),"")</f>
        <v>0.8</v>
      </c>
      <c r="H179" s="401">
        <f>IFERROR(ROUND(AVERAGE(G179:G181),2),"")</f>
        <v>0.8</v>
      </c>
      <c r="I179" s="414" t="str">
        <f>IF(H179="","",IF(H179&gt;0.69,"Functioning",IF(H179&gt;0.29,"Functioning At Risk",IF(H179&gt;-1,"Not Functioning"))))</f>
        <v>Functioning</v>
      </c>
      <c r="J179" s="429">
        <f>IF(AND(H179="",H182="",H184="",H198="",H201=""),"",ROUND((IF(H179="",0,H179)*0.2)+(IF(H182="",0,H182)*0.2)+(IF(H184="",0,H184)*0.2)+(IF(H198="",0,H198)*0.2)+(IF(H201="",0,H201)*0.2),2))</f>
        <v>0.8</v>
      </c>
    </row>
    <row r="180" spans="1:10" ht="15.75" customHeight="1" x14ac:dyDescent="0.25">
      <c r="A180" s="428"/>
      <c r="B180" s="428"/>
      <c r="C180" s="168" t="s">
        <v>164</v>
      </c>
      <c r="D180" s="170"/>
      <c r="E180" s="49"/>
      <c r="F180" s="228" t="str">
        <f>IF(G175="No","",IF(E180="","",  IF(E180&gt;0.95,0,IF(E180&lt;=0.02,1,ROUND(IF(E180&gt;0.26,'Reference Standards'!$B$10*E180+'Reference Standards'!$B$11, IF(E180&lt;0.05, 'Reference Standards'!$D$10*E180+'Reference Standards'!$D$11, 'Reference Standards'!$C$10*E180+'Reference Standards'!$C$11)),2))) ))</f>
        <v/>
      </c>
      <c r="G180" s="402"/>
      <c r="H180" s="402"/>
      <c r="I180" s="414"/>
      <c r="J180" s="429"/>
    </row>
    <row r="181" spans="1:10" ht="15.75" x14ac:dyDescent="0.25">
      <c r="A181" s="428"/>
      <c r="B181" s="442"/>
      <c r="C181" s="171" t="s">
        <v>166</v>
      </c>
      <c r="D181" s="172"/>
      <c r="E181" s="49"/>
      <c r="F181" s="227">
        <f>IF(G175="Yes","",(IF(G174="",0.8,(IF(AND(E181="",G174="Yes"),0.9,(IF(AND(E181="",G174="No"),0.8,IF(E181&gt;3.22,0,IF(E181&lt;0,"",ROUND('Reference Standards'!$B$15*E181+'Reference Standards'!$B$16,2))))))))))</f>
        <v>0.8</v>
      </c>
      <c r="G181" s="403"/>
      <c r="H181" s="403"/>
      <c r="I181" s="414"/>
      <c r="J181" s="429"/>
    </row>
    <row r="182" spans="1:10" ht="15.75" x14ac:dyDescent="0.25">
      <c r="A182" s="432" t="s">
        <v>4</v>
      </c>
      <c r="B182" s="434" t="s">
        <v>5</v>
      </c>
      <c r="C182" s="17" t="s">
        <v>6</v>
      </c>
      <c r="D182" s="17"/>
      <c r="E182" s="44"/>
      <c r="F182" s="96">
        <f>IF(G174="",0.8,(IF(AND(E182="",G174="Yes"),0.9,(IF(AND(E182="",G174="No"),0.8,ROUND(IF(E182&gt;1.6,0,IF(E182&lt;=1,1,E182^2*'Reference Standards'!$F$2+E182*'Reference Standards'!$F$3+'Reference Standards'!$F$4)),2))))))</f>
        <v>0.8</v>
      </c>
      <c r="G182" s="435">
        <f>IFERROR(AVERAGE(F182:F183),"")</f>
        <v>0.8</v>
      </c>
      <c r="H182" s="436">
        <f>IFERROR(ROUND(AVERAGE(G182),2),"")</f>
        <v>0.8</v>
      </c>
      <c r="I182" s="438" t="str">
        <f>IF(H182="","",IF(H182&gt;0.69,"Functioning",IF(H182&gt;0.29,"Functioning At Risk",IF(H182&gt;-1,"Not Functioning"))))</f>
        <v>Functioning</v>
      </c>
      <c r="J182" s="429"/>
    </row>
    <row r="183" spans="1:10" ht="15.75" x14ac:dyDescent="0.25">
      <c r="A183" s="433"/>
      <c r="B183" s="434"/>
      <c r="C183" s="17" t="s">
        <v>7</v>
      </c>
      <c r="D183" s="17"/>
      <c r="E183" s="50"/>
      <c r="F183" s="96">
        <f>IF(G174="",0.8,(IF(AND(E183="",G174="Yes"),0.9,(IF(AND(E183="",G174="No"),0.8,(IF(OR(B174="A",B174="B",B174="Bc",B174="Ba"),IF(E183&lt;1.2,0,IF(E183&gt;=2.2,1,ROUND(IF(E183&lt;1.4,E183*'Reference Standards'!$F$13+'Reference Standards'!$F$14,E183*'Reference Standards'!$G$13+'Reference Standards'!$G$14),2))),IF(OR(B174="C",B174="Cb",B174="E"),IF(E183&lt;2,0,IF(E183&gt;=5,1,ROUND(IF(E183&lt;2.4,E183*'Reference Standards'!$G$8+'Reference Standards'!$G$9,E183*'Reference Standards'!$F$8+'Reference Standards'!$F$9),2)))))))))))</f>
        <v>0.8</v>
      </c>
      <c r="G183" s="435"/>
      <c r="H183" s="437"/>
      <c r="I183" s="439"/>
      <c r="J183" s="429"/>
    </row>
    <row r="184" spans="1:10" ht="15.75" customHeight="1" x14ac:dyDescent="0.25">
      <c r="A184" s="398" t="s">
        <v>21</v>
      </c>
      <c r="B184" s="440" t="s">
        <v>22</v>
      </c>
      <c r="C184" s="21" t="s">
        <v>103</v>
      </c>
      <c r="D184" s="69"/>
      <c r="E184" s="44"/>
      <c r="F184" s="229" t="str">
        <f>IF(E184="","",IF(E184&gt;=660,1,IF(E184&lt;=430,ROUND('Reference Standards'!$I$4*E184+'Reference Standards'!$I$5,2),ROUND('Reference Standards'!$J$4*E184+'Reference Standards'!$J$5,2))))</f>
        <v/>
      </c>
      <c r="G184" s="423">
        <f>IFERROR(AVERAGE(F184:F185),"")</f>
        <v>0.8</v>
      </c>
      <c r="H184" s="447">
        <f>IFERROR(ROUND(AVERAGE(G184:G197),2),"")</f>
        <v>0.8</v>
      </c>
      <c r="I184" s="449" t="str">
        <f>IF(H184="","",IF(H184&gt;0.69,"Functioning",IF(H184&gt;0.29,"Functioning At Risk",IF(H184&gt;-1,"Not Functioning"))))</f>
        <v>Functioning</v>
      </c>
      <c r="J184" s="429"/>
    </row>
    <row r="185" spans="1:10" ht="15.75" x14ac:dyDescent="0.25">
      <c r="A185" s="399"/>
      <c r="B185" s="441"/>
      <c r="C185" s="24" t="s">
        <v>99</v>
      </c>
      <c r="D185" s="70"/>
      <c r="E185" s="50"/>
      <c r="F185" s="98">
        <f>IF(ISNUMBER(E184),"",IF(G174="",0.8,(IF(AND(E185="",G174="Yes"),0.9,(IF(AND(E185="",G174="No"),0.8,IF(E185&gt;=28,1,ROUND(IF(E185&lt;=13,'Reference Standards'!$I$9*E185,'Reference Standards'!$J$9*E185+'Reference Standards'!$J$10),2))))))))</f>
        <v>0.8</v>
      </c>
      <c r="G185" s="426"/>
      <c r="H185" s="447"/>
      <c r="I185" s="449"/>
      <c r="J185" s="429"/>
    </row>
    <row r="186" spans="1:10" ht="15.75" x14ac:dyDescent="0.25">
      <c r="A186" s="399"/>
      <c r="B186" s="399" t="s">
        <v>126</v>
      </c>
      <c r="C186" s="19" t="s">
        <v>43</v>
      </c>
      <c r="D186" s="19"/>
      <c r="E186" s="49"/>
      <c r="F186" s="29">
        <f>IF(G174="",0.8,(IF(AND(E186="",G174="Yes"),0.9,(IF(AND(E186="",G174="No"),0.8,IF(OR(E186="Ex/Ex",E186="Ex/VH",E186="Ex/H",E186="Ex/M",E186="VH/Ex",E186="VH/VH", E186="H/Ex",E186="H/VH"),0, IF(OR(E186="M/Ex"),0.1,IF(OR(E186="VH/H",E186="VH/M",E186="H/H",E186="H/M", E186="M/VH"),0.2, IF(OR(E186="Ex/VL",E186="Ex/L", E186="M/H"),0.3, IF(OR(E186="VH/L",E186="H/L"),0.4, IF(OR(E186="VH/VL",E186="H/VL",E186="M/M"),0.5, IF(OR(E186="M/L",E186="L/Ex"),0.6, IF(OR(E186="M/VL",E186="L/VH", E186="L/H",E186="L/M",E186="L/L",E186="L/VL",LEFT(E186)="V"),1)))))))))))))</f>
        <v>0.8</v>
      </c>
      <c r="G186" s="423">
        <f>IFERROR(AVERAGE(F186:F188),"")</f>
        <v>0.80000000000000016</v>
      </c>
      <c r="H186" s="448"/>
      <c r="I186" s="449"/>
      <c r="J186" s="429"/>
    </row>
    <row r="187" spans="1:10" ht="15.75" x14ac:dyDescent="0.25">
      <c r="A187" s="399"/>
      <c r="B187" s="399"/>
      <c r="C187" s="20" t="s">
        <v>57</v>
      </c>
      <c r="D187" s="173"/>
      <c r="E187" s="243"/>
      <c r="F187" s="29">
        <f>IF(G174="",0.8,(IF(AND(E187="",G174="Yes"),0.9,(IF(AND(E187="",G174="No"),0.8,ROUND(IF(E187&gt;=75,0,IF(E187&lt;=5,1,IF(E187&gt;10,E187*'Reference Standards'!$I$14+'Reference Standards'!$I$15,'Reference Standards'!$J$14*E187+'Reference Standards'!$J$15))),2))))))</f>
        <v>0.8</v>
      </c>
      <c r="G187" s="424"/>
      <c r="H187" s="448"/>
      <c r="I187" s="449"/>
      <c r="J187" s="429"/>
    </row>
    <row r="188" spans="1:10" ht="15.75" x14ac:dyDescent="0.25">
      <c r="A188" s="399"/>
      <c r="B188" s="400"/>
      <c r="C188" s="20" t="s">
        <v>125</v>
      </c>
      <c r="D188" s="20"/>
      <c r="E188" s="50"/>
      <c r="F188" s="98">
        <f>IF(G174="",0.8,(IF(AND(E188="",G174="Yes"),0.9,(IF(AND(E188="",G174="No"),0.8,IF(E188&gt;=50,0,ROUND(E188*'Reference Standards'!$I$18+'Reference Standards'!$I$19,2)))))))</f>
        <v>0.8</v>
      </c>
      <c r="G188" s="426"/>
      <c r="H188" s="448"/>
      <c r="I188" s="449"/>
      <c r="J188" s="429"/>
    </row>
    <row r="189" spans="1:10" ht="15.75" x14ac:dyDescent="0.25">
      <c r="A189" s="399"/>
      <c r="B189" s="18" t="s">
        <v>70</v>
      </c>
      <c r="C189" s="26" t="s">
        <v>80</v>
      </c>
      <c r="D189" s="68"/>
      <c r="E189" s="50"/>
      <c r="F189" s="27" t="str">
        <f>IF(E189="","",IF(E189&gt;=50,0,ROUND(E189*'Reference Standards'!$I$22+'Reference Standards'!$I$23,2)))</f>
        <v/>
      </c>
      <c r="G189" s="27" t="str">
        <f>IFERROR(AVERAGE(F189),"")</f>
        <v/>
      </c>
      <c r="H189" s="448"/>
      <c r="I189" s="449"/>
      <c r="J189" s="429"/>
    </row>
    <row r="190" spans="1:10" ht="15.75" x14ac:dyDescent="0.25">
      <c r="A190" s="399"/>
      <c r="B190" s="398" t="s">
        <v>45</v>
      </c>
      <c r="C190" s="25" t="s">
        <v>46</v>
      </c>
      <c r="D190" s="25"/>
      <c r="E190" s="53"/>
      <c r="F190" s="230">
        <f>IF(G174="",0.8,(IF(AND(E190="",G174="Yes"),0.9,(IF(AND(E190="",G174="No"),0.8,ROUND( IF(OR(LEFT(B174)="C",B174="E"), IF(OR(E190&lt;=1,E190&gt;=9),0,IF(AND(E190&gt;=3.5,E190&lt;=6),1,IF(E190&lt;3.5, E190*'Reference Standards'!$I$37+'Reference Standards'!$I$38, E190*'Reference Standards'!$J$37+'Reference Standards'!$J$38))),   IF(OR(B174="A",(B174)="B", (B174)="Ba"), IF(E190&gt;=6.5,0, IF(E190&lt;=4, 1, E190^2*'Reference Standards'!$I$26+E190*'Reference Standards'!$I$27+'Reference Standards'!$I$28)), IF(B174="Bc",  IF(E190&gt;=8,0, IF(E190&lt;=5, 1, E190^2*'Reference Standards'!$I$31+E190*'Reference Standards'!$I$32+'Reference Standards'!$I$33))))),2))))))</f>
        <v>0.8</v>
      </c>
      <c r="G190" s="430">
        <f>IFERROR(AVERAGE(F190:F193),"")</f>
        <v>0.80000000000000016</v>
      </c>
      <c r="H190" s="448"/>
      <c r="I190" s="449"/>
      <c r="J190" s="429"/>
    </row>
    <row r="191" spans="1:10" ht="15.75" x14ac:dyDescent="0.25">
      <c r="A191" s="399"/>
      <c r="B191" s="399"/>
      <c r="C191" s="19" t="s">
        <v>47</v>
      </c>
      <c r="D191" s="19"/>
      <c r="E191" s="52"/>
      <c r="F191" s="29">
        <f>IF(G174="",0.8,(IF(AND(E191="",G174="Yes"),0.9,(IF(AND(E191="",G174="No"),0.8,ROUND(  IF(E191&lt;=1.1,0, IF(E191&gt;=3,1, IF(E191&lt;2, E191^2*'Reference Standards'!$I$42+  E191*'Reference Standards'!$I$43 + 'Reference Standards'!$I$44,      E191*'Reference Standards'!$J$43+'Reference Standards'!$J$44))),2))))))</f>
        <v>0.8</v>
      </c>
      <c r="G191" s="425"/>
      <c r="H191" s="448"/>
      <c r="I191" s="449"/>
      <c r="J191" s="429"/>
    </row>
    <row r="192" spans="1:10" ht="15.75" x14ac:dyDescent="0.25">
      <c r="A192" s="399"/>
      <c r="B192" s="399"/>
      <c r="C192" s="19" t="s">
        <v>104</v>
      </c>
      <c r="D192" s="19"/>
      <c r="E192" s="52"/>
      <c r="F192" s="245">
        <f>IF(G174="",0.8,(IF(AND(E192="",G174="Yes"),0.9,(IF(AND(E192="",G174="No"),0.8,IF(OR(B174="A",LEFT(B174,1)="B"),IF(OR(E192&lt;=20,E192&gt;=90),0,IF(AND(E192&gt;=50,E192&lt;=60),1,IF(E192&lt;50,E192*'Reference Standards'!$I$48+'Reference Standards'!$I$49,E192*'Reference Standards'!$J$48+'Reference Standards'!$J$49))),IF(OR(LEFT(B174)="C",B174="E"),IF(OR(E192&lt;=20,E192&gt;=85),0,IF(AND(E192&lt;=65,E192&gt;=45),1,IF(E192&lt;45,E192*'Reference Standards'!$I$53+'Reference Standards'!$I$54,E192*'Reference Standards'!$J$53+'Reference Standards'!$J$54))))))))))</f>
        <v>0.8</v>
      </c>
      <c r="G192" s="425"/>
      <c r="H192" s="448"/>
      <c r="I192" s="449"/>
      <c r="J192" s="429"/>
    </row>
    <row r="193" spans="1:11" ht="15.75" x14ac:dyDescent="0.25">
      <c r="A193" s="399"/>
      <c r="B193" s="400"/>
      <c r="C193" s="23" t="s">
        <v>88</v>
      </c>
      <c r="D193" s="19"/>
      <c r="E193" s="54"/>
      <c r="F193" s="246" t="str">
        <f>IF(E193="","",IF(E193&gt;=1.6,0,IF(E193&lt;=1,1,ROUND('Reference Standards'!$I$57*E193^3+'Reference Standards'!$I$58*E193^2+'Reference Standards'!$I$59*E193+'Reference Standards'!$I$60,2))))</f>
        <v/>
      </c>
      <c r="G193" s="431"/>
      <c r="H193" s="448"/>
      <c r="I193" s="449"/>
      <c r="J193" s="429"/>
    </row>
    <row r="194" spans="1:11" ht="15.75" x14ac:dyDescent="0.25">
      <c r="A194" s="399"/>
      <c r="B194" s="398" t="s">
        <v>44</v>
      </c>
      <c r="C194" s="21" t="s">
        <v>182</v>
      </c>
      <c r="D194" s="69"/>
      <c r="E194" s="22"/>
      <c r="F194" s="97">
        <f>IF(G174="",0.8,(IF(AND(E194="",G174="Yes"),0.9,(IF(AND(E194="",G174="No"),0.8,IF(G173="Unconfined Alluvial",IF(E194&gt;=100,1,IF(E194&lt;30,0,ROUND('Reference Standards'!$I$64*E194+'Reference Standards'!$I$65,2))),IF(OR(G173="Confined Alluvial",G173="Colluvial/V-Shaped"),(IF(E194&gt;=100,1,IF(E194&lt;60,0,ROUND('Reference Standards'!$J$64*E194+'Reference Standards'!$J$65,2)))))))))))</f>
        <v>0.8</v>
      </c>
      <c r="G194" s="423">
        <f>IFERROR(AVERAGE(F194:F197),"")</f>
        <v>0.80000000000000016</v>
      </c>
      <c r="H194" s="448"/>
      <c r="I194" s="449"/>
      <c r="J194" s="429"/>
    </row>
    <row r="195" spans="1:11" ht="15.75" x14ac:dyDescent="0.25">
      <c r="A195" s="399"/>
      <c r="B195" s="399"/>
      <c r="C195" s="23" t="s">
        <v>183</v>
      </c>
      <c r="D195" s="173"/>
      <c r="E195" s="244"/>
      <c r="F195" s="29">
        <f>IF(G174="",0.8,(IF(AND(E195="",G174="Yes"),0.9,(IF(AND(E195="",G174="No"),0.8,IF(B175="Yes",IF(E195&lt;=50,0,IF(E195&gt;=80,1,ROUND('Reference Standards'!$I$69*E195+'Reference Standards'!$I$70,2))),IF(B175="No",IF(E195&gt;=80,0,IF(E195&lt;=50,1,ROUND(E195*'Reference Standards'!$J$69+'Reference Standards'!$J$70,2))))))))))</f>
        <v>0.8</v>
      </c>
      <c r="G195" s="424"/>
      <c r="H195" s="448"/>
      <c r="I195" s="449"/>
      <c r="J195" s="429"/>
    </row>
    <row r="196" spans="1:11" ht="15.75" x14ac:dyDescent="0.25">
      <c r="A196" s="399"/>
      <c r="B196" s="399"/>
      <c r="C196" s="23" t="s">
        <v>184</v>
      </c>
      <c r="D196" s="173"/>
      <c r="E196" s="244"/>
      <c r="F196" s="29">
        <f>IF(G174="",0.8,(IF(AND(E196="",G174="Yes"),0.9,(IF(AND(E196="",G174="No"),0.8,IF(E196&lt;=50,0,IF(E196&gt;=80,1, ROUND(E196*'Reference Standards'!$I$73+'Reference Standards'!$I$74,2))))))))</f>
        <v>0.8</v>
      </c>
      <c r="G196" s="425"/>
      <c r="H196" s="448"/>
      <c r="I196" s="449"/>
      <c r="J196" s="429"/>
    </row>
    <row r="197" spans="1:11" ht="15.75" x14ac:dyDescent="0.25">
      <c r="A197" s="399"/>
      <c r="B197" s="400"/>
      <c r="C197" s="443" t="s">
        <v>277</v>
      </c>
      <c r="D197" s="444"/>
      <c r="E197" s="16"/>
      <c r="F197" s="98" t="str">
        <f>IF(OR(B175="",B175="No"),"",IF(AND(E197="",B175="Yes",G174="Yes"),0.9,IF(OR(G174="No",G174=""),0.8,IF(E197&lt;=9,0,IF(E197&gt;=14,1,ROUND('Reference Standards'!$I$77*E197+'Reference Standards'!$I$78,2))))))</f>
        <v/>
      </c>
      <c r="G197" s="426"/>
      <c r="H197" s="448"/>
      <c r="I197" s="449"/>
      <c r="J197" s="429"/>
    </row>
    <row r="198" spans="1:11" ht="15.75" customHeight="1" x14ac:dyDescent="0.25">
      <c r="A198" s="409" t="s">
        <v>49</v>
      </c>
      <c r="B198" s="174" t="s">
        <v>169</v>
      </c>
      <c r="C198" s="175" t="s">
        <v>176</v>
      </c>
      <c r="D198" s="177"/>
      <c r="E198" s="101"/>
      <c r="F198" s="182">
        <f>IF(G174="",0.8,(IF(AND(E198="",G174="Yes"),0.9,IF(E198&gt;=25,0,IF(E198&lt;=10,1,ROUND(IF(E198&gt;18,'Reference Standards'!$L$4*E198+'Reference Standards'!$L$5,IF(E198&lt;12,'Reference Standards'!$N$4*E198+'Reference Standards'!$N$5,'Reference Standards'!$M$4*E198+'Reference Standards'!$M$5)),2))))))</f>
        <v>0.8</v>
      </c>
      <c r="G198" s="180">
        <f>IFERROR(AVERAGE(F198),"")</f>
        <v>0.8</v>
      </c>
      <c r="H198" s="411">
        <f>IFERROR(ROUND(AVERAGE(G198:G200),2),"")</f>
        <v>0.8</v>
      </c>
      <c r="I198" s="415" t="str">
        <f>IF(H198="","",IF(H198&gt;0.69,"Functioning",IF(H198&gt;0.29,"Functioning At Risk",IF(H198&gt;-1,"Not Functioning"))))</f>
        <v>Functioning</v>
      </c>
      <c r="J198" s="429"/>
    </row>
    <row r="199" spans="1:11" ht="15.75" x14ac:dyDescent="0.25">
      <c r="A199" s="410"/>
      <c r="B199" s="176" t="s">
        <v>170</v>
      </c>
      <c r="C199" s="175" t="s">
        <v>177</v>
      </c>
      <c r="D199" s="178"/>
      <c r="E199" s="49"/>
      <c r="F199" s="231">
        <f>IF(G174="",0.8,(IF(AND(E199="",G174="Yes"),0.9,IF(D172="2A",IF(E199&lt;=5.3,0,IF(E199&gt;=8.79,1,ROUND(E199*'Reference Standards'!$L$9+'Reference Standards'!$L$10,2))),IF(D172=7,IF(E199&lt;=0.8,0,IF(E199&gt;=1.25,1,ROUND(E199*'Reference Standards'!$N$9+'Reference Standards'!$N$10,2))),IF(OR(D172="2B", D172="2Bd",D172="2C"),IF(E199&lt;=3.8,0,(IF(E199&gt;=6.3,1,ROUND(E199*'Reference Standards'!$M$9+'Reference Standards'!$M$10,2))))))))))</f>
        <v>0.8</v>
      </c>
      <c r="G199" s="181">
        <f>IFERROR(AVERAGE(F199),"")</f>
        <v>0.8</v>
      </c>
      <c r="H199" s="412"/>
      <c r="I199" s="416"/>
      <c r="J199" s="429"/>
    </row>
    <row r="200" spans="1:11" ht="15.75" x14ac:dyDescent="0.25">
      <c r="A200" s="410"/>
      <c r="B200" s="174" t="s">
        <v>172</v>
      </c>
      <c r="C200" s="175" t="s">
        <v>178</v>
      </c>
      <c r="D200" s="179"/>
      <c r="E200" s="101"/>
      <c r="F200" s="182">
        <f>IF(G174="",0.8,(IF(AND(E200="",G174="Yes"),0.9,IF(D172="2A",IF(E200&gt;=12.5,0,IF(E200&lt;=7.5,1,ROUND(E200*'Reference Standards'!$L$15+'Reference Standards'!$L$16,2))),IF(OR(D172="2B",D172="2Bd",D172="2C"),IF(D173="North",IF(E200&gt;=18.8,0,IF(E200&lt;=11.3,1,ROUND(E200*'Reference Standards'!$M$15+'Reference Standards'!$M$16,2))),IF(D173="Central",(IF(E200&gt;=37.5,0,IF(E200&lt;=22.5,1,ROUND(E200*'Reference Standards'!$N$15+'Reference Standards'!$N$16,2)))),IF(E200&gt;=81.2,0,(IF(E200&lt;=48.7,1,ROUND(E200*'Reference Standards'!$O$15+'Reference Standards'!$O$16,2)))))))))))</f>
        <v>0.8</v>
      </c>
      <c r="G200" s="182">
        <f>IFERROR(AVERAGE(F200),"")</f>
        <v>0.8</v>
      </c>
      <c r="H200" s="412"/>
      <c r="I200" s="416"/>
      <c r="J200" s="429"/>
    </row>
    <row r="201" spans="1:11" ht="15.75" x14ac:dyDescent="0.25">
      <c r="A201" s="445" t="s">
        <v>50</v>
      </c>
      <c r="B201" s="236" t="s">
        <v>105</v>
      </c>
      <c r="C201" s="40" t="s">
        <v>179</v>
      </c>
      <c r="D201" s="41"/>
      <c r="E201" s="44"/>
      <c r="F201" s="99">
        <f>IF(G174="",0.8,(IF(AND(E200="",G174="Yes"),0.9,IF(D175="Northern Forest Rivers",IF(E201&lt;=38.2,0,IF(E201&gt;=77,1,ROUND(IF(E201&lt;49, 'Reference Standards'!$Q$5*E201+'Reference Standards'!$Q$6, IF(E201&lt;59.8, 'Reference Standards'!$R$5*E201+'Reference Standards'!$R$6, 'Reference Standards'!$S$5*E201+'Reference Standards'!$S$6)),2))),   IF(D175="Northern Forest Streams Riffle-run",IF(E201&lt;40.4,0,IF(E201&gt;=82,1,ROUND(IF(E201&lt;53, 'Reference Standards'!$T$5*E201+'Reference Standards'!$T$6, IF(E201&lt;59.8, 'Reference Standards'!$U$5*E201+'Reference Standards'!$U$6, 'Reference Standards'!$V$5*E201+'Reference Standards'!$V$6) ),2))), IF(D175="Northern Forest Streams Glide-pool",IF(E201&lt;=37,0,IF(E201&gt;=76,1,ROUND(IF(E201&lt;51, 'Reference Standards'!$W$5*E201+'Reference Standards'!$W$6, IF(E201&lt;65.6, 'Reference Standards'!$X$5*E201+'Reference Standards'!$X$6, 'Reference Standards'!$Y$5*E201+'Reference Standards'!$Y$6) ),2))), IF(D175="Northern Coldwater",IF(E201&lt;19.6,0,IF(E201&gt;=52,1,ROUND(IF(E201&lt;32, 'Reference Standards'!$Z$5*E201+'Reference Standards'!$Z$6, IF(E201&lt;44.4,'Reference Standards'!$AA$5*E201+'Reference Standards'!$AA$6, 'Reference Standards'!$AB$5*E201+'Reference Standards'!$AB$6) ),2))), IF(D175="Southern Forest Streams Riffle-run", IF(E201&lt;24,0,IF(E201&gt;=62,1,ROUND(IF(E201&lt;37, 'Reference Standards'!$Q$11*E201+'Reference Standards'!$Q$12, IF(E201&lt;49.6,'Reference Standards'!$R$11*E201+'Reference Standards'!$R$12,'Reference Standards'!$S$11*E201+'Reference Standards'!$S$12)),2))), IF(D175="Southern Forest Streams Glide-pool", IF(E201&lt;29.4,0,IF(E201&gt;=65,1,ROUND(IF(E201&lt;43,'Reference Standards'!$T$11*E201+'Reference Standards'!$T$12, IF(E201&lt;56.6, 'Reference Standards'!$U$11*E201+'Reference Standards'!$U$12,'Reference Standards'!$V$11*E201+'Reference Standards'!$V$12)),2))), IF(D175="Southern Coldwater", IF(E201&lt;29.2,0,IF(E201&gt;=72,1,ROUND(IF(E201&lt;43, 'Reference Standards'!$W$11*E201+'Reference Standards'!$W$12, IF(E201&lt;56.8,'Reference Standards'!$X$11*E201+'Reference Standards'!$X$12, 'Reference Standards'!$Y$11*E201+'Reference Standards'!$Y$12)),2))), IF(D175="Prairie Forest Rivers", IF(E201&lt;20.2,0,IF(E201&gt;=62,1,ROUND(IF(E201&lt;31,'Reference Standards'!$Q$17*E201+'Reference Standards'!$Q$18, IF(E201&lt;41.8,'Reference Standards'!$R$17*E201+'Reference Standards'!$R$18,'Reference Standards'!$S$17*E201+'Reference Standards'!$S$18)),2))), IF(D175="Prairie Streams Glide-Pool", IF(E201&lt;27.4,0,IF(E201&gt;=69,1,ROUND(IF(E201&lt;41,'Reference Standards'!$T$17*E201+'Reference Standards'!$T$18, IF(E201&lt;54.6,'Reference Standards'!$U$17*E201+'Reference Standards'!$U$18, 'Reference Standards'!$V$17*E201+'Reference Standards'!$V$18)),2))) ))))))))))))</f>
        <v>0.8</v>
      </c>
      <c r="G201" s="237">
        <f>IFERROR(AVERAGE(F201),"")</f>
        <v>0.8</v>
      </c>
      <c r="H201" s="450">
        <f>IFERROR(ROUND(AVERAGE(G201:G202),2),"")</f>
        <v>0.8</v>
      </c>
      <c r="I201" s="414" t="str">
        <f>IF(H201="","",IF(H201&gt;0.69,"Functioning",IF(H201&gt;0.29,"Functioning At Risk",IF(H201&gt;-1,"Not Functioning"))))</f>
        <v>Functioning</v>
      </c>
      <c r="J201" s="429"/>
    </row>
    <row r="202" spans="1:11" ht="15.75" x14ac:dyDescent="0.25">
      <c r="A202" s="446"/>
      <c r="B202" s="238" t="s">
        <v>54</v>
      </c>
      <c r="C202" s="183" t="s">
        <v>180</v>
      </c>
      <c r="D202" s="184"/>
      <c r="E202" s="101"/>
      <c r="F202" s="99">
        <f>IF(G174="",0.8,(IF(AND(E202="",G174="Yes"),0.9,IF(G172="Northern Rivers",IF(E202&lt;29,0,IF(E202&gt;=66,1,ROUND(IF(E202&lt;38, 'Reference Standards'!$Q$23*E202+'Reference Standards'!$Q$24, IF(E202&lt;47, 'Reference Standards'!$R$23*E202+'Reference Standards'!$R$24, 'Reference Standards'!$S$23*E202+'Reference Standards'!$S$24)),2))),   IF(G172="Northern Streams",IF(E202&lt;35,0,IF(E202&gt;=61,1,ROUND(IF(E202&lt;47, 'Reference Standards'!$T$23*E202+'Reference Standards'!$T$24, IF(E202&lt;56, 'Reference Standards'!$U$23*E202+'Reference Standards'!$U$24, 'Reference Standards'!$V$23*E202+'Reference Standards'!$V$24) ),2))), IF(G172="Northern Headwaters",IF(E202&lt;23,0,IF(E202&gt;=68,1,ROUND(IF(E202&lt;42, 'Reference Standards'!$W$23*E202+'Reference Standards'!$W$24, IF(E202&lt;56, 'Reference Standards'!$X$23*E202+'Reference Standards'!$X$24, 'Reference Standards'!$Y$23*E202+'Reference Standards'!$Y$24) ),2))), IF(G172="Northern Coldwater",IF(E202&lt;25,0,IF(E202&gt;=60,1,ROUND(IF(E202&lt;35, 'Reference Standards'!$Z$23*E202+'Reference Standards'!$Z$24, IF(E202&lt;45, 'Reference Standards'!$AA$23*E202+'Reference Standards'!$AA$24, 'Reference Standards'!$AB$23*E202+'Reference Standards'!$AB$24) ),2))), IF(G172="Southern River", IF(E202&lt;38,0,IF(E202&gt;=71,1,ROUND(IF(E202&lt;49, 'Reference Standards'!$Q$29*E202+'Reference Standards'!$Q$30, IF(E202&lt;60,'Reference Standards'!$R$29*E202+'Reference Standards'!$R$30, 'Reference Standards'!$S$29*E202+'Reference Standards'!$S$30)),2))), IF(G172="Southern Streams", IF(E202&lt;35,0,IF(E202&gt;=66,1,ROUND(IF(E202&lt;50,'Reference Standards'!$T$29*E202+'Reference Standards'!$T$30, IF(E202&lt;59, 'Reference Standards'!$U$29*E202+'Reference Standards'!$U$30, 'Reference Standards'!$V$29*E202+'Reference Standards'!$V$30)),2))), IF(G172="Southern Headwaters", IF(E202&lt;33,0,IF(E202&gt;=74,1,ROUND(IF(E202&lt;55, 'Reference Standards'!$W$29*E202+'Reference Standards'!$W$30, IF(E202&lt;62, 'Reference Standards'!$X$29*E202+'Reference Standards'!$X$30, 'Reference Standards'!$Y$29*E202+'Reference Standards'!$Y$30)),2))), IF(G172="Southern Coldwater", IF(E202&lt;37,0,IF(E202&gt;=82,1,ROUND(IF(E202&lt;50, 'Reference Standards'!$Z$29*E202+'Reference Standards'!$Z$30, IF(E202&lt;63,'Reference Standards'!$AA$29*E202+'Reference Standards'!$AA$30,'Reference Standards'!$AB$29*E202+'Reference Standards'!$AB$30)),2))), IF(G172="Low Gradient", IF(E202&lt;15,0,IF(E202&gt;=70,1,ROUND(IF(E202&lt;42, 'Reference Standards'!$Q$34*E202+'Reference Standards'!$Q$35, IF(E202&lt;52, 'Reference Standards'!$R$34*E202+'Reference Standards'!$R$35, 'Reference Standards'!$S$34*E202+'Reference Standards'!$S$35)),2))) ))))))))))))</f>
        <v>0.8</v>
      </c>
      <c r="G202" s="237">
        <f>IFERROR(AVERAGE(F202),"")</f>
        <v>0.8</v>
      </c>
      <c r="H202" s="450"/>
      <c r="I202" s="414"/>
      <c r="J202" s="429"/>
    </row>
    <row r="203" spans="1:11" ht="7.9" customHeight="1" x14ac:dyDescent="0.25">
      <c r="J203" s="4"/>
      <c r="K203" s="11"/>
    </row>
    <row r="204" spans="1:11" ht="7.9" customHeight="1" x14ac:dyDescent="0.25">
      <c r="K204" s="11"/>
    </row>
    <row r="205" spans="1:11" ht="21" customHeight="1" x14ac:dyDescent="0.25">
      <c r="A205" s="406" t="s">
        <v>310</v>
      </c>
      <c r="B205" s="407"/>
      <c r="C205" s="407"/>
      <c r="D205" s="407"/>
      <c r="E205" s="407"/>
      <c r="F205" s="407"/>
      <c r="G205" s="407"/>
      <c r="H205" s="407"/>
      <c r="I205" s="407"/>
      <c r="J205" s="408"/>
    </row>
    <row r="206" spans="1:11" ht="17.45" customHeight="1" x14ac:dyDescent="0.25">
      <c r="A206" s="122" t="s">
        <v>68</v>
      </c>
      <c r="B206" s="101"/>
      <c r="C206" s="122" t="s">
        <v>195</v>
      </c>
      <c r="D206" s="48"/>
      <c r="E206" s="165" t="s">
        <v>226</v>
      </c>
      <c r="F206" s="166"/>
      <c r="G206" s="48"/>
      <c r="H206" s="404" t="s">
        <v>137</v>
      </c>
      <c r="I206" s="405"/>
      <c r="J206" s="101"/>
    </row>
    <row r="207" spans="1:11" ht="17.45" customHeight="1" x14ac:dyDescent="0.25">
      <c r="A207" s="122" t="s">
        <v>69</v>
      </c>
      <c r="B207" s="48"/>
      <c r="C207" s="122" t="s">
        <v>205</v>
      </c>
      <c r="D207" s="48"/>
      <c r="E207" s="413" t="s">
        <v>92</v>
      </c>
      <c r="F207" s="413"/>
      <c r="G207" s="48"/>
      <c r="H207" s="404" t="s">
        <v>138</v>
      </c>
      <c r="I207" s="405"/>
      <c r="J207" s="101"/>
    </row>
    <row r="208" spans="1:11" ht="17.45" customHeight="1" x14ac:dyDescent="0.25">
      <c r="A208" s="122" t="s">
        <v>136</v>
      </c>
      <c r="B208" s="48"/>
      <c r="C208" s="122" t="s">
        <v>206</v>
      </c>
      <c r="D208" s="48"/>
      <c r="E208" s="413" t="s">
        <v>267</v>
      </c>
      <c r="F208" s="413"/>
      <c r="G208" s="48"/>
      <c r="H208" s="404" t="s">
        <v>139</v>
      </c>
      <c r="I208" s="405"/>
      <c r="J208" s="101"/>
    </row>
    <row r="209" spans="1:10" ht="17.45" customHeight="1" x14ac:dyDescent="0.25">
      <c r="A209" s="106" t="s">
        <v>261</v>
      </c>
      <c r="B209" s="48"/>
      <c r="C209" s="122" t="s">
        <v>207</v>
      </c>
      <c r="D209" s="48"/>
      <c r="E209" s="225" t="s">
        <v>260</v>
      </c>
      <c r="F209" s="226"/>
      <c r="G209" s="48"/>
      <c r="H209" s="404" t="s">
        <v>140</v>
      </c>
      <c r="I209" s="405"/>
      <c r="J209" s="101"/>
    </row>
    <row r="210" spans="1:10" ht="6.6" customHeight="1" x14ac:dyDescent="0.25">
      <c r="A210" s="1"/>
      <c r="B210" s="4"/>
      <c r="C210" s="4"/>
      <c r="D210" s="4"/>
      <c r="E210" s="4"/>
      <c r="F210" s="4"/>
      <c r="G210" s="4"/>
      <c r="H210" s="12"/>
      <c r="I210" s="104"/>
      <c r="J210" s="12"/>
    </row>
    <row r="211" spans="1:10" ht="21" x14ac:dyDescent="0.35">
      <c r="A211" s="420" t="s">
        <v>311</v>
      </c>
      <c r="B211" s="420"/>
      <c r="C211" s="420"/>
      <c r="D211" s="420"/>
      <c r="E211" s="420"/>
      <c r="F211" s="420"/>
      <c r="G211" s="420" t="s">
        <v>14</v>
      </c>
      <c r="H211" s="420"/>
      <c r="I211" s="420"/>
      <c r="J211" s="420"/>
    </row>
    <row r="212" spans="1:10" ht="15.75" x14ac:dyDescent="0.25">
      <c r="A212" s="46" t="s">
        <v>1</v>
      </c>
      <c r="B212" s="46" t="s">
        <v>2</v>
      </c>
      <c r="C212" s="421" t="s">
        <v>3</v>
      </c>
      <c r="D212" s="422"/>
      <c r="E212" s="46" t="s">
        <v>12</v>
      </c>
      <c r="F212" s="45" t="s">
        <v>13</v>
      </c>
      <c r="G212" s="46" t="s">
        <v>15</v>
      </c>
      <c r="H212" s="46" t="s">
        <v>16</v>
      </c>
      <c r="I212" s="105" t="s">
        <v>16</v>
      </c>
      <c r="J212" s="46" t="s">
        <v>264</v>
      </c>
    </row>
    <row r="213" spans="1:10" ht="15.75" customHeight="1" x14ac:dyDescent="0.25">
      <c r="A213" s="427" t="s">
        <v>51</v>
      </c>
      <c r="B213" s="427" t="s">
        <v>78</v>
      </c>
      <c r="C213" s="167" t="s">
        <v>162</v>
      </c>
      <c r="D213" s="169"/>
      <c r="E213" s="44"/>
      <c r="F213" s="28">
        <f>IF(G209="Yes","",(IF(G208="",0.8,(IF(AND(E213="",G208="Yes"),0.9,(IF(AND(E213="",G208="No"),0.8,IF(E213&gt;=80,0,IF(E213&lt;=40,1,IF(E213&gt;=68,ROUND(E213*'Reference Standards'!$B$4+'Reference Standards'!$B$5,2),ROUND(E213*'Reference Standards'!$C$4+'Reference Standards'!$C$5,2)))))))))))</f>
        <v>0.8</v>
      </c>
      <c r="G213" s="401">
        <f>IFERROR(AVERAGE(F213:F215),"")</f>
        <v>0.8</v>
      </c>
      <c r="H213" s="401">
        <f>IFERROR(ROUND(AVERAGE(G213:G215),2),"")</f>
        <v>0.8</v>
      </c>
      <c r="I213" s="414" t="str">
        <f>IF(H213="","",IF(H213&gt;0.69,"Functioning",IF(H213&gt;0.29,"Functioning At Risk",IF(H213&gt;-1,"Not Functioning"))))</f>
        <v>Functioning</v>
      </c>
      <c r="J213" s="429">
        <f>IF(AND(H213="",H216="",H218="",H232="",H235=""),"",ROUND((IF(H213="",0,H213)*0.2)+(IF(H216="",0,H216)*0.2)+(IF(H218="",0,H218)*0.2)+(IF(H232="",0,H232)*0.2)+(IF(H235="",0,H235)*0.2),2))</f>
        <v>0.8</v>
      </c>
    </row>
    <row r="214" spans="1:10" ht="15.75" customHeight="1" x14ac:dyDescent="0.25">
      <c r="A214" s="428"/>
      <c r="B214" s="428"/>
      <c r="C214" s="168" t="s">
        <v>164</v>
      </c>
      <c r="D214" s="170"/>
      <c r="E214" s="49"/>
      <c r="F214" s="228" t="str">
        <f>IF(G209="No","",IF(E214="","",  IF(E214&gt;0.95,0,IF(E214&lt;=0.02,1,ROUND(IF(E214&gt;0.26,'Reference Standards'!$B$10*E214+'Reference Standards'!$B$11, IF(E214&lt;0.05, 'Reference Standards'!$D$10*E214+'Reference Standards'!$D$11, 'Reference Standards'!$C$10*E214+'Reference Standards'!$C$11)),2))) ))</f>
        <v/>
      </c>
      <c r="G214" s="402"/>
      <c r="H214" s="402"/>
      <c r="I214" s="414"/>
      <c r="J214" s="429"/>
    </row>
    <row r="215" spans="1:10" ht="15.75" x14ac:dyDescent="0.25">
      <c r="A215" s="428"/>
      <c r="B215" s="442"/>
      <c r="C215" s="171" t="s">
        <v>166</v>
      </c>
      <c r="D215" s="172"/>
      <c r="E215" s="49"/>
      <c r="F215" s="227">
        <f>IF(G209="Yes","",(IF(G208="",0.8,(IF(AND(E215="",G208="Yes"),0.9,(IF(AND(E215="",G208="No"),0.8,IF(E215&gt;3.22,0,IF(E215&lt;0,"",ROUND('Reference Standards'!$B$15*E215+'Reference Standards'!$B$16,2))))))))))</f>
        <v>0.8</v>
      </c>
      <c r="G215" s="403"/>
      <c r="H215" s="403"/>
      <c r="I215" s="414"/>
      <c r="J215" s="429"/>
    </row>
    <row r="216" spans="1:10" ht="15.75" x14ac:dyDescent="0.25">
      <c r="A216" s="432" t="s">
        <v>4</v>
      </c>
      <c r="B216" s="434" t="s">
        <v>5</v>
      </c>
      <c r="C216" s="17" t="s">
        <v>6</v>
      </c>
      <c r="D216" s="17"/>
      <c r="E216" s="44"/>
      <c r="F216" s="96">
        <f>IF(G208="",0.8,(IF(AND(E216="",G208="Yes"),0.9,(IF(AND(E216="",G208="No"),0.8,ROUND(IF(E216&gt;1.6,0,IF(E216&lt;=1,1,E216^2*'Reference Standards'!$F$2+E216*'Reference Standards'!$F$3+'Reference Standards'!$F$4)),2))))))</f>
        <v>0.8</v>
      </c>
      <c r="G216" s="435">
        <f>IFERROR(AVERAGE(F216:F217),"")</f>
        <v>0.8</v>
      </c>
      <c r="H216" s="436">
        <f>IFERROR(ROUND(AVERAGE(G216),2),"")</f>
        <v>0.8</v>
      </c>
      <c r="I216" s="438" t="str">
        <f>IF(H216="","",IF(H216&gt;0.69,"Functioning",IF(H216&gt;0.29,"Functioning At Risk",IF(H216&gt;-1,"Not Functioning"))))</f>
        <v>Functioning</v>
      </c>
      <c r="J216" s="429"/>
    </row>
    <row r="217" spans="1:10" ht="15.75" x14ac:dyDescent="0.25">
      <c r="A217" s="433"/>
      <c r="B217" s="434"/>
      <c r="C217" s="17" t="s">
        <v>7</v>
      </c>
      <c r="D217" s="17"/>
      <c r="E217" s="50"/>
      <c r="F217" s="96">
        <f>IF(G208="",0.8,(IF(AND(E217="",G208="Yes"),0.9,(IF(AND(E217="",G208="No"),0.8,(IF(OR(B208="A",B208="B",B208="Bc",B208="Ba"),IF(E217&lt;1.2,0,IF(E217&gt;=2.2,1,ROUND(IF(E217&lt;1.4,E217*'Reference Standards'!$F$13+'Reference Standards'!$F$14,E217*'Reference Standards'!$G$13+'Reference Standards'!$G$14),2))),IF(OR(B208="C",B208="Cb",B208="E"),IF(E217&lt;2,0,IF(E217&gt;=5,1,ROUND(IF(E217&lt;2.4,E217*'Reference Standards'!$G$8+'Reference Standards'!$G$9,E217*'Reference Standards'!$F$8+'Reference Standards'!$F$9),2)))))))))))</f>
        <v>0.8</v>
      </c>
      <c r="G217" s="435"/>
      <c r="H217" s="437"/>
      <c r="I217" s="439"/>
      <c r="J217" s="429"/>
    </row>
    <row r="218" spans="1:10" ht="15.75" x14ac:dyDescent="0.25">
      <c r="A218" s="398" t="s">
        <v>21</v>
      </c>
      <c r="B218" s="440" t="s">
        <v>22</v>
      </c>
      <c r="C218" s="21" t="s">
        <v>103</v>
      </c>
      <c r="D218" s="69"/>
      <c r="E218" s="44"/>
      <c r="F218" s="229" t="str">
        <f>IF(E218="","",IF(E218&gt;=660,1,IF(E218&lt;=430,ROUND('Reference Standards'!$I$4*E218+'Reference Standards'!$I$5,2),ROUND('Reference Standards'!$J$4*E218+'Reference Standards'!$J$5,2))))</f>
        <v/>
      </c>
      <c r="G218" s="423">
        <f>IFERROR(AVERAGE(F218:F219),"")</f>
        <v>0.8</v>
      </c>
      <c r="H218" s="447">
        <f>IFERROR(ROUND(AVERAGE(G218:G231),2),"")</f>
        <v>0.8</v>
      </c>
      <c r="I218" s="449" t="str">
        <f>IF(H218="","",IF(H218&gt;0.69,"Functioning",IF(H218&gt;0.29,"Functioning At Risk",IF(H218&gt;-1,"Not Functioning"))))</f>
        <v>Functioning</v>
      </c>
      <c r="J218" s="429"/>
    </row>
    <row r="219" spans="1:10" ht="15.75" x14ac:dyDescent="0.25">
      <c r="A219" s="399"/>
      <c r="B219" s="441"/>
      <c r="C219" s="24" t="s">
        <v>99</v>
      </c>
      <c r="D219" s="70"/>
      <c r="E219" s="50"/>
      <c r="F219" s="98">
        <f>IF(ISNUMBER(E218),"",IF(G208="",0.8,(IF(AND(E219="",G208="Yes"),0.9,(IF(AND(E219="",G208="No"),0.8,IF(E219&gt;=28,1,ROUND(IF(E219&lt;=13,'Reference Standards'!$I$9*E219,'Reference Standards'!$J$9*E219+'Reference Standards'!$J$10),2))))))))</f>
        <v>0.8</v>
      </c>
      <c r="G219" s="426"/>
      <c r="H219" s="447"/>
      <c r="I219" s="449"/>
      <c r="J219" s="429"/>
    </row>
    <row r="220" spans="1:10" ht="15.75" x14ac:dyDescent="0.25">
      <c r="A220" s="399"/>
      <c r="B220" s="399" t="s">
        <v>126</v>
      </c>
      <c r="C220" s="19" t="s">
        <v>43</v>
      </c>
      <c r="D220" s="19"/>
      <c r="E220" s="49"/>
      <c r="F220" s="29">
        <f>IF(G208="",0.8,(IF(AND(E220="",G208="Yes"),0.9,(IF(AND(E220="",G208="No"),0.8,IF(OR(E220="Ex/Ex",E220="Ex/VH",E220="Ex/H",E220="Ex/M",E220="VH/Ex",E220="VH/VH", E220="H/Ex",E220="H/VH"),0, IF(OR(E220="M/Ex"),0.1,IF(OR(E220="VH/H",E220="VH/M",E220="H/H",E220="H/M", E220="M/VH"),0.2, IF(OR(E220="Ex/VL",E220="Ex/L", E220="M/H"),0.3, IF(OR(E220="VH/L",E220="H/L"),0.4, IF(OR(E220="VH/VL",E220="H/VL",E220="M/M"),0.5, IF(OR(E220="M/L",E220="L/Ex"),0.6, IF(OR(E220="M/VL",E220="L/VH", E220="L/H",E220="L/M",E220="L/L",E220="L/VL",LEFT(E220)="V"),1)))))))))))))</f>
        <v>0.8</v>
      </c>
      <c r="G220" s="423">
        <f>IFERROR(AVERAGE(F220:F222),"")</f>
        <v>0.80000000000000016</v>
      </c>
      <c r="H220" s="448"/>
      <c r="I220" s="449"/>
      <c r="J220" s="429"/>
    </row>
    <row r="221" spans="1:10" ht="15.75" x14ac:dyDescent="0.25">
      <c r="A221" s="399"/>
      <c r="B221" s="399"/>
      <c r="C221" s="20" t="s">
        <v>57</v>
      </c>
      <c r="D221" s="173"/>
      <c r="E221" s="243"/>
      <c r="F221" s="29">
        <f>IF(G208="",0.8,(IF(AND(E221="",G208="Yes"),0.9,(IF(AND(E221="",G208="No"),0.8,ROUND(IF(E221&gt;=75,0,IF(E221&lt;=5,1,IF(E221&gt;10,E221*'Reference Standards'!$I$14+'Reference Standards'!$I$15,'Reference Standards'!$J$14*E221+'Reference Standards'!$J$15))),2))))))</f>
        <v>0.8</v>
      </c>
      <c r="G221" s="424"/>
      <c r="H221" s="448"/>
      <c r="I221" s="449"/>
      <c r="J221" s="429"/>
    </row>
    <row r="222" spans="1:10" ht="15.75" x14ac:dyDescent="0.25">
      <c r="A222" s="399"/>
      <c r="B222" s="400"/>
      <c r="C222" s="20" t="s">
        <v>125</v>
      </c>
      <c r="D222" s="20"/>
      <c r="E222" s="50"/>
      <c r="F222" s="98">
        <f>IF(G208="",0.8,(IF(AND(E222="",G208="Yes"),0.9,(IF(AND(E222="",G208="No"),0.8,IF(E222&gt;=50,0,ROUND(E222*'Reference Standards'!$I$18+'Reference Standards'!$I$19,2)))))))</f>
        <v>0.8</v>
      </c>
      <c r="G222" s="426"/>
      <c r="H222" s="448"/>
      <c r="I222" s="449"/>
      <c r="J222" s="429"/>
    </row>
    <row r="223" spans="1:10" ht="15.75" x14ac:dyDescent="0.25">
      <c r="A223" s="399"/>
      <c r="B223" s="18" t="s">
        <v>70</v>
      </c>
      <c r="C223" s="26" t="s">
        <v>80</v>
      </c>
      <c r="D223" s="68"/>
      <c r="E223" s="50"/>
      <c r="F223" s="27" t="str">
        <f>IF(E223="","",IF(E223&gt;=50,0,ROUND(E223*'Reference Standards'!$I$22+'Reference Standards'!$I$23,2)))</f>
        <v/>
      </c>
      <c r="G223" s="27" t="str">
        <f>IFERROR(AVERAGE(F223),"")</f>
        <v/>
      </c>
      <c r="H223" s="448"/>
      <c r="I223" s="449"/>
      <c r="J223" s="429"/>
    </row>
    <row r="224" spans="1:10" ht="15.75" x14ac:dyDescent="0.25">
      <c r="A224" s="399"/>
      <c r="B224" s="398" t="s">
        <v>45</v>
      </c>
      <c r="C224" s="25" t="s">
        <v>46</v>
      </c>
      <c r="D224" s="25"/>
      <c r="E224" s="53"/>
      <c r="F224" s="230">
        <f>IF(G208="",0.8,(IF(AND(E224="",G208="Yes"),0.9,(IF(AND(E224="",G208="No"),0.8,ROUND( IF(OR(LEFT(B208)="C",B208="E"), IF(OR(E224&lt;=1,E224&gt;=9),0,IF(AND(E224&gt;=3.5,E224&lt;=6),1,IF(E224&lt;3.5, E224*'Reference Standards'!$I$37+'Reference Standards'!$I$38, E224*'Reference Standards'!$J$37+'Reference Standards'!$J$38))),   IF(OR(B208="A",(B208)="B", (B208)="Ba"), IF(E224&gt;=6.5,0, IF(E224&lt;=4, 1, E224^2*'Reference Standards'!$I$26+E224*'Reference Standards'!$I$27+'Reference Standards'!$I$28)), IF(B208="Bc",  IF(E224&gt;=8,0, IF(E224&lt;=5, 1, E224^2*'Reference Standards'!$I$31+E224*'Reference Standards'!$I$32+'Reference Standards'!$I$33))))),2))))))</f>
        <v>0.8</v>
      </c>
      <c r="G224" s="430">
        <f>IFERROR(AVERAGE(F224:F227),"")</f>
        <v>0.80000000000000016</v>
      </c>
      <c r="H224" s="448"/>
      <c r="I224" s="449"/>
      <c r="J224" s="429"/>
    </row>
    <row r="225" spans="1:11" ht="15.75" x14ac:dyDescent="0.25">
      <c r="A225" s="399"/>
      <c r="B225" s="399"/>
      <c r="C225" s="19" t="s">
        <v>47</v>
      </c>
      <c r="D225" s="19"/>
      <c r="E225" s="52"/>
      <c r="F225" s="29">
        <f>IF(G208="",0.8,(IF(AND(E225="",G208="Yes"),0.9,(IF(AND(E225="",G208="No"),0.8,ROUND(  IF(E225&lt;=1.1,0, IF(E225&gt;=3,1, IF(E225&lt;2, E225^2*'Reference Standards'!$I$42+  E225*'Reference Standards'!$I$43 + 'Reference Standards'!$I$44,      E225*'Reference Standards'!$J$43+'Reference Standards'!$J$44))),2))))))</f>
        <v>0.8</v>
      </c>
      <c r="G225" s="425"/>
      <c r="H225" s="448"/>
      <c r="I225" s="449"/>
      <c r="J225" s="429"/>
    </row>
    <row r="226" spans="1:11" ht="15.75" x14ac:dyDescent="0.25">
      <c r="A226" s="399"/>
      <c r="B226" s="399"/>
      <c r="C226" s="19" t="s">
        <v>104</v>
      </c>
      <c r="D226" s="19"/>
      <c r="E226" s="52"/>
      <c r="F226" s="245">
        <f>IF(G208="",0.8,(IF(AND(E226="",G208="Yes"),0.9,(IF(AND(E226="",G208="No"),0.8,IF(OR(B208="A",LEFT(B208,1)="B"),IF(OR(E226&lt;=20,E226&gt;=90),0,IF(AND(E226&gt;=50,E226&lt;=60),1,IF(E226&lt;50,E226*'Reference Standards'!$I$48+'Reference Standards'!$I$49,E226*'Reference Standards'!$J$48+'Reference Standards'!$J$49))),IF(OR(LEFT(B208)="C",B208="E"),IF(OR(E226&lt;=20,E226&gt;=85),0,IF(AND(E226&lt;=65,E226&gt;=45),1,IF(E226&lt;45,E226*'Reference Standards'!$I$53+'Reference Standards'!$I$54,E226*'Reference Standards'!$J$53+'Reference Standards'!$J$54))))))))))</f>
        <v>0.8</v>
      </c>
      <c r="G226" s="425"/>
      <c r="H226" s="448"/>
      <c r="I226" s="449"/>
      <c r="J226" s="429"/>
    </row>
    <row r="227" spans="1:11" ht="15.75" x14ac:dyDescent="0.25">
      <c r="A227" s="399"/>
      <c r="B227" s="400"/>
      <c r="C227" s="23" t="s">
        <v>88</v>
      </c>
      <c r="D227" s="19"/>
      <c r="E227" s="54"/>
      <c r="F227" s="246" t="str">
        <f>IF(E227="","",IF(E227&gt;=1.6,0,IF(E227&lt;=1,1,ROUND('Reference Standards'!$I$57*E227^3+'Reference Standards'!$I$58*E227^2+'Reference Standards'!$I$59*E227+'Reference Standards'!$I$60,2))))</f>
        <v/>
      </c>
      <c r="G227" s="431"/>
      <c r="H227" s="448"/>
      <c r="I227" s="449"/>
      <c r="J227" s="429"/>
    </row>
    <row r="228" spans="1:11" ht="15.75" x14ac:dyDescent="0.25">
      <c r="A228" s="399"/>
      <c r="B228" s="398" t="s">
        <v>44</v>
      </c>
      <c r="C228" s="21" t="s">
        <v>182</v>
      </c>
      <c r="D228" s="69"/>
      <c r="E228" s="22"/>
      <c r="F228" s="97">
        <f>IF(G208="",0.8,(IF(AND(E228="",G208="Yes"),0.9,(IF(AND(E228="",G208="No"),0.8,IF(G207="Unconfined Alluvial",IF(E228&gt;=100,1,IF(E228&lt;30,0,ROUND('Reference Standards'!$I$64*E228+'Reference Standards'!$I$65,2))),IF(OR(G207="Confined Alluvial",G207="Colluvial/V-Shaped"),(IF(E228&gt;=100,1,IF(E228&lt;60,0,ROUND('Reference Standards'!$J$64*E228+'Reference Standards'!$J$65,2)))))))))))</f>
        <v>0.8</v>
      </c>
      <c r="G228" s="423">
        <f>IFERROR(AVERAGE(F228:F231),"")</f>
        <v>0.80000000000000016</v>
      </c>
      <c r="H228" s="448"/>
      <c r="I228" s="449"/>
      <c r="J228" s="429"/>
    </row>
    <row r="229" spans="1:11" ht="15.75" x14ac:dyDescent="0.25">
      <c r="A229" s="399"/>
      <c r="B229" s="399"/>
      <c r="C229" s="23" t="s">
        <v>183</v>
      </c>
      <c r="D229" s="173"/>
      <c r="E229" s="244"/>
      <c r="F229" s="29">
        <f>IF(G208="",0.8,(IF(AND(E229="",G208="Yes"),0.9,(IF(AND(E229="",G208="No"),0.8,IF(B209="Yes",IF(E229&lt;=50,0,IF(E229&gt;=80,1,ROUND('Reference Standards'!$I$69*E229+'Reference Standards'!$I$70,2))),IF(B209="No",IF(E229&gt;=80,0,IF(E229&lt;=50,1,ROUND(E229*'Reference Standards'!$J$69+'Reference Standards'!$J$70,2))))))))))</f>
        <v>0.8</v>
      </c>
      <c r="G229" s="424"/>
      <c r="H229" s="448"/>
      <c r="I229" s="449"/>
      <c r="J229" s="429"/>
    </row>
    <row r="230" spans="1:11" ht="15.75" x14ac:dyDescent="0.25">
      <c r="A230" s="399"/>
      <c r="B230" s="399"/>
      <c r="C230" s="23" t="s">
        <v>184</v>
      </c>
      <c r="D230" s="173"/>
      <c r="E230" s="244"/>
      <c r="F230" s="29">
        <f>IF(G208="",0.8,(IF(AND(E230="",G208="Yes"),0.9,(IF(AND(E230="",G208="No"),0.8,IF(E230&lt;=50,0,IF(E230&gt;=80,1, ROUND(E230*'Reference Standards'!$I$73+'Reference Standards'!$I$74,2))))))))</f>
        <v>0.8</v>
      </c>
      <c r="G230" s="425"/>
      <c r="H230" s="448"/>
      <c r="I230" s="449"/>
      <c r="J230" s="429"/>
    </row>
    <row r="231" spans="1:11" ht="15.75" x14ac:dyDescent="0.25">
      <c r="A231" s="399"/>
      <c r="B231" s="400"/>
      <c r="C231" s="443" t="s">
        <v>277</v>
      </c>
      <c r="D231" s="444"/>
      <c r="E231" s="16"/>
      <c r="F231" s="98" t="str">
        <f>IF(OR(B209="",B209="No"),"",IF(AND(E231="",B209="Yes",G208="Yes"),0.9,IF(OR(G208="No",G208=""),0.8,IF(E231&lt;=9,0,IF(E231&gt;=14,1,ROUND('Reference Standards'!$I$77*E231+'Reference Standards'!$I$78,2))))))</f>
        <v/>
      </c>
      <c r="G231" s="426"/>
      <c r="H231" s="448"/>
      <c r="I231" s="449"/>
      <c r="J231" s="429"/>
    </row>
    <row r="232" spans="1:11" ht="15.75" x14ac:dyDescent="0.25">
      <c r="A232" s="409" t="s">
        <v>49</v>
      </c>
      <c r="B232" s="174" t="s">
        <v>169</v>
      </c>
      <c r="C232" s="175" t="s">
        <v>176</v>
      </c>
      <c r="D232" s="177"/>
      <c r="E232" s="101"/>
      <c r="F232" s="182">
        <f>IF(G208="",0.8,(IF(AND(E232="",G208="Yes"),0.9,IF(E232&gt;=25,0,IF(E232&lt;=10,1,ROUND(IF(E232&gt;18,'Reference Standards'!$L$4*E232+'Reference Standards'!$L$5,IF(E232&lt;12,'Reference Standards'!$N$4*E232+'Reference Standards'!$N$5,'Reference Standards'!$M$4*E232+'Reference Standards'!$M$5)),2))))))</f>
        <v>0.8</v>
      </c>
      <c r="G232" s="180">
        <f>IFERROR(AVERAGE(F232),"")</f>
        <v>0.8</v>
      </c>
      <c r="H232" s="411">
        <f>IFERROR(ROUND(AVERAGE(G232:G234),2),"")</f>
        <v>0.8</v>
      </c>
      <c r="I232" s="415" t="str">
        <f>IF(H232="","",IF(H232&gt;0.69,"Functioning",IF(H232&gt;0.29,"Functioning At Risk",IF(H232&gt;-1,"Not Functioning"))))</f>
        <v>Functioning</v>
      </c>
      <c r="J232" s="429"/>
    </row>
    <row r="233" spans="1:11" ht="15.75" x14ac:dyDescent="0.25">
      <c r="A233" s="410"/>
      <c r="B233" s="176" t="s">
        <v>170</v>
      </c>
      <c r="C233" s="175" t="s">
        <v>177</v>
      </c>
      <c r="D233" s="178"/>
      <c r="E233" s="49"/>
      <c r="F233" s="231">
        <f>IF(G208="",0.8,(IF(AND(E233="",G208="Yes"),0.9,IF(D206="2A",IF(E233&lt;=5.3,0,IF(E233&gt;=8.79,1,ROUND(E233*'Reference Standards'!$L$9+'Reference Standards'!$L$10,2))),IF(D206=7,IF(E233&lt;=0.8,0,IF(E233&gt;=1.25,1,ROUND(E233*'Reference Standards'!$N$9+'Reference Standards'!$N$10,2))),IF(OR(D206="2B", D206="2Bd",D206="2C"),IF(E233&lt;=3.8,0,(IF(E233&gt;=6.3,1,ROUND(E233*'Reference Standards'!$M$9+'Reference Standards'!$M$10,2))))))))))</f>
        <v>0.8</v>
      </c>
      <c r="G233" s="181">
        <f>IFERROR(AVERAGE(F233),"")</f>
        <v>0.8</v>
      </c>
      <c r="H233" s="412"/>
      <c r="I233" s="416"/>
      <c r="J233" s="429"/>
    </row>
    <row r="234" spans="1:11" ht="15.75" x14ac:dyDescent="0.25">
      <c r="A234" s="410"/>
      <c r="B234" s="174" t="s">
        <v>172</v>
      </c>
      <c r="C234" s="175" t="s">
        <v>178</v>
      </c>
      <c r="D234" s="179"/>
      <c r="E234" s="101"/>
      <c r="F234" s="182">
        <f>IF(G208="",0.8,(IF(AND(E234="",G208="Yes"),0.9,IF(D206="2A",IF(E234&gt;=12.5,0,IF(E234&lt;=7.5,1,ROUND(E234*'Reference Standards'!$L$15+'Reference Standards'!$L$16,2))),IF(OR(D206="2B",D206="2Bd",D206="2C"),IF(D207="North",IF(E234&gt;=18.8,0,IF(E234&lt;=11.3,1,ROUND(E234*'Reference Standards'!$M$15+'Reference Standards'!$M$16,2))),IF(D207="Central",(IF(E234&gt;=37.5,0,IF(E234&lt;=22.5,1,ROUND(E234*'Reference Standards'!$N$15+'Reference Standards'!$N$16,2)))),IF(E234&gt;=81.2,0,(IF(E234&lt;=48.7,1,ROUND(E234*'Reference Standards'!$O$15+'Reference Standards'!$O$16,2)))))))))))</f>
        <v>0.8</v>
      </c>
      <c r="G234" s="182">
        <f>IFERROR(AVERAGE(F234),"")</f>
        <v>0.8</v>
      </c>
      <c r="H234" s="412"/>
      <c r="I234" s="416"/>
      <c r="J234" s="429"/>
    </row>
    <row r="235" spans="1:11" ht="15.75" x14ac:dyDescent="0.25">
      <c r="A235" s="445" t="s">
        <v>50</v>
      </c>
      <c r="B235" s="236" t="s">
        <v>105</v>
      </c>
      <c r="C235" s="40" t="s">
        <v>179</v>
      </c>
      <c r="D235" s="41"/>
      <c r="E235" s="44"/>
      <c r="F235" s="99">
        <f>IF(G208="",0.8,(IF(AND(E234="",G208="Yes"),0.9,IF(D209="Northern Forest Rivers",IF(E235&lt;=38.2,0,IF(E235&gt;=77,1,ROUND(IF(E235&lt;49, 'Reference Standards'!$Q$5*E235+'Reference Standards'!$Q$6, IF(E235&lt;59.8, 'Reference Standards'!$R$5*E235+'Reference Standards'!$R$6, 'Reference Standards'!$S$5*E235+'Reference Standards'!$S$6)),2))),   IF(D209="Northern Forest Streams Riffle-run",IF(E235&lt;40.4,0,IF(E235&gt;=82,1,ROUND(IF(E235&lt;53, 'Reference Standards'!$T$5*E235+'Reference Standards'!$T$6, IF(E235&lt;59.8, 'Reference Standards'!$U$5*E235+'Reference Standards'!$U$6, 'Reference Standards'!$V$5*E235+'Reference Standards'!$V$6) ),2))), IF(D209="Northern Forest Streams Glide-pool",IF(E235&lt;=37,0,IF(E235&gt;=76,1,ROUND(IF(E235&lt;51, 'Reference Standards'!$W$5*E235+'Reference Standards'!$W$6, IF(E235&lt;65.6, 'Reference Standards'!$X$5*E235+'Reference Standards'!$X$6, 'Reference Standards'!$Y$5*E235+'Reference Standards'!$Y$6) ),2))), IF(D209="Northern Coldwater",IF(E235&lt;19.6,0,IF(E235&gt;=52,1,ROUND(IF(E235&lt;32, 'Reference Standards'!$Z$5*E235+'Reference Standards'!$Z$6, IF(E235&lt;44.4,'Reference Standards'!$AA$5*E235+'Reference Standards'!$AA$6, 'Reference Standards'!$AB$5*E235+'Reference Standards'!$AB$6) ),2))), IF(D209="Southern Forest Streams Riffle-run", IF(E235&lt;24,0,IF(E235&gt;=62,1,ROUND(IF(E235&lt;37, 'Reference Standards'!$Q$11*E235+'Reference Standards'!$Q$12, IF(E235&lt;49.6,'Reference Standards'!$R$11*E235+'Reference Standards'!$R$12,'Reference Standards'!$S$11*E235+'Reference Standards'!$S$12)),2))), IF(D209="Southern Forest Streams Glide-pool", IF(E235&lt;29.4,0,IF(E235&gt;=65,1,ROUND(IF(E235&lt;43,'Reference Standards'!$T$11*E235+'Reference Standards'!$T$12, IF(E235&lt;56.6, 'Reference Standards'!$U$11*E235+'Reference Standards'!$U$12,'Reference Standards'!$V$11*E235+'Reference Standards'!$V$12)),2))), IF(D209="Southern Coldwater", IF(E235&lt;29.2,0,IF(E235&gt;=72,1,ROUND(IF(E235&lt;43, 'Reference Standards'!$W$11*E235+'Reference Standards'!$W$12, IF(E235&lt;56.8,'Reference Standards'!$X$11*E235+'Reference Standards'!$X$12, 'Reference Standards'!$Y$11*E235+'Reference Standards'!$Y$12)),2))), IF(D209="Prairie Forest Rivers", IF(E235&lt;20.2,0,IF(E235&gt;=62,1,ROUND(IF(E235&lt;31,'Reference Standards'!$Q$17*E235+'Reference Standards'!$Q$18, IF(E235&lt;41.8,'Reference Standards'!$R$17*E235+'Reference Standards'!$R$18,'Reference Standards'!$S$17*E235+'Reference Standards'!$S$18)),2))), IF(D209="Prairie Streams Glide-Pool", IF(E235&lt;27.4,0,IF(E235&gt;=69,1,ROUND(IF(E235&lt;41,'Reference Standards'!$T$17*E235+'Reference Standards'!$T$18, IF(E235&lt;54.6,'Reference Standards'!$U$17*E235+'Reference Standards'!$U$18, 'Reference Standards'!$V$17*E235+'Reference Standards'!$V$18)),2))) ))))))))))))</f>
        <v>0.8</v>
      </c>
      <c r="G235" s="237">
        <f>IFERROR(AVERAGE(F235),"")</f>
        <v>0.8</v>
      </c>
      <c r="H235" s="450">
        <f>IFERROR(ROUND(AVERAGE(G235:G236),2),"")</f>
        <v>0.8</v>
      </c>
      <c r="I235" s="414" t="str">
        <f>IF(H235="","",IF(H235&gt;0.69,"Functioning",IF(H235&gt;0.29,"Functioning At Risk",IF(H235&gt;-1,"Not Functioning"))))</f>
        <v>Functioning</v>
      </c>
      <c r="J235" s="429"/>
    </row>
    <row r="236" spans="1:11" ht="15.75" x14ac:dyDescent="0.25">
      <c r="A236" s="446"/>
      <c r="B236" s="238" t="s">
        <v>54</v>
      </c>
      <c r="C236" s="183" t="s">
        <v>180</v>
      </c>
      <c r="D236" s="184"/>
      <c r="E236" s="101"/>
      <c r="F236" s="99">
        <f>IF(G208="",0.8,(IF(AND(E236="",G208="Yes"),0.9,IF(G206="Northern Rivers",IF(E236&lt;29,0,IF(E236&gt;=66,1,ROUND(IF(E236&lt;38, 'Reference Standards'!$Q$23*E236+'Reference Standards'!$Q$24, IF(E236&lt;47, 'Reference Standards'!$R$23*E236+'Reference Standards'!$R$24, 'Reference Standards'!$S$23*E236+'Reference Standards'!$S$24)),2))),   IF(G206="Northern Streams",IF(E236&lt;35,0,IF(E236&gt;=61,1,ROUND(IF(E236&lt;47, 'Reference Standards'!$T$23*E236+'Reference Standards'!$T$24, IF(E236&lt;56, 'Reference Standards'!$U$23*E236+'Reference Standards'!$U$24, 'Reference Standards'!$V$23*E236+'Reference Standards'!$V$24) ),2))), IF(G206="Northern Headwaters",IF(E236&lt;23,0,IF(E236&gt;=68,1,ROUND(IF(E236&lt;42, 'Reference Standards'!$W$23*E236+'Reference Standards'!$W$24, IF(E236&lt;56, 'Reference Standards'!$X$23*E236+'Reference Standards'!$X$24, 'Reference Standards'!$Y$23*E236+'Reference Standards'!$Y$24) ),2))), IF(G206="Northern Coldwater",IF(E236&lt;25,0,IF(E236&gt;=60,1,ROUND(IF(E236&lt;35, 'Reference Standards'!$Z$23*E236+'Reference Standards'!$Z$24, IF(E236&lt;45, 'Reference Standards'!$AA$23*E236+'Reference Standards'!$AA$24, 'Reference Standards'!$AB$23*E236+'Reference Standards'!$AB$24) ),2))), IF(G206="Southern River", IF(E236&lt;38,0,IF(E236&gt;=71,1,ROUND(IF(E236&lt;49, 'Reference Standards'!$Q$29*E236+'Reference Standards'!$Q$30, IF(E236&lt;60,'Reference Standards'!$R$29*E236+'Reference Standards'!$R$30, 'Reference Standards'!$S$29*E236+'Reference Standards'!$S$30)),2))), IF(G206="Southern Streams", IF(E236&lt;35,0,IF(E236&gt;=66,1,ROUND(IF(E236&lt;50,'Reference Standards'!$T$29*E236+'Reference Standards'!$T$30, IF(E236&lt;59, 'Reference Standards'!$U$29*E236+'Reference Standards'!$U$30, 'Reference Standards'!$V$29*E236+'Reference Standards'!$V$30)),2))), IF(G206="Southern Headwaters", IF(E236&lt;33,0,IF(E236&gt;=74,1,ROUND(IF(E236&lt;55, 'Reference Standards'!$W$29*E236+'Reference Standards'!$W$30, IF(E236&lt;62, 'Reference Standards'!$X$29*E236+'Reference Standards'!$X$30, 'Reference Standards'!$Y$29*E236+'Reference Standards'!$Y$30)),2))), IF(G206="Southern Coldwater", IF(E236&lt;37,0,IF(E236&gt;=82,1,ROUND(IF(E236&lt;50, 'Reference Standards'!$Z$29*E236+'Reference Standards'!$Z$30, IF(E236&lt;63,'Reference Standards'!$AA$29*E236+'Reference Standards'!$AA$30,'Reference Standards'!$AB$29*E236+'Reference Standards'!$AB$30)),2))), IF(G206="Low Gradient", IF(E236&lt;15,0,IF(E236&gt;=70,1,ROUND(IF(E236&lt;42, 'Reference Standards'!$Q$34*E236+'Reference Standards'!$Q$35, IF(E236&lt;52, 'Reference Standards'!$R$34*E236+'Reference Standards'!$R$35, 'Reference Standards'!$S$34*E236+'Reference Standards'!$S$35)),2))) ))))))))))))</f>
        <v>0.8</v>
      </c>
      <c r="G236" s="237">
        <f>IFERROR(AVERAGE(F236),"")</f>
        <v>0.8</v>
      </c>
      <c r="H236" s="450"/>
      <c r="I236" s="414"/>
      <c r="J236" s="429"/>
    </row>
    <row r="237" spans="1:11" ht="8.4499999999999993" customHeight="1" x14ac:dyDescent="0.25">
      <c r="J237" s="4"/>
      <c r="K237" s="11"/>
    </row>
    <row r="238" spans="1:11" ht="8.4499999999999993" customHeight="1" x14ac:dyDescent="0.25">
      <c r="K238" s="11"/>
    </row>
    <row r="239" spans="1:11" ht="21" customHeight="1" x14ac:dyDescent="0.25">
      <c r="A239" s="406" t="s">
        <v>310</v>
      </c>
      <c r="B239" s="407"/>
      <c r="C239" s="407"/>
      <c r="D239" s="407"/>
      <c r="E239" s="407"/>
      <c r="F239" s="407"/>
      <c r="G239" s="407"/>
      <c r="H239" s="407"/>
      <c r="I239" s="407"/>
      <c r="J239" s="408"/>
    </row>
    <row r="240" spans="1:11" ht="18" customHeight="1" x14ac:dyDescent="0.25">
      <c r="A240" s="122" t="s">
        <v>68</v>
      </c>
      <c r="B240" s="101"/>
      <c r="C240" s="122" t="s">
        <v>195</v>
      </c>
      <c r="D240" s="48"/>
      <c r="E240" s="165" t="s">
        <v>226</v>
      </c>
      <c r="F240" s="166"/>
      <c r="G240" s="48"/>
      <c r="H240" s="404" t="s">
        <v>137</v>
      </c>
      <c r="I240" s="405"/>
      <c r="J240" s="101"/>
    </row>
    <row r="241" spans="1:10" ht="18" customHeight="1" x14ac:dyDescent="0.25">
      <c r="A241" s="122" t="s">
        <v>69</v>
      </c>
      <c r="B241" s="48"/>
      <c r="C241" s="122" t="s">
        <v>205</v>
      </c>
      <c r="D241" s="48"/>
      <c r="E241" s="413" t="s">
        <v>92</v>
      </c>
      <c r="F241" s="413"/>
      <c r="G241" s="48"/>
      <c r="H241" s="404" t="s">
        <v>138</v>
      </c>
      <c r="I241" s="405"/>
      <c r="J241" s="101"/>
    </row>
    <row r="242" spans="1:10" ht="18" customHeight="1" x14ac:dyDescent="0.25">
      <c r="A242" s="122" t="s">
        <v>136</v>
      </c>
      <c r="B242" s="48"/>
      <c r="C242" s="122" t="s">
        <v>206</v>
      </c>
      <c r="D242" s="48"/>
      <c r="E242" s="413" t="s">
        <v>267</v>
      </c>
      <c r="F242" s="413"/>
      <c r="G242" s="48"/>
      <c r="H242" s="404" t="s">
        <v>139</v>
      </c>
      <c r="I242" s="405"/>
      <c r="J242" s="101"/>
    </row>
    <row r="243" spans="1:10" ht="18" customHeight="1" x14ac:dyDescent="0.25">
      <c r="A243" s="106" t="s">
        <v>261</v>
      </c>
      <c r="B243" s="48"/>
      <c r="C243" s="122" t="s">
        <v>207</v>
      </c>
      <c r="D243" s="48"/>
      <c r="E243" s="225" t="s">
        <v>260</v>
      </c>
      <c r="F243" s="226"/>
      <c r="G243" s="48"/>
      <c r="H243" s="404" t="s">
        <v>140</v>
      </c>
      <c r="I243" s="405"/>
      <c r="J243" s="101"/>
    </row>
    <row r="244" spans="1:10" ht="7.9" customHeight="1" x14ac:dyDescent="0.25">
      <c r="A244" s="1"/>
      <c r="B244" s="4"/>
      <c r="C244" s="4"/>
      <c r="D244" s="4"/>
      <c r="E244" s="4"/>
      <c r="F244" s="4"/>
      <c r="G244" s="4"/>
      <c r="H244" s="12"/>
      <c r="I244" s="104"/>
      <c r="J244" s="12"/>
    </row>
    <row r="245" spans="1:10" ht="21" x14ac:dyDescent="0.35">
      <c r="A245" s="420" t="s">
        <v>311</v>
      </c>
      <c r="B245" s="420"/>
      <c r="C245" s="420"/>
      <c r="D245" s="420"/>
      <c r="E245" s="420"/>
      <c r="F245" s="420"/>
      <c r="G245" s="420" t="s">
        <v>14</v>
      </c>
      <c r="H245" s="420"/>
      <c r="I245" s="420"/>
      <c r="J245" s="420"/>
    </row>
    <row r="246" spans="1:10" ht="15.75" x14ac:dyDescent="0.25">
      <c r="A246" s="46" t="s">
        <v>1</v>
      </c>
      <c r="B246" s="46" t="s">
        <v>2</v>
      </c>
      <c r="C246" s="421" t="s">
        <v>3</v>
      </c>
      <c r="D246" s="422"/>
      <c r="E246" s="46" t="s">
        <v>12</v>
      </c>
      <c r="F246" s="45" t="s">
        <v>13</v>
      </c>
      <c r="G246" s="46" t="s">
        <v>15</v>
      </c>
      <c r="H246" s="46" t="s">
        <v>16</v>
      </c>
      <c r="I246" s="105" t="s">
        <v>16</v>
      </c>
      <c r="J246" s="46" t="s">
        <v>264</v>
      </c>
    </row>
    <row r="247" spans="1:10" ht="15.75" customHeight="1" x14ac:dyDescent="0.25">
      <c r="A247" s="427" t="s">
        <v>51</v>
      </c>
      <c r="B247" s="427" t="s">
        <v>78</v>
      </c>
      <c r="C247" s="167" t="s">
        <v>162</v>
      </c>
      <c r="D247" s="169"/>
      <c r="E247" s="44"/>
      <c r="F247" s="28">
        <f>IF(G243="Yes","",(IF(G242="",0.8,(IF(AND(E247="",G242="Yes"),0.9,(IF(AND(E247="",G242="No"),0.8,IF(E247&gt;=80,0,IF(E247&lt;=40,1,IF(E247&gt;=68,ROUND(E247*'Reference Standards'!$B$4+'Reference Standards'!$B$5,2),ROUND(E247*'Reference Standards'!$C$4+'Reference Standards'!$C$5,2)))))))))))</f>
        <v>0.8</v>
      </c>
      <c r="G247" s="401">
        <f>IFERROR(AVERAGE(F247:F249),"")</f>
        <v>0.8</v>
      </c>
      <c r="H247" s="401">
        <f>IFERROR(ROUND(AVERAGE(G247:G249),2),"")</f>
        <v>0.8</v>
      </c>
      <c r="I247" s="414" t="str">
        <f>IF(H247="","",IF(H247&gt;0.69,"Functioning",IF(H247&gt;0.29,"Functioning At Risk",IF(H247&gt;-1,"Not Functioning"))))</f>
        <v>Functioning</v>
      </c>
      <c r="J247" s="429">
        <f>IF(AND(H247="",H250="",H252="",H266="",H269=""),"",ROUND((IF(H247="",0,H247)*0.2)+(IF(H250="",0,H250)*0.2)+(IF(H252="",0,H252)*0.2)+(IF(H266="",0,H266)*0.2)+(IF(H269="",0,H269)*0.2),2))</f>
        <v>0.8</v>
      </c>
    </row>
    <row r="248" spans="1:10" ht="15.75" customHeight="1" x14ac:dyDescent="0.25">
      <c r="A248" s="428"/>
      <c r="B248" s="428"/>
      <c r="C248" s="168" t="s">
        <v>164</v>
      </c>
      <c r="D248" s="170"/>
      <c r="E248" s="49"/>
      <c r="F248" s="228" t="str">
        <f>IF(G243="No","",IF(E248="","",  IF(E248&gt;0.95,0,IF(E248&lt;=0.02,1,ROUND(IF(E248&gt;0.26,'Reference Standards'!$B$10*E248+'Reference Standards'!$B$11, IF(E248&lt;0.05, 'Reference Standards'!$D$10*E248+'Reference Standards'!$D$11, 'Reference Standards'!$C$10*E248+'Reference Standards'!$C$11)),2))) ))</f>
        <v/>
      </c>
      <c r="G248" s="402"/>
      <c r="H248" s="402"/>
      <c r="I248" s="414"/>
      <c r="J248" s="429"/>
    </row>
    <row r="249" spans="1:10" ht="15.75" x14ac:dyDescent="0.25">
      <c r="A249" s="428"/>
      <c r="B249" s="442"/>
      <c r="C249" s="171" t="s">
        <v>166</v>
      </c>
      <c r="D249" s="172"/>
      <c r="E249" s="49"/>
      <c r="F249" s="227">
        <f>IF(G243="Yes","",(IF(G242="",0.8,(IF(AND(E249="",G242="Yes"),0.9,(IF(AND(E249="",G242="No"),0.8,IF(E249&gt;3.22,0,IF(E249&lt;0,"",ROUND('Reference Standards'!$B$15*E249+'Reference Standards'!$B$16,2))))))))))</f>
        <v>0.8</v>
      </c>
      <c r="G249" s="403"/>
      <c r="H249" s="403"/>
      <c r="I249" s="414"/>
      <c r="J249" s="429"/>
    </row>
    <row r="250" spans="1:10" ht="15.75" x14ac:dyDescent="0.25">
      <c r="A250" s="432" t="s">
        <v>4</v>
      </c>
      <c r="B250" s="434" t="s">
        <v>5</v>
      </c>
      <c r="C250" s="17" t="s">
        <v>6</v>
      </c>
      <c r="D250" s="17"/>
      <c r="E250" s="44"/>
      <c r="F250" s="96">
        <f>IF(G242="",0.8,(IF(AND(E250="",G242="Yes"),0.9,(IF(AND(E250="",G242="No"),0.8,ROUND(IF(E250&gt;1.6,0,IF(E250&lt;=1,1,E250^2*'Reference Standards'!$F$2+E250*'Reference Standards'!$F$3+'Reference Standards'!$F$4)),2))))))</f>
        <v>0.8</v>
      </c>
      <c r="G250" s="435">
        <f>IFERROR(AVERAGE(F250:F251),"")</f>
        <v>0.8</v>
      </c>
      <c r="H250" s="436">
        <f>IFERROR(ROUND(AVERAGE(G250),2),"")</f>
        <v>0.8</v>
      </c>
      <c r="I250" s="438" t="str">
        <f>IF(H250="","",IF(H250&gt;0.69,"Functioning",IF(H250&gt;0.29,"Functioning At Risk",IF(H250&gt;-1,"Not Functioning"))))</f>
        <v>Functioning</v>
      </c>
      <c r="J250" s="429"/>
    </row>
    <row r="251" spans="1:10" ht="15.75" x14ac:dyDescent="0.25">
      <c r="A251" s="433"/>
      <c r="B251" s="434"/>
      <c r="C251" s="17" t="s">
        <v>7</v>
      </c>
      <c r="D251" s="17"/>
      <c r="E251" s="50"/>
      <c r="F251" s="96">
        <f>IF(G242="",0.8,(IF(AND(E251="",G242="Yes"),0.9,(IF(AND(E251="",G242="No"),0.8,(IF(OR(B242="A",B242="B",B242="Bc",B242="Ba"),IF(E251&lt;1.2,0,IF(E251&gt;=2.2,1,ROUND(IF(E251&lt;1.4,E251*'Reference Standards'!$F$13+'Reference Standards'!$F$14,E251*'Reference Standards'!$G$13+'Reference Standards'!$G$14),2))),IF(OR(B242="C",B242="Cb",B242="E"),IF(E251&lt;2,0,IF(E251&gt;=5,1,ROUND(IF(E251&lt;2.4,E251*'Reference Standards'!$G$8+'Reference Standards'!$G$9,E251*'Reference Standards'!$F$8+'Reference Standards'!$F$9),2)))))))))))</f>
        <v>0.8</v>
      </c>
      <c r="G251" s="435"/>
      <c r="H251" s="437"/>
      <c r="I251" s="439"/>
      <c r="J251" s="429"/>
    </row>
    <row r="252" spans="1:10" ht="15.75" x14ac:dyDescent="0.25">
      <c r="A252" s="398" t="s">
        <v>21</v>
      </c>
      <c r="B252" s="440" t="s">
        <v>22</v>
      </c>
      <c r="C252" s="21" t="s">
        <v>103</v>
      </c>
      <c r="D252" s="69"/>
      <c r="E252" s="44"/>
      <c r="F252" s="229" t="str">
        <f>IF(E252="","",IF(E252&gt;=660,1,IF(E252&lt;=430,ROUND('Reference Standards'!$I$4*E252+'Reference Standards'!$I$5,2),ROUND('Reference Standards'!$J$4*E252+'Reference Standards'!$J$5,2))))</f>
        <v/>
      </c>
      <c r="G252" s="423">
        <f>IFERROR(AVERAGE(F252:F253),"")</f>
        <v>0.8</v>
      </c>
      <c r="H252" s="447">
        <f>IFERROR(ROUND(AVERAGE(G252:G265),2),"")</f>
        <v>0.8</v>
      </c>
      <c r="I252" s="449" t="str">
        <f>IF(H252="","",IF(H252&gt;0.69,"Functioning",IF(H252&gt;0.29,"Functioning At Risk",IF(H252&gt;-1,"Not Functioning"))))</f>
        <v>Functioning</v>
      </c>
      <c r="J252" s="429"/>
    </row>
    <row r="253" spans="1:10" ht="15.75" x14ac:dyDescent="0.25">
      <c r="A253" s="399"/>
      <c r="B253" s="441"/>
      <c r="C253" s="24" t="s">
        <v>99</v>
      </c>
      <c r="D253" s="70"/>
      <c r="E253" s="50"/>
      <c r="F253" s="98">
        <f>IF(ISNUMBER(E252),"",IF(G242="",0.8,(IF(AND(E253="",G242="Yes"),0.9,(IF(AND(E253="",G242="No"),0.8,IF(E253&gt;=28,1,ROUND(IF(E253&lt;=13,'Reference Standards'!$I$9*E253,'Reference Standards'!$J$9*E253+'Reference Standards'!$J$10),2))))))))</f>
        <v>0.8</v>
      </c>
      <c r="G253" s="426"/>
      <c r="H253" s="447"/>
      <c r="I253" s="449"/>
      <c r="J253" s="429"/>
    </row>
    <row r="254" spans="1:10" ht="15.75" x14ac:dyDescent="0.25">
      <c r="A254" s="399"/>
      <c r="B254" s="399" t="s">
        <v>126</v>
      </c>
      <c r="C254" s="19" t="s">
        <v>43</v>
      </c>
      <c r="D254" s="19"/>
      <c r="E254" s="49"/>
      <c r="F254" s="29">
        <f>IF(G242="",0.8,(IF(AND(E254="",G242="Yes"),0.9,(IF(AND(E254="",G242="No"),0.8,IF(OR(E254="Ex/Ex",E254="Ex/VH",E254="Ex/H",E254="Ex/M",E254="VH/Ex",E254="VH/VH", E254="H/Ex",E254="H/VH"),0, IF(OR(E254="M/Ex"),0.1,IF(OR(E254="VH/H",E254="VH/M",E254="H/H",E254="H/M", E254="M/VH"),0.2, IF(OR(E254="Ex/VL",E254="Ex/L", E254="M/H"),0.3, IF(OR(E254="VH/L",E254="H/L"),0.4, IF(OR(E254="VH/VL",E254="H/VL",E254="M/M"),0.5, IF(OR(E254="M/L",E254="L/Ex"),0.6, IF(OR(E254="M/VL",E254="L/VH", E254="L/H",E254="L/M",E254="L/L",E254="L/VL",LEFT(E254)="V"),1)))))))))))))</f>
        <v>0.8</v>
      </c>
      <c r="G254" s="423">
        <f>IFERROR(AVERAGE(F254:F256),"")</f>
        <v>0.80000000000000016</v>
      </c>
      <c r="H254" s="448"/>
      <c r="I254" s="449"/>
      <c r="J254" s="429"/>
    </row>
    <row r="255" spans="1:10" ht="15.75" x14ac:dyDescent="0.25">
      <c r="A255" s="399"/>
      <c r="B255" s="399"/>
      <c r="C255" s="20" t="s">
        <v>57</v>
      </c>
      <c r="D255" s="173"/>
      <c r="E255" s="243"/>
      <c r="F255" s="29">
        <f>IF(G242="",0.8,(IF(AND(E255="",G242="Yes"),0.9,(IF(AND(E255="",G242="No"),0.8,ROUND(IF(E255&gt;=75,0,IF(E255&lt;=5,1,IF(E255&gt;10,E255*'Reference Standards'!$I$14+'Reference Standards'!$I$15,'Reference Standards'!$J$14*E255+'Reference Standards'!$J$15))),2))))))</f>
        <v>0.8</v>
      </c>
      <c r="G255" s="424"/>
      <c r="H255" s="448"/>
      <c r="I255" s="449"/>
      <c r="J255" s="429"/>
    </row>
    <row r="256" spans="1:10" ht="15.75" x14ac:dyDescent="0.25">
      <c r="A256" s="399"/>
      <c r="B256" s="400"/>
      <c r="C256" s="20" t="s">
        <v>125</v>
      </c>
      <c r="D256" s="20"/>
      <c r="E256" s="50"/>
      <c r="F256" s="98">
        <f>IF(G242="",0.8,(IF(AND(E256="",G242="Yes"),0.9,(IF(AND(E256="",G242="No"),0.8,IF(E256&gt;=50,0,ROUND(E256*'Reference Standards'!$I$18+'Reference Standards'!$I$19,2)))))))</f>
        <v>0.8</v>
      </c>
      <c r="G256" s="426"/>
      <c r="H256" s="448"/>
      <c r="I256" s="449"/>
      <c r="J256" s="429"/>
    </row>
    <row r="257" spans="1:11" ht="15.75" x14ac:dyDescent="0.25">
      <c r="A257" s="399"/>
      <c r="B257" s="18" t="s">
        <v>70</v>
      </c>
      <c r="C257" s="26" t="s">
        <v>80</v>
      </c>
      <c r="D257" s="68"/>
      <c r="E257" s="50"/>
      <c r="F257" s="27" t="str">
        <f>IF(E257="","",IF(E257&gt;=50,0,ROUND(E257*'Reference Standards'!$I$22+'Reference Standards'!$I$23,2)))</f>
        <v/>
      </c>
      <c r="G257" s="27" t="str">
        <f>IFERROR(AVERAGE(F257),"")</f>
        <v/>
      </c>
      <c r="H257" s="448"/>
      <c r="I257" s="449"/>
      <c r="J257" s="429"/>
    </row>
    <row r="258" spans="1:11" ht="15.75" x14ac:dyDescent="0.25">
      <c r="A258" s="399"/>
      <c r="B258" s="398" t="s">
        <v>45</v>
      </c>
      <c r="C258" s="25" t="s">
        <v>46</v>
      </c>
      <c r="D258" s="25"/>
      <c r="E258" s="53"/>
      <c r="F258" s="230">
        <f>IF(G242="",0.8,(IF(AND(E258="",G242="Yes"),0.9,(IF(AND(E258="",G242="No"),0.8,ROUND( IF(OR(LEFT(B242)="C",B242="E"), IF(OR(E258&lt;=1,E258&gt;=9),0,IF(AND(E258&gt;=3.5,E258&lt;=6),1,IF(E258&lt;3.5, E258*'Reference Standards'!$I$37+'Reference Standards'!$I$38, E258*'Reference Standards'!$J$37+'Reference Standards'!$J$38))),   IF(OR(B242="A",(B242)="B", (B242)="Ba"), IF(E258&gt;=6.5,0, IF(E258&lt;=4, 1, E258^2*'Reference Standards'!$I$26+E258*'Reference Standards'!$I$27+'Reference Standards'!$I$28)), IF(B242="Bc",  IF(E258&gt;=8,0, IF(E258&lt;=5, 1, E258^2*'Reference Standards'!$I$31+E258*'Reference Standards'!$I$32+'Reference Standards'!$I$33))))),2))))))</f>
        <v>0.8</v>
      </c>
      <c r="G258" s="430">
        <f>IFERROR(AVERAGE(F258:F261),"")</f>
        <v>0.80000000000000016</v>
      </c>
      <c r="H258" s="448"/>
      <c r="I258" s="449"/>
      <c r="J258" s="429"/>
    </row>
    <row r="259" spans="1:11" ht="15.75" x14ac:dyDescent="0.25">
      <c r="A259" s="399"/>
      <c r="B259" s="399"/>
      <c r="C259" s="19" t="s">
        <v>47</v>
      </c>
      <c r="D259" s="19"/>
      <c r="E259" s="52"/>
      <c r="F259" s="29">
        <f>IF(G242="",0.8,(IF(AND(E259="",G242="Yes"),0.9,(IF(AND(E259="",G242="No"),0.8,ROUND(  IF(E259&lt;=1.1,0, IF(E259&gt;=3,1, IF(E259&lt;2, E259^2*'Reference Standards'!$I$42+  E259*'Reference Standards'!$I$43 + 'Reference Standards'!$I$44,      E259*'Reference Standards'!$J$43+'Reference Standards'!$J$44))),2))))))</f>
        <v>0.8</v>
      </c>
      <c r="G259" s="425"/>
      <c r="H259" s="448"/>
      <c r="I259" s="449"/>
      <c r="J259" s="429"/>
    </row>
    <row r="260" spans="1:11" ht="15.75" x14ac:dyDescent="0.25">
      <c r="A260" s="399"/>
      <c r="B260" s="399"/>
      <c r="C260" s="19" t="s">
        <v>104</v>
      </c>
      <c r="D260" s="19"/>
      <c r="E260" s="52"/>
      <c r="F260" s="245">
        <f>IF(G242="",0.8,(IF(AND(E260="",G242="Yes"),0.9,(IF(AND(E260="",G242="No"),0.8,IF(OR(B242="A",LEFT(B242,1)="B"),IF(OR(E260&lt;=20,E260&gt;=90),0,IF(AND(E260&gt;=50,E260&lt;=60),1,IF(E260&lt;50,E260*'Reference Standards'!$I$48+'Reference Standards'!$I$49,E260*'Reference Standards'!$J$48+'Reference Standards'!$J$49))),IF(OR(LEFT(B242)="C",B242="E"),IF(OR(E260&lt;=20,E260&gt;=85),0,IF(AND(E260&lt;=65,E260&gt;=45),1,IF(E260&lt;45,E260*'Reference Standards'!$I$53+'Reference Standards'!$I$54,E260*'Reference Standards'!$J$53+'Reference Standards'!$J$54))))))))))</f>
        <v>0.8</v>
      </c>
      <c r="G260" s="425"/>
      <c r="H260" s="448"/>
      <c r="I260" s="449"/>
      <c r="J260" s="429"/>
    </row>
    <row r="261" spans="1:11" ht="15.75" x14ac:dyDescent="0.25">
      <c r="A261" s="399"/>
      <c r="B261" s="400"/>
      <c r="C261" s="23" t="s">
        <v>88</v>
      </c>
      <c r="D261" s="19"/>
      <c r="E261" s="54"/>
      <c r="F261" s="246" t="str">
        <f>IF(E261="","",IF(E261&gt;=1.6,0,IF(E261&lt;=1,1,ROUND('Reference Standards'!$I$57*E261^3+'Reference Standards'!$I$58*E261^2+'Reference Standards'!$I$59*E261+'Reference Standards'!$I$60,2))))</f>
        <v/>
      </c>
      <c r="G261" s="431"/>
      <c r="H261" s="448"/>
      <c r="I261" s="449"/>
      <c r="J261" s="429"/>
    </row>
    <row r="262" spans="1:11" ht="15.75" x14ac:dyDescent="0.25">
      <c r="A262" s="399"/>
      <c r="B262" s="398" t="s">
        <v>44</v>
      </c>
      <c r="C262" s="21" t="s">
        <v>182</v>
      </c>
      <c r="D262" s="69"/>
      <c r="E262" s="22"/>
      <c r="F262" s="97">
        <f>IF(G242="",0.8,(IF(AND(E262="",G242="Yes"),0.9,(IF(AND(E262="",G242="No"),0.8,IF(G241="Unconfined Alluvial",IF(E262&gt;=100,1,IF(E262&lt;30,0,ROUND('Reference Standards'!$I$64*E262+'Reference Standards'!$I$65,2))),IF(OR(G241="Confined Alluvial",G241="Colluvial/V-Shaped"),(IF(E262&gt;=100,1,IF(E262&lt;60,0,ROUND('Reference Standards'!$J$64*E262+'Reference Standards'!$J$65,2)))))))))))</f>
        <v>0.8</v>
      </c>
      <c r="G262" s="423">
        <f>IFERROR(AVERAGE(F262:F265),"")</f>
        <v>0.80000000000000016</v>
      </c>
      <c r="H262" s="448"/>
      <c r="I262" s="449"/>
      <c r="J262" s="429"/>
    </row>
    <row r="263" spans="1:11" ht="15.75" x14ac:dyDescent="0.25">
      <c r="A263" s="399"/>
      <c r="B263" s="399"/>
      <c r="C263" s="23" t="s">
        <v>183</v>
      </c>
      <c r="D263" s="173"/>
      <c r="E263" s="244"/>
      <c r="F263" s="29">
        <f>IF(G242="",0.8,(IF(AND(E263="",G242="Yes"),0.9,(IF(AND(E263="",G242="No"),0.8,IF(B243="Yes",IF(E263&lt;=50,0,IF(E263&gt;=80,1,ROUND('Reference Standards'!$I$69*E263+'Reference Standards'!$I$70,2))),IF(B243="No",IF(E263&gt;=80,0,IF(E263&lt;=50,1,ROUND(E263*'Reference Standards'!$J$69+'Reference Standards'!$J$70,2))))))))))</f>
        <v>0.8</v>
      </c>
      <c r="G263" s="424"/>
      <c r="H263" s="448"/>
      <c r="I263" s="449"/>
      <c r="J263" s="429"/>
    </row>
    <row r="264" spans="1:11" ht="15.75" x14ac:dyDescent="0.25">
      <c r="A264" s="399"/>
      <c r="B264" s="399"/>
      <c r="C264" s="23" t="s">
        <v>184</v>
      </c>
      <c r="D264" s="173"/>
      <c r="E264" s="244"/>
      <c r="F264" s="29">
        <f>IF(G242="",0.8,(IF(AND(E264="",G242="Yes"),0.9,(IF(AND(E264="",G242="No"),0.8,IF(E264&lt;=50,0,IF(E264&gt;=80,1, ROUND(E264*'Reference Standards'!$I$73+'Reference Standards'!$I$74,2))))))))</f>
        <v>0.8</v>
      </c>
      <c r="G264" s="425"/>
      <c r="H264" s="448"/>
      <c r="I264" s="449"/>
      <c r="J264" s="429"/>
    </row>
    <row r="265" spans="1:11" ht="15.75" x14ac:dyDescent="0.25">
      <c r="A265" s="399"/>
      <c r="B265" s="400"/>
      <c r="C265" s="443" t="s">
        <v>277</v>
      </c>
      <c r="D265" s="444"/>
      <c r="E265" s="16"/>
      <c r="F265" s="98" t="str">
        <f>IF(OR(B243="",B243="No"),"",IF(AND(E265="",B243="Yes",G242="Yes"),0.9,IF(OR(G242="No",G242=""),0.8,IF(E265&lt;=9,0,IF(E265&gt;=14,1,ROUND('Reference Standards'!$I$77*E265+'Reference Standards'!$I$78,2))))))</f>
        <v/>
      </c>
      <c r="G265" s="426"/>
      <c r="H265" s="448"/>
      <c r="I265" s="449"/>
      <c r="J265" s="429"/>
    </row>
    <row r="266" spans="1:11" ht="15.75" x14ac:dyDescent="0.25">
      <c r="A266" s="409" t="s">
        <v>49</v>
      </c>
      <c r="B266" s="174" t="s">
        <v>169</v>
      </c>
      <c r="C266" s="175" t="s">
        <v>176</v>
      </c>
      <c r="D266" s="177"/>
      <c r="E266" s="101"/>
      <c r="F266" s="182">
        <f>IF(G242="",0.8,(IF(AND(E266="",G242="Yes"),0.9,IF(E266&gt;=25,0,IF(E266&lt;=10,1,ROUND(IF(E266&gt;18,'Reference Standards'!$L$4*E266+'Reference Standards'!$L$5,IF(E266&lt;12,'Reference Standards'!$N$4*E266+'Reference Standards'!$N$5,'Reference Standards'!$M$4*E266+'Reference Standards'!$M$5)),2))))))</f>
        <v>0.8</v>
      </c>
      <c r="G266" s="180">
        <f>IFERROR(AVERAGE(F266),"")</f>
        <v>0.8</v>
      </c>
      <c r="H266" s="411">
        <f>IFERROR(ROUND(AVERAGE(G266:G268),2),"")</f>
        <v>0.8</v>
      </c>
      <c r="I266" s="415" t="str">
        <f>IF(H266="","",IF(H266&gt;0.69,"Functioning",IF(H266&gt;0.29,"Functioning At Risk",IF(H266&gt;-1,"Not Functioning"))))</f>
        <v>Functioning</v>
      </c>
      <c r="J266" s="429"/>
    </row>
    <row r="267" spans="1:11" ht="15.75" x14ac:dyDescent="0.25">
      <c r="A267" s="410"/>
      <c r="B267" s="176" t="s">
        <v>170</v>
      </c>
      <c r="C267" s="175" t="s">
        <v>177</v>
      </c>
      <c r="D267" s="178"/>
      <c r="E267" s="49"/>
      <c r="F267" s="231">
        <f>IF(G242="",0.8,(IF(AND(E267="",G242="Yes"),0.9,IF(D240="2A",IF(E267&lt;=5.3,0,IF(E267&gt;=8.79,1,ROUND(E267*'Reference Standards'!$L$9+'Reference Standards'!$L$10,2))),IF(D240=7,IF(E267&lt;=0.8,0,IF(E267&gt;=1.25,1,ROUND(E267*'Reference Standards'!$N$9+'Reference Standards'!$N$10,2))),IF(OR(D240="2B", D240="2Bd",D240="2C"),IF(E267&lt;=3.8,0,(IF(E267&gt;=6.3,1,ROUND(E267*'Reference Standards'!$M$9+'Reference Standards'!$M$10,2))))))))))</f>
        <v>0.8</v>
      </c>
      <c r="G267" s="181">
        <f>IFERROR(AVERAGE(F267),"")</f>
        <v>0.8</v>
      </c>
      <c r="H267" s="412"/>
      <c r="I267" s="416"/>
      <c r="J267" s="429"/>
    </row>
    <row r="268" spans="1:11" ht="15.75" x14ac:dyDescent="0.25">
      <c r="A268" s="410"/>
      <c r="B268" s="174" t="s">
        <v>172</v>
      </c>
      <c r="C268" s="175" t="s">
        <v>178</v>
      </c>
      <c r="D268" s="179"/>
      <c r="E268" s="101"/>
      <c r="F268" s="182">
        <f>IF(G242="",0.8,(IF(AND(E268="",G242="Yes"),0.9,IF(D240="2A",IF(E268&gt;=12.5,0,IF(E268&lt;=7.5,1,ROUND(E268*'Reference Standards'!$L$15+'Reference Standards'!$L$16,2))),IF(OR(D240="2B",D240="2Bd",D240="2C"),IF(D241="North",IF(E268&gt;=18.8,0,IF(E268&lt;=11.3,1,ROUND(E268*'Reference Standards'!$M$15+'Reference Standards'!$M$16,2))),IF(D241="Central",(IF(E268&gt;=37.5,0,IF(E268&lt;=22.5,1,ROUND(E268*'Reference Standards'!$N$15+'Reference Standards'!$N$16,2)))),IF(E268&gt;=81.2,0,(IF(E268&lt;=48.7,1,ROUND(E268*'Reference Standards'!$O$15+'Reference Standards'!$O$16,2)))))))))))</f>
        <v>0.8</v>
      </c>
      <c r="G268" s="182">
        <f>IFERROR(AVERAGE(F268),"")</f>
        <v>0.8</v>
      </c>
      <c r="H268" s="412"/>
      <c r="I268" s="416"/>
      <c r="J268" s="429"/>
    </row>
    <row r="269" spans="1:11" ht="15.75" x14ac:dyDescent="0.25">
      <c r="A269" s="445" t="s">
        <v>50</v>
      </c>
      <c r="B269" s="236" t="s">
        <v>105</v>
      </c>
      <c r="C269" s="40" t="s">
        <v>179</v>
      </c>
      <c r="D269" s="41"/>
      <c r="E269" s="44"/>
      <c r="F269" s="99">
        <f>IF(G242="",0.8,(IF(AND(E268="",G242="Yes"),0.9,IF(D243="Northern Forest Rivers",IF(E269&lt;=38.2,0,IF(E269&gt;=77,1,ROUND(IF(E269&lt;49, 'Reference Standards'!$Q$5*E269+'Reference Standards'!$Q$6, IF(E269&lt;59.8, 'Reference Standards'!$R$5*E269+'Reference Standards'!$R$6, 'Reference Standards'!$S$5*E269+'Reference Standards'!$S$6)),2))),   IF(D243="Northern Forest Streams Riffle-run",IF(E269&lt;40.4,0,IF(E269&gt;=82,1,ROUND(IF(E269&lt;53, 'Reference Standards'!$T$5*E269+'Reference Standards'!$T$6, IF(E269&lt;59.8, 'Reference Standards'!$U$5*E269+'Reference Standards'!$U$6, 'Reference Standards'!$V$5*E269+'Reference Standards'!$V$6) ),2))), IF(D243="Northern Forest Streams Glide-pool",IF(E269&lt;=37,0,IF(E269&gt;=76,1,ROUND(IF(E269&lt;51, 'Reference Standards'!$W$5*E269+'Reference Standards'!$W$6, IF(E269&lt;65.6, 'Reference Standards'!$X$5*E269+'Reference Standards'!$X$6, 'Reference Standards'!$Y$5*E269+'Reference Standards'!$Y$6) ),2))), IF(D243="Northern Coldwater",IF(E269&lt;19.6,0,IF(E269&gt;=52,1,ROUND(IF(E269&lt;32, 'Reference Standards'!$Z$5*E269+'Reference Standards'!$Z$6, IF(E269&lt;44.4,'Reference Standards'!$AA$5*E269+'Reference Standards'!$AA$6, 'Reference Standards'!$AB$5*E269+'Reference Standards'!$AB$6) ),2))), IF(D243="Southern Forest Streams Riffle-run", IF(E269&lt;24,0,IF(E269&gt;=62,1,ROUND(IF(E269&lt;37, 'Reference Standards'!$Q$11*E269+'Reference Standards'!$Q$12, IF(E269&lt;49.6,'Reference Standards'!$R$11*E269+'Reference Standards'!$R$12,'Reference Standards'!$S$11*E269+'Reference Standards'!$S$12)),2))), IF(D243="Southern Forest Streams Glide-pool", IF(E269&lt;29.4,0,IF(E269&gt;=65,1,ROUND(IF(E269&lt;43,'Reference Standards'!$T$11*E269+'Reference Standards'!$T$12, IF(E269&lt;56.6, 'Reference Standards'!$U$11*E269+'Reference Standards'!$U$12,'Reference Standards'!$V$11*E269+'Reference Standards'!$V$12)),2))), IF(D243="Southern Coldwater", IF(E269&lt;29.2,0,IF(E269&gt;=72,1,ROUND(IF(E269&lt;43, 'Reference Standards'!$W$11*E269+'Reference Standards'!$W$12, IF(E269&lt;56.8,'Reference Standards'!$X$11*E269+'Reference Standards'!$X$12, 'Reference Standards'!$Y$11*E269+'Reference Standards'!$Y$12)),2))), IF(D243="Prairie Forest Rivers", IF(E269&lt;20.2,0,IF(E269&gt;=62,1,ROUND(IF(E269&lt;31,'Reference Standards'!$Q$17*E269+'Reference Standards'!$Q$18, IF(E269&lt;41.8,'Reference Standards'!$R$17*E269+'Reference Standards'!$R$18,'Reference Standards'!$S$17*E269+'Reference Standards'!$S$18)),2))), IF(D243="Prairie Streams Glide-Pool", IF(E269&lt;27.4,0,IF(E269&gt;=69,1,ROUND(IF(E269&lt;41,'Reference Standards'!$T$17*E269+'Reference Standards'!$T$18, IF(E269&lt;54.6,'Reference Standards'!$U$17*E269+'Reference Standards'!$U$18, 'Reference Standards'!$V$17*E269+'Reference Standards'!$V$18)),2))) ))))))))))))</f>
        <v>0.8</v>
      </c>
      <c r="G269" s="237">
        <f>IFERROR(AVERAGE(F269),"")</f>
        <v>0.8</v>
      </c>
      <c r="H269" s="450">
        <f>IFERROR(ROUND(AVERAGE(G269:G270),2),"")</f>
        <v>0.8</v>
      </c>
      <c r="I269" s="414" t="str">
        <f>IF(H269="","",IF(H269&gt;0.69,"Functioning",IF(H269&gt;0.29,"Functioning At Risk",IF(H269&gt;-1,"Not Functioning"))))</f>
        <v>Functioning</v>
      </c>
      <c r="J269" s="429"/>
    </row>
    <row r="270" spans="1:11" ht="15.75" x14ac:dyDescent="0.25">
      <c r="A270" s="446"/>
      <c r="B270" s="238" t="s">
        <v>54</v>
      </c>
      <c r="C270" s="183" t="s">
        <v>180</v>
      </c>
      <c r="D270" s="184"/>
      <c r="E270" s="101"/>
      <c r="F270" s="99">
        <f>IF(G242="",0.8,(IF(AND(E270="",G242="Yes"),0.9,IF(G240="Northern Rivers",IF(E270&lt;29,0,IF(E270&gt;=66,1,ROUND(IF(E270&lt;38, 'Reference Standards'!$Q$23*E270+'Reference Standards'!$Q$24, IF(E270&lt;47, 'Reference Standards'!$R$23*E270+'Reference Standards'!$R$24, 'Reference Standards'!$S$23*E270+'Reference Standards'!$S$24)),2))),   IF(G240="Northern Streams",IF(E270&lt;35,0,IF(E270&gt;=61,1,ROUND(IF(E270&lt;47, 'Reference Standards'!$T$23*E270+'Reference Standards'!$T$24, IF(E270&lt;56, 'Reference Standards'!$U$23*E270+'Reference Standards'!$U$24, 'Reference Standards'!$V$23*E270+'Reference Standards'!$V$24) ),2))), IF(G240="Northern Headwaters",IF(E270&lt;23,0,IF(E270&gt;=68,1,ROUND(IF(E270&lt;42, 'Reference Standards'!$W$23*E270+'Reference Standards'!$W$24, IF(E270&lt;56, 'Reference Standards'!$X$23*E270+'Reference Standards'!$X$24, 'Reference Standards'!$Y$23*E270+'Reference Standards'!$Y$24) ),2))), IF(G240="Northern Coldwater",IF(E270&lt;25,0,IF(E270&gt;=60,1,ROUND(IF(E270&lt;35, 'Reference Standards'!$Z$23*E270+'Reference Standards'!$Z$24, IF(E270&lt;45, 'Reference Standards'!$AA$23*E270+'Reference Standards'!$AA$24, 'Reference Standards'!$AB$23*E270+'Reference Standards'!$AB$24) ),2))), IF(G240="Southern River", IF(E270&lt;38,0,IF(E270&gt;=71,1,ROUND(IF(E270&lt;49, 'Reference Standards'!$Q$29*E270+'Reference Standards'!$Q$30, IF(E270&lt;60,'Reference Standards'!$R$29*E270+'Reference Standards'!$R$30, 'Reference Standards'!$S$29*E270+'Reference Standards'!$S$30)),2))), IF(G240="Southern Streams", IF(E270&lt;35,0,IF(E270&gt;=66,1,ROUND(IF(E270&lt;50,'Reference Standards'!$T$29*E270+'Reference Standards'!$T$30, IF(E270&lt;59, 'Reference Standards'!$U$29*E270+'Reference Standards'!$U$30, 'Reference Standards'!$V$29*E270+'Reference Standards'!$V$30)),2))), IF(G240="Southern Headwaters", IF(E270&lt;33,0,IF(E270&gt;=74,1,ROUND(IF(E270&lt;55, 'Reference Standards'!$W$29*E270+'Reference Standards'!$W$30, IF(E270&lt;62, 'Reference Standards'!$X$29*E270+'Reference Standards'!$X$30, 'Reference Standards'!$Y$29*E270+'Reference Standards'!$Y$30)),2))), IF(G240="Southern Coldwater", IF(E270&lt;37,0,IF(E270&gt;=82,1,ROUND(IF(E270&lt;50, 'Reference Standards'!$Z$29*E270+'Reference Standards'!$Z$30, IF(E270&lt;63,'Reference Standards'!$AA$29*E270+'Reference Standards'!$AA$30,'Reference Standards'!$AB$29*E270+'Reference Standards'!$AB$30)),2))), IF(G240="Low Gradient", IF(E270&lt;15,0,IF(E270&gt;=70,1,ROUND(IF(E270&lt;42, 'Reference Standards'!$Q$34*E270+'Reference Standards'!$Q$35, IF(E270&lt;52, 'Reference Standards'!$R$34*E270+'Reference Standards'!$R$35, 'Reference Standards'!$S$34*E270+'Reference Standards'!$S$35)),2))) ))))))))))))</f>
        <v>0.8</v>
      </c>
      <c r="G270" s="237">
        <f>IFERROR(AVERAGE(F270),"")</f>
        <v>0.8</v>
      </c>
      <c r="H270" s="450"/>
      <c r="I270" s="414"/>
      <c r="J270" s="429"/>
    </row>
    <row r="271" spans="1:11" ht="4.9000000000000004" customHeight="1" x14ac:dyDescent="0.25">
      <c r="J271" s="4"/>
      <c r="K271" s="11"/>
    </row>
    <row r="272" spans="1:11" ht="4.9000000000000004" customHeight="1" x14ac:dyDescent="0.25">
      <c r="K272" s="11"/>
    </row>
    <row r="273" spans="1:10" ht="21" customHeight="1" x14ac:dyDescent="0.25">
      <c r="A273" s="406" t="s">
        <v>310</v>
      </c>
      <c r="B273" s="407"/>
      <c r="C273" s="407"/>
      <c r="D273" s="407"/>
      <c r="E273" s="407"/>
      <c r="F273" s="407"/>
      <c r="G273" s="407"/>
      <c r="H273" s="407"/>
      <c r="I273" s="407"/>
      <c r="J273" s="408"/>
    </row>
    <row r="274" spans="1:10" ht="18" customHeight="1" x14ac:dyDescent="0.25">
      <c r="A274" s="122" t="s">
        <v>68</v>
      </c>
      <c r="B274" s="101"/>
      <c r="C274" s="122" t="s">
        <v>195</v>
      </c>
      <c r="D274" s="48"/>
      <c r="E274" s="165" t="s">
        <v>226</v>
      </c>
      <c r="F274" s="166"/>
      <c r="G274" s="48"/>
      <c r="H274" s="404" t="s">
        <v>137</v>
      </c>
      <c r="I274" s="405"/>
      <c r="J274" s="101"/>
    </row>
    <row r="275" spans="1:10" ht="18" customHeight="1" x14ac:dyDescent="0.25">
      <c r="A275" s="122" t="s">
        <v>69</v>
      </c>
      <c r="B275" s="48"/>
      <c r="C275" s="122" t="s">
        <v>205</v>
      </c>
      <c r="D275" s="48"/>
      <c r="E275" s="413" t="s">
        <v>92</v>
      </c>
      <c r="F275" s="413"/>
      <c r="G275" s="48"/>
      <c r="H275" s="404" t="s">
        <v>138</v>
      </c>
      <c r="I275" s="405"/>
      <c r="J275" s="101"/>
    </row>
    <row r="276" spans="1:10" ht="18" customHeight="1" x14ac:dyDescent="0.25">
      <c r="A276" s="122" t="s">
        <v>136</v>
      </c>
      <c r="B276" s="48"/>
      <c r="C276" s="122" t="s">
        <v>206</v>
      </c>
      <c r="D276" s="48"/>
      <c r="E276" s="413" t="s">
        <v>267</v>
      </c>
      <c r="F276" s="413"/>
      <c r="G276" s="48"/>
      <c r="H276" s="404" t="s">
        <v>139</v>
      </c>
      <c r="I276" s="405"/>
      <c r="J276" s="101"/>
    </row>
    <row r="277" spans="1:10" ht="18" customHeight="1" x14ac:dyDescent="0.25">
      <c r="A277" s="106" t="s">
        <v>261</v>
      </c>
      <c r="B277" s="48"/>
      <c r="C277" s="122" t="s">
        <v>207</v>
      </c>
      <c r="D277" s="48"/>
      <c r="E277" s="225" t="s">
        <v>260</v>
      </c>
      <c r="F277" s="226"/>
      <c r="G277" s="48"/>
      <c r="H277" s="404" t="s">
        <v>140</v>
      </c>
      <c r="I277" s="405"/>
      <c r="J277" s="101"/>
    </row>
    <row r="278" spans="1:10" ht="4.9000000000000004" customHeight="1" x14ac:dyDescent="0.25">
      <c r="A278" s="1"/>
      <c r="B278" s="4"/>
      <c r="C278" s="4"/>
      <c r="D278" s="4"/>
      <c r="E278" s="4"/>
      <c r="F278" s="4"/>
      <c r="G278" s="4"/>
      <c r="H278" s="12"/>
      <c r="I278" s="104"/>
      <c r="J278" s="12"/>
    </row>
    <row r="279" spans="1:10" ht="21" x14ac:dyDescent="0.35">
      <c r="A279" s="420" t="s">
        <v>311</v>
      </c>
      <c r="B279" s="420"/>
      <c r="C279" s="420"/>
      <c r="D279" s="420"/>
      <c r="E279" s="420"/>
      <c r="F279" s="420"/>
      <c r="G279" s="420" t="s">
        <v>14</v>
      </c>
      <c r="H279" s="420"/>
      <c r="I279" s="420"/>
      <c r="J279" s="420"/>
    </row>
    <row r="280" spans="1:10" ht="15.75" x14ac:dyDescent="0.25">
      <c r="A280" s="46" t="s">
        <v>1</v>
      </c>
      <c r="B280" s="46" t="s">
        <v>2</v>
      </c>
      <c r="C280" s="421" t="s">
        <v>3</v>
      </c>
      <c r="D280" s="422"/>
      <c r="E280" s="46" t="s">
        <v>12</v>
      </c>
      <c r="F280" s="45" t="s">
        <v>13</v>
      </c>
      <c r="G280" s="46" t="s">
        <v>15</v>
      </c>
      <c r="H280" s="46" t="s">
        <v>16</v>
      </c>
      <c r="I280" s="105" t="s">
        <v>16</v>
      </c>
      <c r="J280" s="46" t="s">
        <v>264</v>
      </c>
    </row>
    <row r="281" spans="1:10" ht="15.75" customHeight="1" x14ac:dyDescent="0.25">
      <c r="A281" s="427" t="s">
        <v>51</v>
      </c>
      <c r="B281" s="427" t="s">
        <v>78</v>
      </c>
      <c r="C281" s="167" t="s">
        <v>162</v>
      </c>
      <c r="D281" s="169"/>
      <c r="E281" s="44"/>
      <c r="F281" s="28">
        <f>IF(G277="Yes","",(IF(G276="",0.8,(IF(AND(E281="",G276="Yes"),0.9,(IF(AND(E281="",G276="No"),0.8,IF(E281&gt;=80,0,IF(E281&lt;=40,1,IF(E281&gt;=68,ROUND(E281*'Reference Standards'!$B$4+'Reference Standards'!$B$5,2),ROUND(E281*'Reference Standards'!$C$4+'Reference Standards'!$C$5,2)))))))))))</f>
        <v>0.8</v>
      </c>
      <c r="G281" s="401">
        <f>IFERROR(AVERAGE(F281:F283),"")</f>
        <v>0.8</v>
      </c>
      <c r="H281" s="401">
        <f>IFERROR(ROUND(AVERAGE(G281:G283),2),"")</f>
        <v>0.8</v>
      </c>
      <c r="I281" s="414" t="str">
        <f>IF(H281="","",IF(H281&gt;0.69,"Functioning",IF(H281&gt;0.29,"Functioning At Risk",IF(H281&gt;-1,"Not Functioning"))))</f>
        <v>Functioning</v>
      </c>
      <c r="J281" s="429">
        <f>IF(AND(H281="",H284="",H286="",H300="",H303=""),"",ROUND((IF(H281="",0,H281)*0.2)+(IF(H284="",0,H284)*0.2)+(IF(H286="",0,H286)*0.2)+(IF(H300="",0,H300)*0.2)+(IF(H303="",0,H303)*0.2),2))</f>
        <v>0.8</v>
      </c>
    </row>
    <row r="282" spans="1:10" ht="15.75" customHeight="1" x14ac:dyDescent="0.25">
      <c r="A282" s="428"/>
      <c r="B282" s="428"/>
      <c r="C282" s="168" t="s">
        <v>164</v>
      </c>
      <c r="D282" s="170"/>
      <c r="E282" s="49"/>
      <c r="F282" s="228" t="str">
        <f>IF(G277="No","",IF(E282="","",  IF(E282&gt;0.95,0,IF(E282&lt;=0.02,1,ROUND(IF(E282&gt;0.26,'Reference Standards'!$B$10*E282+'Reference Standards'!$B$11, IF(E282&lt;0.05, 'Reference Standards'!$D$10*E282+'Reference Standards'!$D$11, 'Reference Standards'!$C$10*E282+'Reference Standards'!$C$11)),2))) ))</f>
        <v/>
      </c>
      <c r="G282" s="402"/>
      <c r="H282" s="402"/>
      <c r="I282" s="414"/>
      <c r="J282" s="429"/>
    </row>
    <row r="283" spans="1:10" ht="15.75" x14ac:dyDescent="0.25">
      <c r="A283" s="428"/>
      <c r="B283" s="442"/>
      <c r="C283" s="171" t="s">
        <v>166</v>
      </c>
      <c r="D283" s="172"/>
      <c r="E283" s="49"/>
      <c r="F283" s="227">
        <f>IF(G277="Yes","",(IF(G276="",0.8,(IF(AND(E283="",G276="Yes"),0.9,(IF(AND(E283="",G276="No"),0.8,IF(E283&gt;3.22,0,IF(E283&lt;0,"",ROUND('Reference Standards'!$B$15*E283+'Reference Standards'!$B$16,2))))))))))</f>
        <v>0.8</v>
      </c>
      <c r="G283" s="403"/>
      <c r="H283" s="403"/>
      <c r="I283" s="414"/>
      <c r="J283" s="429"/>
    </row>
    <row r="284" spans="1:10" ht="15.75" x14ac:dyDescent="0.25">
      <c r="A284" s="432" t="s">
        <v>4</v>
      </c>
      <c r="B284" s="434" t="s">
        <v>5</v>
      </c>
      <c r="C284" s="17" t="s">
        <v>6</v>
      </c>
      <c r="D284" s="17"/>
      <c r="E284" s="44"/>
      <c r="F284" s="96">
        <f>IF(G276="",0.8,(IF(AND(E284="",G276="Yes"),0.9,(IF(AND(E284="",G276="No"),0.8,ROUND(IF(E284&gt;1.6,0,IF(E284&lt;=1,1,E284^2*'Reference Standards'!$F$2+E284*'Reference Standards'!$F$3+'Reference Standards'!$F$4)),2))))))</f>
        <v>0.8</v>
      </c>
      <c r="G284" s="435">
        <f>IFERROR(AVERAGE(F284:F285),"")</f>
        <v>0.8</v>
      </c>
      <c r="H284" s="436">
        <f>IFERROR(ROUND(AVERAGE(G284),2),"")</f>
        <v>0.8</v>
      </c>
      <c r="I284" s="438" t="str">
        <f>IF(H284="","",IF(H284&gt;0.69,"Functioning",IF(H284&gt;0.29,"Functioning At Risk",IF(H284&gt;-1,"Not Functioning"))))</f>
        <v>Functioning</v>
      </c>
      <c r="J284" s="429"/>
    </row>
    <row r="285" spans="1:10" ht="15.75" x14ac:dyDescent="0.25">
      <c r="A285" s="433"/>
      <c r="B285" s="434"/>
      <c r="C285" s="17" t="s">
        <v>7</v>
      </c>
      <c r="D285" s="17"/>
      <c r="E285" s="50"/>
      <c r="F285" s="96">
        <f>IF(G276="",0.8,(IF(AND(E285="",G276="Yes"),0.9,(IF(AND(E285="",G276="No"),0.8,(IF(OR(B276="A",B276="B",B276="Bc",B276="Ba"),IF(E285&lt;1.2,0,IF(E285&gt;=2.2,1,ROUND(IF(E285&lt;1.4,E285*'Reference Standards'!$F$13+'Reference Standards'!$F$14,E285*'Reference Standards'!$G$13+'Reference Standards'!$G$14),2))),IF(OR(B276="C",B276="Cb",B276="E"),IF(E285&lt;2,0,IF(E285&gt;=5,1,ROUND(IF(E285&lt;2.4,E285*'Reference Standards'!$G$8+'Reference Standards'!$G$9,E285*'Reference Standards'!$F$8+'Reference Standards'!$F$9),2)))))))))))</f>
        <v>0.8</v>
      </c>
      <c r="G285" s="435"/>
      <c r="H285" s="437"/>
      <c r="I285" s="439"/>
      <c r="J285" s="429"/>
    </row>
    <row r="286" spans="1:10" ht="15.75" x14ac:dyDescent="0.25">
      <c r="A286" s="398" t="s">
        <v>21</v>
      </c>
      <c r="B286" s="440" t="s">
        <v>22</v>
      </c>
      <c r="C286" s="21" t="s">
        <v>103</v>
      </c>
      <c r="D286" s="69"/>
      <c r="E286" s="44"/>
      <c r="F286" s="229" t="str">
        <f>IF(E286="","",IF(E286&gt;=660,1,IF(E286&lt;=430,ROUND('Reference Standards'!$I$4*E286+'Reference Standards'!$I$5,2),ROUND('Reference Standards'!$J$4*E286+'Reference Standards'!$J$5,2))))</f>
        <v/>
      </c>
      <c r="G286" s="423">
        <f>IFERROR(AVERAGE(F286:F287),"")</f>
        <v>0.8</v>
      </c>
      <c r="H286" s="447">
        <f>IFERROR(ROUND(AVERAGE(G286:G299),2),"")</f>
        <v>0.8</v>
      </c>
      <c r="I286" s="449" t="str">
        <f>IF(H286="","",IF(H286&gt;0.69,"Functioning",IF(H286&gt;0.29,"Functioning At Risk",IF(H286&gt;-1,"Not Functioning"))))</f>
        <v>Functioning</v>
      </c>
      <c r="J286" s="429"/>
    </row>
    <row r="287" spans="1:10" ht="15.75" x14ac:dyDescent="0.25">
      <c r="A287" s="399"/>
      <c r="B287" s="441"/>
      <c r="C287" s="24" t="s">
        <v>99</v>
      </c>
      <c r="D287" s="70"/>
      <c r="E287" s="50"/>
      <c r="F287" s="98">
        <f>IF(ISNUMBER(E286),"",IF(G276="",0.8,(IF(AND(E287="",G276="Yes"),0.9,(IF(AND(E287="",G276="No"),0.8,IF(E287&gt;=28,1,ROUND(IF(E287&lt;=13,'Reference Standards'!$I$9*E287,'Reference Standards'!$J$9*E287+'Reference Standards'!$J$10),2))))))))</f>
        <v>0.8</v>
      </c>
      <c r="G287" s="426"/>
      <c r="H287" s="447"/>
      <c r="I287" s="449"/>
      <c r="J287" s="429"/>
    </row>
    <row r="288" spans="1:10" ht="15.75" x14ac:dyDescent="0.25">
      <c r="A288" s="399"/>
      <c r="B288" s="399" t="s">
        <v>126</v>
      </c>
      <c r="C288" s="19" t="s">
        <v>43</v>
      </c>
      <c r="D288" s="19"/>
      <c r="E288" s="49"/>
      <c r="F288" s="29">
        <f>IF(G276="",0.8,(IF(AND(E288="",G276="Yes"),0.9,(IF(AND(E288="",G276="No"),0.8,IF(OR(E288="Ex/Ex",E288="Ex/VH",E288="Ex/H",E288="Ex/M",E288="VH/Ex",E288="VH/VH", E288="H/Ex",E288="H/VH"),0, IF(OR(E288="M/Ex"),0.1,IF(OR(E288="VH/H",E288="VH/M",E288="H/H",E288="H/M", E288="M/VH"),0.2, IF(OR(E288="Ex/VL",E288="Ex/L", E288="M/H"),0.3, IF(OR(E288="VH/L",E288="H/L"),0.4, IF(OR(E288="VH/VL",E288="H/VL",E288="M/M"),0.5, IF(OR(E288="M/L",E288="L/Ex"),0.6, IF(OR(E288="M/VL",E288="L/VH", E288="L/H",E288="L/M",E288="L/L",E288="L/VL",LEFT(E288)="V"),1)))))))))))))</f>
        <v>0.8</v>
      </c>
      <c r="G288" s="423">
        <f>IFERROR(AVERAGE(F288:F290),"")</f>
        <v>0.80000000000000016</v>
      </c>
      <c r="H288" s="448"/>
      <c r="I288" s="449"/>
      <c r="J288" s="429"/>
    </row>
    <row r="289" spans="1:10" ht="15.75" x14ac:dyDescent="0.25">
      <c r="A289" s="399"/>
      <c r="B289" s="399"/>
      <c r="C289" s="20" t="s">
        <v>57</v>
      </c>
      <c r="D289" s="173"/>
      <c r="E289" s="243"/>
      <c r="F289" s="29">
        <f>IF(G276="",0.8,(IF(AND(E289="",G276="Yes"),0.9,(IF(AND(E289="",G276="No"),0.8,ROUND(IF(E289&gt;=75,0,IF(E289&lt;=5,1,IF(E289&gt;10,E289*'Reference Standards'!$I$14+'Reference Standards'!$I$15,'Reference Standards'!$J$14*E289+'Reference Standards'!$J$15))),2))))))</f>
        <v>0.8</v>
      </c>
      <c r="G289" s="424"/>
      <c r="H289" s="448"/>
      <c r="I289" s="449"/>
      <c r="J289" s="429"/>
    </row>
    <row r="290" spans="1:10" ht="15.75" x14ac:dyDescent="0.25">
      <c r="A290" s="399"/>
      <c r="B290" s="400"/>
      <c r="C290" s="20" t="s">
        <v>125</v>
      </c>
      <c r="D290" s="20"/>
      <c r="E290" s="50"/>
      <c r="F290" s="98">
        <f>IF(G276="",0.8,(IF(AND(E290="",G276="Yes"),0.9,(IF(AND(E290="",G276="No"),0.8,IF(E290&gt;=50,0,ROUND(E290*'Reference Standards'!$I$18+'Reference Standards'!$I$19,2)))))))</f>
        <v>0.8</v>
      </c>
      <c r="G290" s="426"/>
      <c r="H290" s="448"/>
      <c r="I290" s="449"/>
      <c r="J290" s="429"/>
    </row>
    <row r="291" spans="1:10" ht="15.75" x14ac:dyDescent="0.25">
      <c r="A291" s="399"/>
      <c r="B291" s="18" t="s">
        <v>70</v>
      </c>
      <c r="C291" s="26" t="s">
        <v>80</v>
      </c>
      <c r="D291" s="68"/>
      <c r="E291" s="50"/>
      <c r="F291" s="27" t="str">
        <f>IF(E291="","",IF(E291&gt;=50,0,ROUND(E291*'Reference Standards'!$I$22+'Reference Standards'!$I$23,2)))</f>
        <v/>
      </c>
      <c r="G291" s="27" t="str">
        <f>IFERROR(AVERAGE(F291),"")</f>
        <v/>
      </c>
      <c r="H291" s="448"/>
      <c r="I291" s="449"/>
      <c r="J291" s="429"/>
    </row>
    <row r="292" spans="1:10" ht="15.75" x14ac:dyDescent="0.25">
      <c r="A292" s="399"/>
      <c r="B292" s="398" t="s">
        <v>45</v>
      </c>
      <c r="C292" s="25" t="s">
        <v>46</v>
      </c>
      <c r="D292" s="25"/>
      <c r="E292" s="53"/>
      <c r="F292" s="230">
        <f>IF(G276="",0.8,(IF(AND(E292="",G276="Yes"),0.9,(IF(AND(E292="",G276="No"),0.8,ROUND( IF(OR(LEFT(B276)="C",B276="E"), IF(OR(E292&lt;=1,E292&gt;=9),0,IF(AND(E292&gt;=3.5,E292&lt;=6),1,IF(E292&lt;3.5, E292*'Reference Standards'!$I$37+'Reference Standards'!$I$38, E292*'Reference Standards'!$J$37+'Reference Standards'!$J$38))),   IF(OR(B276="A",(B276)="B", (B276)="Ba"), IF(E292&gt;=6.5,0, IF(E292&lt;=4, 1, E292^2*'Reference Standards'!$I$26+E292*'Reference Standards'!$I$27+'Reference Standards'!$I$28)), IF(B276="Bc",  IF(E292&gt;=8,0, IF(E292&lt;=5, 1, E292^2*'Reference Standards'!$I$31+E292*'Reference Standards'!$I$32+'Reference Standards'!$I$33))))),2))))))</f>
        <v>0.8</v>
      </c>
      <c r="G292" s="430">
        <f>IFERROR(AVERAGE(F292:F295),"")</f>
        <v>0.80000000000000016</v>
      </c>
      <c r="H292" s="448"/>
      <c r="I292" s="449"/>
      <c r="J292" s="429"/>
    </row>
    <row r="293" spans="1:10" ht="15.75" x14ac:dyDescent="0.25">
      <c r="A293" s="399"/>
      <c r="B293" s="399"/>
      <c r="C293" s="19" t="s">
        <v>47</v>
      </c>
      <c r="D293" s="19"/>
      <c r="E293" s="52"/>
      <c r="F293" s="29">
        <f>IF(G276="",0.8,(IF(AND(E293="",G276="Yes"),0.9,(IF(AND(E293="",G276="No"),0.8,ROUND(  IF(E293&lt;=1.1,0, IF(E293&gt;=3,1, IF(E293&lt;2, E293^2*'Reference Standards'!$I$42+  E293*'Reference Standards'!$I$43 + 'Reference Standards'!$I$44,      E293*'Reference Standards'!$J$43+'Reference Standards'!$J$44))),2))))))</f>
        <v>0.8</v>
      </c>
      <c r="G293" s="425"/>
      <c r="H293" s="448"/>
      <c r="I293" s="449"/>
      <c r="J293" s="429"/>
    </row>
    <row r="294" spans="1:10" ht="15.75" x14ac:dyDescent="0.25">
      <c r="A294" s="399"/>
      <c r="B294" s="399"/>
      <c r="C294" s="19" t="s">
        <v>104</v>
      </c>
      <c r="D294" s="19"/>
      <c r="E294" s="52"/>
      <c r="F294" s="245">
        <f>IF(G276="",0.8,(IF(AND(E294="",G276="Yes"),0.9,(IF(AND(E294="",G276="No"),0.8,IF(OR(B276="A",LEFT(B276,1)="B"),IF(OR(E294&lt;=20,E294&gt;=90),0,IF(AND(E294&gt;=50,E294&lt;=60),1,IF(E294&lt;50,E294*'Reference Standards'!$I$48+'Reference Standards'!$I$49,E294*'Reference Standards'!$J$48+'Reference Standards'!$J$49))),IF(OR(LEFT(B276)="C",B276="E"),IF(OR(E294&lt;=20,E294&gt;=85),0,IF(AND(E294&lt;=65,E294&gt;=45),1,IF(E294&lt;45,E294*'Reference Standards'!$I$53+'Reference Standards'!$I$54,E294*'Reference Standards'!$J$53+'Reference Standards'!$J$54))))))))))</f>
        <v>0.8</v>
      </c>
      <c r="G294" s="425"/>
      <c r="H294" s="448"/>
      <c r="I294" s="449"/>
      <c r="J294" s="429"/>
    </row>
    <row r="295" spans="1:10" ht="15.75" x14ac:dyDescent="0.25">
      <c r="A295" s="399"/>
      <c r="B295" s="400"/>
      <c r="C295" s="23" t="s">
        <v>88</v>
      </c>
      <c r="D295" s="19"/>
      <c r="E295" s="54"/>
      <c r="F295" s="246" t="str">
        <f>IF(E295="","",IF(E295&gt;=1.6,0,IF(E295&lt;=1,1,ROUND('Reference Standards'!$I$57*E295^3+'Reference Standards'!$I$58*E295^2+'Reference Standards'!$I$59*E295+'Reference Standards'!$I$60,2))))</f>
        <v/>
      </c>
      <c r="G295" s="431"/>
      <c r="H295" s="448"/>
      <c r="I295" s="449"/>
      <c r="J295" s="429"/>
    </row>
    <row r="296" spans="1:10" ht="15.75" x14ac:dyDescent="0.25">
      <c r="A296" s="399"/>
      <c r="B296" s="398" t="s">
        <v>44</v>
      </c>
      <c r="C296" s="21" t="s">
        <v>182</v>
      </c>
      <c r="D296" s="69"/>
      <c r="E296" s="22"/>
      <c r="F296" s="97">
        <f>IF(G276="",0.8,(IF(AND(E296="",G276="Yes"),0.9,(IF(AND(E296="",G276="No"),0.8,IF(G275="Unconfined Alluvial",IF(E296&gt;=100,1,IF(E296&lt;30,0,ROUND('Reference Standards'!$I$64*E296+'Reference Standards'!$I$65,2))),IF(OR(G275="Confined Alluvial",G275="Colluvial/V-Shaped"),(IF(E296&gt;=100,1,IF(E296&lt;60,0,ROUND('Reference Standards'!$J$64*E296+'Reference Standards'!$J$65,2)))))))))))</f>
        <v>0.8</v>
      </c>
      <c r="G296" s="423">
        <f>IFERROR(AVERAGE(F296:F299),"")</f>
        <v>0.80000000000000016</v>
      </c>
      <c r="H296" s="448"/>
      <c r="I296" s="449"/>
      <c r="J296" s="429"/>
    </row>
    <row r="297" spans="1:10" ht="15.75" x14ac:dyDescent="0.25">
      <c r="A297" s="399"/>
      <c r="B297" s="399"/>
      <c r="C297" s="23" t="s">
        <v>183</v>
      </c>
      <c r="D297" s="173"/>
      <c r="E297" s="244"/>
      <c r="F297" s="29">
        <f>IF(G276="",0.8,(IF(AND(E297="",G276="Yes"),0.9,(IF(AND(E297="",G276="No"),0.8,IF(B277="Yes",IF(E297&lt;=50,0,IF(E297&gt;=80,1,ROUND('Reference Standards'!$I$69*E297+'Reference Standards'!$I$70,2))),IF(B277="No",IF(E297&gt;=80,0,IF(E297&lt;=50,1,ROUND(E297*'Reference Standards'!$J$69+'Reference Standards'!$J$70,2))))))))))</f>
        <v>0.8</v>
      </c>
      <c r="G297" s="424"/>
      <c r="H297" s="448"/>
      <c r="I297" s="449"/>
      <c r="J297" s="429"/>
    </row>
    <row r="298" spans="1:10" ht="15.75" x14ac:dyDescent="0.25">
      <c r="A298" s="399"/>
      <c r="B298" s="399"/>
      <c r="C298" s="23" t="s">
        <v>184</v>
      </c>
      <c r="D298" s="173"/>
      <c r="E298" s="244"/>
      <c r="F298" s="29">
        <f>IF(G276="",0.8,(IF(AND(E298="",G276="Yes"),0.9,(IF(AND(E298="",G276="No"),0.8,IF(E298&lt;=50,0,IF(E298&gt;=80,1, ROUND(E298*'Reference Standards'!$I$73+'Reference Standards'!$I$74,2))))))))</f>
        <v>0.8</v>
      </c>
      <c r="G298" s="425"/>
      <c r="H298" s="448"/>
      <c r="I298" s="449"/>
      <c r="J298" s="429"/>
    </row>
    <row r="299" spans="1:10" ht="15.75" x14ac:dyDescent="0.25">
      <c r="A299" s="399"/>
      <c r="B299" s="400"/>
      <c r="C299" s="443" t="s">
        <v>277</v>
      </c>
      <c r="D299" s="444"/>
      <c r="E299" s="16"/>
      <c r="F299" s="98" t="str">
        <f>IF(OR(B277="",B277="No"),"",IF(AND(E299="",B277="Yes",G276="Yes"),0.9,IF(OR(G276="No",G276=""),0.8,IF(E299&lt;=9,0,IF(E299&gt;=14,1,ROUND('Reference Standards'!$I$77*E299+'Reference Standards'!$I$78,2))))))</f>
        <v/>
      </c>
      <c r="G299" s="426"/>
      <c r="H299" s="448"/>
      <c r="I299" s="449"/>
      <c r="J299" s="429"/>
    </row>
    <row r="300" spans="1:10" ht="15.75" x14ac:dyDescent="0.25">
      <c r="A300" s="409" t="s">
        <v>49</v>
      </c>
      <c r="B300" s="174" t="s">
        <v>169</v>
      </c>
      <c r="C300" s="175" t="s">
        <v>176</v>
      </c>
      <c r="D300" s="177"/>
      <c r="E300" s="101"/>
      <c r="F300" s="182">
        <f>IF(G276="",0.8,(IF(AND(E300="",G276="Yes"),0.9,IF(E300&gt;=25,0,IF(E300&lt;=10,1,ROUND(IF(E300&gt;18,'Reference Standards'!$L$4*E300+'Reference Standards'!$L$5,IF(E300&lt;12,'Reference Standards'!$N$4*E300+'Reference Standards'!$N$5,'Reference Standards'!$M$4*E300+'Reference Standards'!$M$5)),2))))))</f>
        <v>0.8</v>
      </c>
      <c r="G300" s="180">
        <f>IFERROR(AVERAGE(F300),"")</f>
        <v>0.8</v>
      </c>
      <c r="H300" s="411">
        <f>IFERROR(ROUND(AVERAGE(G300:G302),2),"")</f>
        <v>0.8</v>
      </c>
      <c r="I300" s="415" t="str">
        <f>IF(H300="","",IF(H300&gt;0.69,"Functioning",IF(H300&gt;0.29,"Functioning At Risk",IF(H300&gt;-1,"Not Functioning"))))</f>
        <v>Functioning</v>
      </c>
      <c r="J300" s="429"/>
    </row>
    <row r="301" spans="1:10" ht="15.75" x14ac:dyDescent="0.25">
      <c r="A301" s="410"/>
      <c r="B301" s="176" t="s">
        <v>170</v>
      </c>
      <c r="C301" s="175" t="s">
        <v>177</v>
      </c>
      <c r="D301" s="178"/>
      <c r="E301" s="49"/>
      <c r="F301" s="231">
        <f>IF(G276="",0.8,(IF(AND(E301="",G276="Yes"),0.9,IF(D274="2A",IF(E301&lt;=5.3,0,IF(E301&gt;=8.79,1,ROUND(E301*'Reference Standards'!$L$9+'Reference Standards'!$L$10,2))),IF(D274=7,IF(E301&lt;=0.8,0,IF(E301&gt;=1.25,1,ROUND(E301*'Reference Standards'!$N$9+'Reference Standards'!$N$10,2))),IF(OR(D274="2B", D274="2Bd",D274="2C"),IF(E301&lt;=3.8,0,(IF(E301&gt;=6.3,1,ROUND(E301*'Reference Standards'!$M$9+'Reference Standards'!$M$10,2))))))))))</f>
        <v>0.8</v>
      </c>
      <c r="G301" s="181">
        <f>IFERROR(AVERAGE(F301),"")</f>
        <v>0.8</v>
      </c>
      <c r="H301" s="412"/>
      <c r="I301" s="416"/>
      <c r="J301" s="429"/>
    </row>
    <row r="302" spans="1:10" ht="15.75" x14ac:dyDescent="0.25">
      <c r="A302" s="410"/>
      <c r="B302" s="174" t="s">
        <v>172</v>
      </c>
      <c r="C302" s="175" t="s">
        <v>178</v>
      </c>
      <c r="D302" s="179"/>
      <c r="E302" s="101"/>
      <c r="F302" s="182">
        <f>IF(G276="",0.8,(IF(AND(E302="",G276="Yes"),0.9,IF(D274="2A",IF(E302&gt;=12.5,0,IF(E302&lt;=7.5,1,ROUND(E302*'Reference Standards'!$L$15+'Reference Standards'!$L$16,2))),IF(OR(D274="2B",D274="2Bd",D274="2C"),IF(D275="North",IF(E302&gt;=18.8,0,IF(E302&lt;=11.3,1,ROUND(E302*'Reference Standards'!$M$15+'Reference Standards'!$M$16,2))),IF(D275="Central",(IF(E302&gt;=37.5,0,IF(E302&lt;=22.5,1,ROUND(E302*'Reference Standards'!$N$15+'Reference Standards'!$N$16,2)))),IF(E302&gt;=81.2,0,(IF(E302&lt;=48.7,1,ROUND(E302*'Reference Standards'!$O$15+'Reference Standards'!$O$16,2)))))))))))</f>
        <v>0.8</v>
      </c>
      <c r="G302" s="182">
        <f>IFERROR(AVERAGE(F302),"")</f>
        <v>0.8</v>
      </c>
      <c r="H302" s="412"/>
      <c r="I302" s="416"/>
      <c r="J302" s="429"/>
    </row>
    <row r="303" spans="1:10" ht="15.75" x14ac:dyDescent="0.25">
      <c r="A303" s="445" t="s">
        <v>50</v>
      </c>
      <c r="B303" s="236" t="s">
        <v>105</v>
      </c>
      <c r="C303" s="40" t="s">
        <v>179</v>
      </c>
      <c r="D303" s="41"/>
      <c r="E303" s="44"/>
      <c r="F303" s="99">
        <f>IF(G276="",0.8,(IF(AND(E302="",G276="Yes"),0.9,IF(D277="Northern Forest Rivers",IF(E303&lt;=38.2,0,IF(E303&gt;=77,1,ROUND(IF(E303&lt;49, 'Reference Standards'!$Q$5*E303+'Reference Standards'!$Q$6, IF(E303&lt;59.8, 'Reference Standards'!$R$5*E303+'Reference Standards'!$R$6, 'Reference Standards'!$S$5*E303+'Reference Standards'!$S$6)),2))),   IF(D277="Northern Forest Streams Riffle-run",IF(E303&lt;40.4,0,IF(E303&gt;=82,1,ROUND(IF(E303&lt;53, 'Reference Standards'!$T$5*E303+'Reference Standards'!$T$6, IF(E303&lt;59.8, 'Reference Standards'!$U$5*E303+'Reference Standards'!$U$6, 'Reference Standards'!$V$5*E303+'Reference Standards'!$V$6) ),2))), IF(D277="Northern Forest Streams Glide-pool",IF(E303&lt;=37,0,IF(E303&gt;=76,1,ROUND(IF(E303&lt;51, 'Reference Standards'!$W$5*E303+'Reference Standards'!$W$6, IF(E303&lt;65.6, 'Reference Standards'!$X$5*E303+'Reference Standards'!$X$6, 'Reference Standards'!$Y$5*E303+'Reference Standards'!$Y$6) ),2))), IF(D277="Northern Coldwater",IF(E303&lt;19.6,0,IF(E303&gt;=52,1,ROUND(IF(E303&lt;32, 'Reference Standards'!$Z$5*E303+'Reference Standards'!$Z$6, IF(E303&lt;44.4,'Reference Standards'!$AA$5*E303+'Reference Standards'!$AA$6, 'Reference Standards'!$AB$5*E303+'Reference Standards'!$AB$6) ),2))), IF(D277="Southern Forest Streams Riffle-run", IF(E303&lt;24,0,IF(E303&gt;=62,1,ROUND(IF(E303&lt;37, 'Reference Standards'!$Q$11*E303+'Reference Standards'!$Q$12, IF(E303&lt;49.6,'Reference Standards'!$R$11*E303+'Reference Standards'!$R$12,'Reference Standards'!$S$11*E303+'Reference Standards'!$S$12)),2))), IF(D277="Southern Forest Streams Glide-pool", IF(E303&lt;29.4,0,IF(E303&gt;=65,1,ROUND(IF(E303&lt;43,'Reference Standards'!$T$11*E303+'Reference Standards'!$T$12, IF(E303&lt;56.6, 'Reference Standards'!$U$11*E303+'Reference Standards'!$U$12,'Reference Standards'!$V$11*E303+'Reference Standards'!$V$12)),2))), IF(D277="Southern Coldwater", IF(E303&lt;29.2,0,IF(E303&gt;=72,1,ROUND(IF(E303&lt;43, 'Reference Standards'!$W$11*E303+'Reference Standards'!$W$12, IF(E303&lt;56.8,'Reference Standards'!$X$11*E303+'Reference Standards'!$X$12, 'Reference Standards'!$Y$11*E303+'Reference Standards'!$Y$12)),2))), IF(D277="Prairie Forest Rivers", IF(E303&lt;20.2,0,IF(E303&gt;=62,1,ROUND(IF(E303&lt;31,'Reference Standards'!$Q$17*E303+'Reference Standards'!$Q$18, IF(E303&lt;41.8,'Reference Standards'!$R$17*E303+'Reference Standards'!$R$18,'Reference Standards'!$S$17*E303+'Reference Standards'!$S$18)),2))), IF(D277="Prairie Streams Glide-Pool", IF(E303&lt;27.4,0,IF(E303&gt;=69,1,ROUND(IF(E303&lt;41,'Reference Standards'!$T$17*E303+'Reference Standards'!$T$18, IF(E303&lt;54.6,'Reference Standards'!$U$17*E303+'Reference Standards'!$U$18, 'Reference Standards'!$V$17*E303+'Reference Standards'!$V$18)),2))) ))))))))))))</f>
        <v>0.8</v>
      </c>
      <c r="G303" s="237">
        <f>IFERROR(AVERAGE(F303),"")</f>
        <v>0.8</v>
      </c>
      <c r="H303" s="450">
        <f>IFERROR(ROUND(AVERAGE(G303:G304),2),"")</f>
        <v>0.8</v>
      </c>
      <c r="I303" s="414" t="str">
        <f>IF(H303="","",IF(H303&gt;0.69,"Functioning",IF(H303&gt;0.29,"Functioning At Risk",IF(H303&gt;-1,"Not Functioning"))))</f>
        <v>Functioning</v>
      </c>
      <c r="J303" s="429"/>
    </row>
    <row r="304" spans="1:10" ht="15.75" x14ac:dyDescent="0.25">
      <c r="A304" s="446"/>
      <c r="B304" s="238" t="s">
        <v>54</v>
      </c>
      <c r="C304" s="183" t="s">
        <v>180</v>
      </c>
      <c r="D304" s="184"/>
      <c r="E304" s="101"/>
      <c r="F304" s="99">
        <f>IF(G276="",0.8,(IF(AND(E304="",G276="Yes"),0.9,IF(G274="Northern Rivers",IF(E304&lt;29,0,IF(E304&gt;=66,1,ROUND(IF(E304&lt;38, 'Reference Standards'!$Q$23*E304+'Reference Standards'!$Q$24, IF(E304&lt;47, 'Reference Standards'!$R$23*E304+'Reference Standards'!$R$24, 'Reference Standards'!$S$23*E304+'Reference Standards'!$S$24)),2))),   IF(G274="Northern Streams",IF(E304&lt;35,0,IF(E304&gt;=61,1,ROUND(IF(E304&lt;47, 'Reference Standards'!$T$23*E304+'Reference Standards'!$T$24, IF(E304&lt;56, 'Reference Standards'!$U$23*E304+'Reference Standards'!$U$24, 'Reference Standards'!$V$23*E304+'Reference Standards'!$V$24) ),2))), IF(G274="Northern Headwaters",IF(E304&lt;23,0,IF(E304&gt;=68,1,ROUND(IF(E304&lt;42, 'Reference Standards'!$W$23*E304+'Reference Standards'!$W$24, IF(E304&lt;56, 'Reference Standards'!$X$23*E304+'Reference Standards'!$X$24, 'Reference Standards'!$Y$23*E304+'Reference Standards'!$Y$24) ),2))), IF(G274="Northern Coldwater",IF(E304&lt;25,0,IF(E304&gt;=60,1,ROUND(IF(E304&lt;35, 'Reference Standards'!$Z$23*E304+'Reference Standards'!$Z$24, IF(E304&lt;45, 'Reference Standards'!$AA$23*E304+'Reference Standards'!$AA$24, 'Reference Standards'!$AB$23*E304+'Reference Standards'!$AB$24) ),2))), IF(G274="Southern River", IF(E304&lt;38,0,IF(E304&gt;=71,1,ROUND(IF(E304&lt;49, 'Reference Standards'!$Q$29*E304+'Reference Standards'!$Q$30, IF(E304&lt;60,'Reference Standards'!$R$29*E304+'Reference Standards'!$R$30, 'Reference Standards'!$S$29*E304+'Reference Standards'!$S$30)),2))), IF(G274="Southern Streams", IF(E304&lt;35,0,IF(E304&gt;=66,1,ROUND(IF(E304&lt;50,'Reference Standards'!$T$29*E304+'Reference Standards'!$T$30, IF(E304&lt;59, 'Reference Standards'!$U$29*E304+'Reference Standards'!$U$30, 'Reference Standards'!$V$29*E304+'Reference Standards'!$V$30)),2))), IF(G274="Southern Headwaters", IF(E304&lt;33,0,IF(E304&gt;=74,1,ROUND(IF(E304&lt;55, 'Reference Standards'!$W$29*E304+'Reference Standards'!$W$30, IF(E304&lt;62, 'Reference Standards'!$X$29*E304+'Reference Standards'!$X$30, 'Reference Standards'!$Y$29*E304+'Reference Standards'!$Y$30)),2))), IF(G274="Southern Coldwater", IF(E304&lt;37,0,IF(E304&gt;=82,1,ROUND(IF(E304&lt;50, 'Reference Standards'!$Z$29*E304+'Reference Standards'!$Z$30, IF(E304&lt;63,'Reference Standards'!$AA$29*E304+'Reference Standards'!$AA$30,'Reference Standards'!$AB$29*E304+'Reference Standards'!$AB$30)),2))), IF(G274="Low Gradient", IF(E304&lt;15,0,IF(E304&gt;=70,1,ROUND(IF(E304&lt;42, 'Reference Standards'!$Q$34*E304+'Reference Standards'!$Q$35, IF(E304&lt;52, 'Reference Standards'!$R$34*E304+'Reference Standards'!$R$35, 'Reference Standards'!$S$34*E304+'Reference Standards'!$S$35)),2))) ))))))))))))</f>
        <v>0.8</v>
      </c>
      <c r="G304" s="237">
        <f>IFERROR(AVERAGE(F304),"")</f>
        <v>0.8</v>
      </c>
      <c r="H304" s="450"/>
      <c r="I304" s="414"/>
      <c r="J304" s="429"/>
    </row>
    <row r="305" spans="1:11" ht="6.6" customHeight="1" x14ac:dyDescent="0.25">
      <c r="J305" s="4"/>
      <c r="K305" s="11"/>
    </row>
    <row r="306" spans="1:11" ht="6.6" customHeight="1" x14ac:dyDescent="0.25">
      <c r="K306" s="11"/>
    </row>
    <row r="307" spans="1:11" ht="21" customHeight="1" x14ac:dyDescent="0.25">
      <c r="A307" s="406" t="s">
        <v>310</v>
      </c>
      <c r="B307" s="407"/>
      <c r="C307" s="407"/>
      <c r="D307" s="407"/>
      <c r="E307" s="407"/>
      <c r="F307" s="407"/>
      <c r="G307" s="407"/>
      <c r="H307" s="407"/>
      <c r="I307" s="407"/>
      <c r="J307" s="408"/>
    </row>
    <row r="308" spans="1:11" ht="16.149999999999999" customHeight="1" x14ac:dyDescent="0.25">
      <c r="A308" s="122" t="s">
        <v>68</v>
      </c>
      <c r="B308" s="101"/>
      <c r="C308" s="122" t="s">
        <v>195</v>
      </c>
      <c r="D308" s="48"/>
      <c r="E308" s="165" t="s">
        <v>226</v>
      </c>
      <c r="F308" s="166"/>
      <c r="G308" s="48"/>
      <c r="H308" s="404" t="s">
        <v>137</v>
      </c>
      <c r="I308" s="405"/>
      <c r="J308" s="101"/>
    </row>
    <row r="309" spans="1:11" ht="16.149999999999999" customHeight="1" x14ac:dyDescent="0.25">
      <c r="A309" s="122" t="s">
        <v>69</v>
      </c>
      <c r="B309" s="48"/>
      <c r="C309" s="122" t="s">
        <v>205</v>
      </c>
      <c r="D309" s="48"/>
      <c r="E309" s="413" t="s">
        <v>92</v>
      </c>
      <c r="F309" s="413"/>
      <c r="G309" s="48"/>
      <c r="H309" s="404" t="s">
        <v>138</v>
      </c>
      <c r="I309" s="405"/>
      <c r="J309" s="101"/>
    </row>
    <row r="310" spans="1:11" ht="16.149999999999999" customHeight="1" x14ac:dyDescent="0.25">
      <c r="A310" s="122" t="s">
        <v>136</v>
      </c>
      <c r="B310" s="48"/>
      <c r="C310" s="122" t="s">
        <v>206</v>
      </c>
      <c r="D310" s="48"/>
      <c r="E310" s="413" t="s">
        <v>267</v>
      </c>
      <c r="F310" s="413"/>
      <c r="G310" s="48"/>
      <c r="H310" s="404" t="s">
        <v>139</v>
      </c>
      <c r="I310" s="405"/>
      <c r="J310" s="101"/>
    </row>
    <row r="311" spans="1:11" ht="16.149999999999999" customHeight="1" x14ac:dyDescent="0.25">
      <c r="A311" s="106" t="s">
        <v>261</v>
      </c>
      <c r="B311" s="48"/>
      <c r="C311" s="122" t="s">
        <v>207</v>
      </c>
      <c r="D311" s="48"/>
      <c r="E311" s="225" t="s">
        <v>260</v>
      </c>
      <c r="F311" s="226"/>
      <c r="G311" s="48"/>
      <c r="H311" s="404" t="s">
        <v>140</v>
      </c>
      <c r="I311" s="405"/>
      <c r="J311" s="101"/>
    </row>
    <row r="312" spans="1:11" ht="6" customHeight="1" x14ac:dyDescent="0.25">
      <c r="A312" s="1"/>
      <c r="B312" s="4"/>
      <c r="C312" s="4"/>
      <c r="D312" s="4"/>
      <c r="E312" s="4"/>
      <c r="F312" s="4"/>
      <c r="G312" s="4"/>
      <c r="H312" s="12"/>
      <c r="I312" s="104"/>
      <c r="J312" s="12"/>
    </row>
    <row r="313" spans="1:11" ht="21" x14ac:dyDescent="0.35">
      <c r="A313" s="420" t="s">
        <v>311</v>
      </c>
      <c r="B313" s="420"/>
      <c r="C313" s="420"/>
      <c r="D313" s="420"/>
      <c r="E313" s="420"/>
      <c r="F313" s="420"/>
      <c r="G313" s="420" t="s">
        <v>14</v>
      </c>
      <c r="H313" s="420"/>
      <c r="I313" s="420"/>
      <c r="J313" s="420"/>
    </row>
    <row r="314" spans="1:11" ht="15.75" x14ac:dyDescent="0.25">
      <c r="A314" s="46" t="s">
        <v>1</v>
      </c>
      <c r="B314" s="46" t="s">
        <v>2</v>
      </c>
      <c r="C314" s="421" t="s">
        <v>3</v>
      </c>
      <c r="D314" s="422"/>
      <c r="E314" s="46" t="s">
        <v>12</v>
      </c>
      <c r="F314" s="45" t="s">
        <v>13</v>
      </c>
      <c r="G314" s="46" t="s">
        <v>15</v>
      </c>
      <c r="H314" s="46" t="s">
        <v>16</v>
      </c>
      <c r="I314" s="105" t="s">
        <v>16</v>
      </c>
      <c r="J314" s="46" t="s">
        <v>264</v>
      </c>
    </row>
    <row r="315" spans="1:11" ht="15.75" x14ac:dyDescent="0.25">
      <c r="A315" s="427" t="s">
        <v>51</v>
      </c>
      <c r="B315" s="427" t="s">
        <v>78</v>
      </c>
      <c r="C315" s="167" t="s">
        <v>162</v>
      </c>
      <c r="D315" s="169"/>
      <c r="E315" s="44"/>
      <c r="F315" s="28">
        <f>IF(G311="Yes","",(IF(G310="",0.8,(IF(AND(E315="",G310="Yes"),0.9,(IF(AND(E315="",G310="No"),0.8,IF(E315&gt;=80,0,IF(E315&lt;=40,1,IF(E315&gt;=68,ROUND(E315*'Reference Standards'!$B$4+'Reference Standards'!$B$5,2),ROUND(E315*'Reference Standards'!$C$4+'Reference Standards'!$C$5,2)))))))))))</f>
        <v>0.8</v>
      </c>
      <c r="G315" s="401">
        <f>IFERROR(AVERAGE(F315:F317),"")</f>
        <v>0.8</v>
      </c>
      <c r="H315" s="401">
        <f>IFERROR(ROUND(AVERAGE(G315:G317),2),"")</f>
        <v>0.8</v>
      </c>
      <c r="I315" s="414" t="str">
        <f>IF(H315="","",IF(H315&gt;0.69,"Functioning",IF(H315&gt;0.29,"Functioning At Risk",IF(H315&gt;-1,"Not Functioning"))))</f>
        <v>Functioning</v>
      </c>
      <c r="J315" s="429">
        <f>IF(AND(H315="",H318="",H320="",H334="",H337=""),"",ROUND((IF(H315="",0,H315)*0.2)+(IF(H318="",0,H318)*0.2)+(IF(H320="",0,H320)*0.2)+(IF(H334="",0,H334)*0.2)+(IF(H337="",0,H337)*0.2),2))</f>
        <v>0.8</v>
      </c>
    </row>
    <row r="316" spans="1:11" ht="15.75" x14ac:dyDescent="0.25">
      <c r="A316" s="428"/>
      <c r="B316" s="428"/>
      <c r="C316" s="168" t="s">
        <v>164</v>
      </c>
      <c r="D316" s="170"/>
      <c r="E316" s="49"/>
      <c r="F316" s="228" t="str">
        <f>IF(G311="No","",IF(E316="","",  IF(E316&gt;0.95,0,IF(E316&lt;=0.02,1,ROUND(IF(E316&gt;0.26,'Reference Standards'!$B$10*E316+'Reference Standards'!$B$11, IF(E316&lt;0.05, 'Reference Standards'!$D$10*E316+'Reference Standards'!$D$11, 'Reference Standards'!$C$10*E316+'Reference Standards'!$C$11)),2))) ))</f>
        <v/>
      </c>
      <c r="G316" s="402"/>
      <c r="H316" s="402"/>
      <c r="I316" s="414"/>
      <c r="J316" s="429"/>
    </row>
    <row r="317" spans="1:11" ht="15.75" x14ac:dyDescent="0.25">
      <c r="A317" s="428"/>
      <c r="B317" s="442"/>
      <c r="C317" s="171" t="s">
        <v>166</v>
      </c>
      <c r="D317" s="172"/>
      <c r="E317" s="49"/>
      <c r="F317" s="227">
        <f>IF(G311="Yes","",(IF(G310="",0.8,(IF(AND(E317="",G310="Yes"),0.9,(IF(AND(E317="",G310="No"),0.8,IF(E317&gt;3.22,0,IF(E317&lt;0,"",ROUND('Reference Standards'!$B$15*E317+'Reference Standards'!$B$16,2))))))))))</f>
        <v>0.8</v>
      </c>
      <c r="G317" s="403"/>
      <c r="H317" s="403"/>
      <c r="I317" s="414"/>
      <c r="J317" s="429"/>
    </row>
    <row r="318" spans="1:11" ht="15.75" x14ac:dyDescent="0.25">
      <c r="A318" s="432" t="s">
        <v>4</v>
      </c>
      <c r="B318" s="434" t="s">
        <v>5</v>
      </c>
      <c r="C318" s="17" t="s">
        <v>6</v>
      </c>
      <c r="D318" s="17"/>
      <c r="E318" s="44"/>
      <c r="F318" s="96">
        <f>IF(G310="",0.8,(IF(AND(E318="",G310="Yes"),0.9,(IF(AND(E318="",G310="No"),0.8,ROUND(IF(E318&gt;1.6,0,IF(E318&lt;=1,1,E318^2*'Reference Standards'!$F$2+E318*'Reference Standards'!$F$3+'Reference Standards'!$F$4)),2))))))</f>
        <v>0.8</v>
      </c>
      <c r="G318" s="435">
        <f>IFERROR(AVERAGE(F318:F319),"")</f>
        <v>0.8</v>
      </c>
      <c r="H318" s="436">
        <f>IFERROR(ROUND(AVERAGE(G318),2),"")</f>
        <v>0.8</v>
      </c>
      <c r="I318" s="438" t="str">
        <f>IF(H318="","",IF(H318&gt;0.69,"Functioning",IF(H318&gt;0.29,"Functioning At Risk",IF(H318&gt;-1,"Not Functioning"))))</f>
        <v>Functioning</v>
      </c>
      <c r="J318" s="429"/>
    </row>
    <row r="319" spans="1:11" ht="15.75" x14ac:dyDescent="0.25">
      <c r="A319" s="433"/>
      <c r="B319" s="434"/>
      <c r="C319" s="17" t="s">
        <v>7</v>
      </c>
      <c r="D319" s="17"/>
      <c r="E319" s="50"/>
      <c r="F319" s="96">
        <f>IF(G310="",0.8,(IF(AND(E319="",G310="Yes"),0.9,(IF(AND(E319="",G310="No"),0.8,(IF(OR(B310="A",B310="B",B310="Bc",B310="Ba"),IF(E319&lt;1.2,0,IF(E319&gt;=2.2,1,ROUND(IF(E319&lt;1.4,E319*'Reference Standards'!$F$13+'Reference Standards'!$F$14,E319*'Reference Standards'!$G$13+'Reference Standards'!$G$14),2))),IF(OR(B310="C",B310="Cb",B310="E"),IF(E319&lt;2,0,IF(E319&gt;=5,1,ROUND(IF(E319&lt;2.4,E319*'Reference Standards'!$G$8+'Reference Standards'!$G$9,E319*'Reference Standards'!$F$8+'Reference Standards'!$F$9),2)))))))))))</f>
        <v>0.8</v>
      </c>
      <c r="G319" s="435"/>
      <c r="H319" s="437"/>
      <c r="I319" s="439"/>
      <c r="J319" s="429"/>
    </row>
    <row r="320" spans="1:11" ht="15.75" customHeight="1" x14ac:dyDescent="0.25">
      <c r="A320" s="398" t="s">
        <v>21</v>
      </c>
      <c r="B320" s="440" t="s">
        <v>22</v>
      </c>
      <c r="C320" s="21" t="s">
        <v>103</v>
      </c>
      <c r="D320" s="69"/>
      <c r="E320" s="44"/>
      <c r="F320" s="229" t="str">
        <f>IF(E320="","",IF(E320&gt;=660,1,IF(E320&lt;=430,ROUND('Reference Standards'!$I$4*E320+'Reference Standards'!$I$5,2),ROUND('Reference Standards'!$J$4*E320+'Reference Standards'!$J$5,2))))</f>
        <v/>
      </c>
      <c r="G320" s="423">
        <f>IFERROR(AVERAGE(F320:F321),"")</f>
        <v>0.8</v>
      </c>
      <c r="H320" s="447">
        <f>IFERROR(ROUND(AVERAGE(G320:G333),2),"")</f>
        <v>0.8</v>
      </c>
      <c r="I320" s="449" t="str">
        <f>IF(H320="","",IF(H320&gt;0.69,"Functioning",IF(H320&gt;0.29,"Functioning At Risk",IF(H320&gt;-1,"Not Functioning"))))</f>
        <v>Functioning</v>
      </c>
      <c r="J320" s="429"/>
    </row>
    <row r="321" spans="1:10" ht="15.75" x14ac:dyDescent="0.25">
      <c r="A321" s="399"/>
      <c r="B321" s="441"/>
      <c r="C321" s="24" t="s">
        <v>99</v>
      </c>
      <c r="D321" s="70"/>
      <c r="E321" s="50"/>
      <c r="F321" s="98">
        <f>IF(ISNUMBER(E320),"",IF(G310="",0.8,(IF(AND(E321="",G310="Yes"),0.9,(IF(AND(E321="",G310="No"),0.8,IF(E321&gt;=28,1,ROUND(IF(E321&lt;=13,'Reference Standards'!$I$9*E321,'Reference Standards'!$J$9*E321+'Reference Standards'!$J$10),2))))))))</f>
        <v>0.8</v>
      </c>
      <c r="G321" s="426"/>
      <c r="H321" s="447"/>
      <c r="I321" s="449"/>
      <c r="J321" s="429"/>
    </row>
    <row r="322" spans="1:10" ht="15.75" x14ac:dyDescent="0.25">
      <c r="A322" s="399"/>
      <c r="B322" s="399" t="s">
        <v>126</v>
      </c>
      <c r="C322" s="19" t="s">
        <v>43</v>
      </c>
      <c r="D322" s="19"/>
      <c r="E322" s="49"/>
      <c r="F322" s="29">
        <f>IF(G310="",0.8,(IF(AND(E322="",G310="Yes"),0.9,(IF(AND(E322="",G310="No"),0.8,IF(OR(E322="Ex/Ex",E322="Ex/VH",E322="Ex/H",E322="Ex/M",E322="VH/Ex",E322="VH/VH", E322="H/Ex",E322="H/VH"),0, IF(OR(E322="M/Ex"),0.1,IF(OR(E322="VH/H",E322="VH/M",E322="H/H",E322="H/M", E322="M/VH"),0.2, IF(OR(E322="Ex/VL",E322="Ex/L", E322="M/H"),0.3, IF(OR(E322="VH/L",E322="H/L"),0.4, IF(OR(E322="VH/VL",E322="H/VL",E322="M/M"),0.5, IF(OR(E322="M/L",E322="L/Ex"),0.6, IF(OR(E322="M/VL",E322="L/VH", E322="L/H",E322="L/M",E322="L/L",E322="L/VL",LEFT(E322)="V"),1)))))))))))))</f>
        <v>0.8</v>
      </c>
      <c r="G322" s="423">
        <f>IFERROR(AVERAGE(F322:F324),"")</f>
        <v>0.80000000000000016</v>
      </c>
      <c r="H322" s="448"/>
      <c r="I322" s="449"/>
      <c r="J322" s="429"/>
    </row>
    <row r="323" spans="1:10" ht="15.75" x14ac:dyDescent="0.25">
      <c r="A323" s="399"/>
      <c r="B323" s="399"/>
      <c r="C323" s="20" t="s">
        <v>57</v>
      </c>
      <c r="D323" s="173"/>
      <c r="E323" s="243"/>
      <c r="F323" s="29">
        <f>IF(G310="",0.8,(IF(AND(E323="",G310="Yes"),0.9,(IF(AND(E323="",G310="No"),0.8,ROUND(IF(E323&gt;=75,0,IF(E323&lt;=5,1,IF(E323&gt;10,E323*'Reference Standards'!$I$14+'Reference Standards'!$I$15,'Reference Standards'!$J$14*E323+'Reference Standards'!$J$15))),2))))))</f>
        <v>0.8</v>
      </c>
      <c r="G323" s="424"/>
      <c r="H323" s="448"/>
      <c r="I323" s="449"/>
      <c r="J323" s="429"/>
    </row>
    <row r="324" spans="1:10" ht="15.75" x14ac:dyDescent="0.25">
      <c r="A324" s="399"/>
      <c r="B324" s="400"/>
      <c r="C324" s="20" t="s">
        <v>125</v>
      </c>
      <c r="D324" s="20"/>
      <c r="E324" s="50"/>
      <c r="F324" s="98">
        <f>IF(G310="",0.8,(IF(AND(E324="",G310="Yes"),0.9,(IF(AND(E324="",G310="No"),0.8,IF(E324&gt;=50,0,ROUND(E324*'Reference Standards'!$I$18+'Reference Standards'!$I$19,2)))))))</f>
        <v>0.8</v>
      </c>
      <c r="G324" s="426"/>
      <c r="H324" s="448"/>
      <c r="I324" s="449"/>
      <c r="J324" s="429"/>
    </row>
    <row r="325" spans="1:10" ht="15.75" x14ac:dyDescent="0.25">
      <c r="A325" s="399"/>
      <c r="B325" s="18" t="s">
        <v>70</v>
      </c>
      <c r="C325" s="26" t="s">
        <v>80</v>
      </c>
      <c r="D325" s="68"/>
      <c r="E325" s="50"/>
      <c r="F325" s="27" t="str">
        <f>IF(E325="","",IF(E325&gt;=50,0,ROUND(E325*'Reference Standards'!$I$22+'Reference Standards'!$I$23,2)))</f>
        <v/>
      </c>
      <c r="G325" s="27" t="str">
        <f>IFERROR(AVERAGE(F325),"")</f>
        <v/>
      </c>
      <c r="H325" s="448"/>
      <c r="I325" s="449"/>
      <c r="J325" s="429"/>
    </row>
    <row r="326" spans="1:10" ht="15.75" x14ac:dyDescent="0.25">
      <c r="A326" s="399"/>
      <c r="B326" s="398" t="s">
        <v>45</v>
      </c>
      <c r="C326" s="25" t="s">
        <v>46</v>
      </c>
      <c r="D326" s="25"/>
      <c r="E326" s="53"/>
      <c r="F326" s="230">
        <f>IF(G310="",0.8,(IF(AND(E326="",G310="Yes"),0.9,(IF(AND(E326="",G310="No"),0.8,ROUND( IF(OR(LEFT(B310)="C",B310="E"), IF(OR(E326&lt;=1,E326&gt;=9),0,IF(AND(E326&gt;=3.5,E326&lt;=6),1,IF(E326&lt;3.5, E326*'Reference Standards'!$I$37+'Reference Standards'!$I$38, E326*'Reference Standards'!$J$37+'Reference Standards'!$J$38))),   IF(OR(B310="A",(B310)="B", (B310)="Ba"), IF(E326&gt;=6.5,0, IF(E326&lt;=4, 1, E326^2*'Reference Standards'!$I$26+E326*'Reference Standards'!$I$27+'Reference Standards'!$I$28)), IF(B310="Bc",  IF(E326&gt;=8,0, IF(E326&lt;=5, 1, E326^2*'Reference Standards'!$I$31+E326*'Reference Standards'!$I$32+'Reference Standards'!$I$33))))),2))))))</f>
        <v>0.8</v>
      </c>
      <c r="G326" s="430">
        <f>IFERROR(AVERAGE(F326:F329),"")</f>
        <v>0.80000000000000016</v>
      </c>
      <c r="H326" s="448"/>
      <c r="I326" s="449"/>
      <c r="J326" s="429"/>
    </row>
    <row r="327" spans="1:10" ht="15.75" x14ac:dyDescent="0.25">
      <c r="A327" s="399"/>
      <c r="B327" s="399"/>
      <c r="C327" s="19" t="s">
        <v>47</v>
      </c>
      <c r="D327" s="19"/>
      <c r="E327" s="52"/>
      <c r="F327" s="29">
        <f>IF(G310="",0.8,(IF(AND(E327="",G310="Yes"),0.9,(IF(AND(E327="",G310="No"),0.8,ROUND(  IF(E327&lt;=1.1,0, IF(E327&gt;=3,1, IF(E327&lt;2, E327^2*'Reference Standards'!$I$42+  E327*'Reference Standards'!$I$43 + 'Reference Standards'!$I$44,      E327*'Reference Standards'!$J$43+'Reference Standards'!$J$44))),2))))))</f>
        <v>0.8</v>
      </c>
      <c r="G327" s="425"/>
      <c r="H327" s="448"/>
      <c r="I327" s="449"/>
      <c r="J327" s="429"/>
    </row>
    <row r="328" spans="1:10" ht="15.75" x14ac:dyDescent="0.25">
      <c r="A328" s="399"/>
      <c r="B328" s="399"/>
      <c r="C328" s="19" t="s">
        <v>104</v>
      </c>
      <c r="D328" s="19"/>
      <c r="E328" s="52"/>
      <c r="F328" s="245">
        <f>IF(G310="",0.8,(IF(AND(E328="",G310="Yes"),0.9,(IF(AND(E328="",G310="No"),0.8,IF(OR(B310="A",LEFT(B310,1)="B"),IF(OR(E328&lt;=20,E328&gt;=90),0,IF(AND(E328&gt;=50,E328&lt;=60),1,IF(E328&lt;50,E328*'Reference Standards'!$I$48+'Reference Standards'!$I$49,E328*'Reference Standards'!$J$48+'Reference Standards'!$J$49))),IF(OR(LEFT(B310)="C",B310="E"),IF(OR(E328&lt;=20,E328&gt;=85),0,IF(AND(E328&lt;=65,E328&gt;=45),1,IF(E328&lt;45,E328*'Reference Standards'!$I$53+'Reference Standards'!$I$54,E328*'Reference Standards'!$J$53+'Reference Standards'!$J$54))))))))))</f>
        <v>0.8</v>
      </c>
      <c r="G328" s="425"/>
      <c r="H328" s="448"/>
      <c r="I328" s="449"/>
      <c r="J328" s="429"/>
    </row>
    <row r="329" spans="1:10" ht="15.75" x14ac:dyDescent="0.25">
      <c r="A329" s="399"/>
      <c r="B329" s="400"/>
      <c r="C329" s="23" t="s">
        <v>88</v>
      </c>
      <c r="D329" s="19"/>
      <c r="E329" s="54"/>
      <c r="F329" s="246" t="str">
        <f>IF(E329="","",IF(E329&gt;=1.6,0,IF(E329&lt;=1,1,ROUND('Reference Standards'!$I$57*E329^3+'Reference Standards'!$I$58*E329^2+'Reference Standards'!$I$59*E329+'Reference Standards'!$I$60,2))))</f>
        <v/>
      </c>
      <c r="G329" s="431"/>
      <c r="H329" s="448"/>
      <c r="I329" s="449"/>
      <c r="J329" s="429"/>
    </row>
    <row r="330" spans="1:10" ht="15.75" x14ac:dyDescent="0.25">
      <c r="A330" s="399"/>
      <c r="B330" s="398" t="s">
        <v>44</v>
      </c>
      <c r="C330" s="21" t="s">
        <v>182</v>
      </c>
      <c r="D330" s="69"/>
      <c r="E330" s="22"/>
      <c r="F330" s="97">
        <f>IF(G310="",0.8,(IF(AND(E330="",G310="Yes"),0.9,(IF(AND(E330="",G310="No"),0.8,IF(G309="Unconfined Alluvial",IF(E330&gt;=100,1,IF(E330&lt;30,0,ROUND('Reference Standards'!$I$64*E330+'Reference Standards'!$I$65,2))),IF(OR(G309="Confined Alluvial",G309="Colluvial/V-Shaped"),(IF(E330&gt;=100,1,IF(E330&lt;60,0,ROUND('Reference Standards'!$J$64*E330+'Reference Standards'!$J$65,2)))))))))))</f>
        <v>0.8</v>
      </c>
      <c r="G330" s="423">
        <f>IFERROR(AVERAGE(F330:F333),"")</f>
        <v>0.80000000000000016</v>
      </c>
      <c r="H330" s="448"/>
      <c r="I330" s="449"/>
      <c r="J330" s="429"/>
    </row>
    <row r="331" spans="1:10" ht="15.75" x14ac:dyDescent="0.25">
      <c r="A331" s="399"/>
      <c r="B331" s="399"/>
      <c r="C331" s="23" t="s">
        <v>183</v>
      </c>
      <c r="D331" s="173"/>
      <c r="E331" s="244"/>
      <c r="F331" s="29">
        <f>IF(G310="",0.8,(IF(AND(E331="",G310="Yes"),0.9,(IF(AND(E331="",G310="No"),0.8,IF(B311="Yes",IF(E331&lt;=50,0,IF(E331&gt;=80,1,ROUND('Reference Standards'!$I$69*E331+'Reference Standards'!$I$70,2))),IF(B311="No",IF(E331&gt;=80,0,IF(E331&lt;=50,1,ROUND(E331*'Reference Standards'!$J$69+'Reference Standards'!$J$70,2))))))))))</f>
        <v>0.8</v>
      </c>
      <c r="G331" s="424"/>
      <c r="H331" s="448"/>
      <c r="I331" s="449"/>
      <c r="J331" s="429"/>
    </row>
    <row r="332" spans="1:10" ht="15.75" x14ac:dyDescent="0.25">
      <c r="A332" s="399"/>
      <c r="B332" s="399"/>
      <c r="C332" s="23" t="s">
        <v>184</v>
      </c>
      <c r="D332" s="173"/>
      <c r="E332" s="244"/>
      <c r="F332" s="29">
        <f>IF(G310="",0.8,(IF(AND(E332="",G310="Yes"),0.9,(IF(AND(E332="",G310="No"),0.8,IF(E332&lt;=50,0,IF(E332&gt;=80,1, ROUND(E332*'Reference Standards'!$I$73+'Reference Standards'!$I$74,2))))))))</f>
        <v>0.8</v>
      </c>
      <c r="G332" s="425"/>
      <c r="H332" s="448"/>
      <c r="I332" s="449"/>
      <c r="J332" s="429"/>
    </row>
    <row r="333" spans="1:10" ht="15.75" x14ac:dyDescent="0.25">
      <c r="A333" s="399"/>
      <c r="B333" s="400"/>
      <c r="C333" s="443" t="s">
        <v>277</v>
      </c>
      <c r="D333" s="444"/>
      <c r="E333" s="16"/>
      <c r="F333" s="98" t="str">
        <f>IF(OR(B311="",B311="No"),"",IF(AND(E333="",B311="Yes",G310="Yes"),0.9,IF(OR(G310="No",G310=""),0.8,IF(E333&lt;=9,0,IF(E333&gt;=14,1,ROUND('Reference Standards'!$I$77*E333+'Reference Standards'!$I$78,2))))))</f>
        <v/>
      </c>
      <c r="G333" s="426"/>
      <c r="H333" s="448"/>
      <c r="I333" s="449"/>
      <c r="J333" s="429"/>
    </row>
    <row r="334" spans="1:10" ht="15.75" x14ac:dyDescent="0.25">
      <c r="A334" s="409" t="s">
        <v>49</v>
      </c>
      <c r="B334" s="174" t="s">
        <v>169</v>
      </c>
      <c r="C334" s="175" t="s">
        <v>176</v>
      </c>
      <c r="D334" s="177"/>
      <c r="E334" s="101"/>
      <c r="F334" s="182">
        <f>IF(G310="",0.8,(IF(AND(E334="",G310="Yes"),0.9,IF(E334&gt;=25,0,IF(E334&lt;=10,1,ROUND(IF(E334&gt;18,'Reference Standards'!$L$4*E334+'Reference Standards'!$L$5,IF(E334&lt;12,'Reference Standards'!$N$4*E334+'Reference Standards'!$N$5,'Reference Standards'!$M$4*E334+'Reference Standards'!$M$5)),2))))))</f>
        <v>0.8</v>
      </c>
      <c r="G334" s="180">
        <f>IFERROR(AVERAGE(F334),"")</f>
        <v>0.8</v>
      </c>
      <c r="H334" s="411">
        <f>IFERROR(ROUND(AVERAGE(G334:G336),2),"")</f>
        <v>0.8</v>
      </c>
      <c r="I334" s="415" t="str">
        <f>IF(H334="","",IF(H334&gt;0.69,"Functioning",IF(H334&gt;0.29,"Functioning At Risk",IF(H334&gt;-1,"Not Functioning"))))</f>
        <v>Functioning</v>
      </c>
      <c r="J334" s="429"/>
    </row>
    <row r="335" spans="1:10" ht="15.75" x14ac:dyDescent="0.25">
      <c r="A335" s="410"/>
      <c r="B335" s="176" t="s">
        <v>170</v>
      </c>
      <c r="C335" s="175" t="s">
        <v>177</v>
      </c>
      <c r="D335" s="178"/>
      <c r="E335" s="49"/>
      <c r="F335" s="231">
        <f>IF(G310="",0.8,(IF(AND(E335="",G310="Yes"),0.9,IF(D308="2A",IF(E335&lt;=5.3,0,IF(E335&gt;=8.79,1,ROUND(E335*'Reference Standards'!$L$9+'Reference Standards'!$L$10,2))),IF(D308=7,IF(E335&lt;=0.8,0,IF(E335&gt;=1.25,1,ROUND(E335*'Reference Standards'!$N$9+'Reference Standards'!$N$10,2))),IF(OR(D308="2B", D308="2Bd",D308="2C"),IF(E335&lt;=3.8,0,(IF(E335&gt;=6.3,1,ROUND(E335*'Reference Standards'!$M$9+'Reference Standards'!$M$10,2))))))))))</f>
        <v>0.8</v>
      </c>
      <c r="G335" s="181">
        <f>IFERROR(AVERAGE(F335),"")</f>
        <v>0.8</v>
      </c>
      <c r="H335" s="412"/>
      <c r="I335" s="416"/>
      <c r="J335" s="429"/>
    </row>
    <row r="336" spans="1:10" ht="15.75" x14ac:dyDescent="0.25">
      <c r="A336" s="410"/>
      <c r="B336" s="174" t="s">
        <v>172</v>
      </c>
      <c r="C336" s="175" t="s">
        <v>178</v>
      </c>
      <c r="D336" s="179"/>
      <c r="E336" s="101"/>
      <c r="F336" s="182">
        <f>IF(G310="",0.8,(IF(AND(E336="",G310="Yes"),0.9,IF(D308="2A",IF(E336&gt;=12.5,0,IF(E336&lt;=7.5,1,ROUND(E336*'Reference Standards'!$L$15+'Reference Standards'!$L$16,2))),IF(OR(D308="2B",D308="2Bd",D308="2C"),IF(D309="North",IF(E336&gt;=18.8,0,IF(E336&lt;=11.3,1,ROUND(E336*'Reference Standards'!$M$15+'Reference Standards'!$M$16,2))),IF(D309="Central",(IF(E336&gt;=37.5,0,IF(E336&lt;=22.5,1,ROUND(E336*'Reference Standards'!$N$15+'Reference Standards'!$N$16,2)))),IF(E336&gt;=81.2,0,(IF(E336&lt;=48.7,1,ROUND(E336*'Reference Standards'!$O$15+'Reference Standards'!$O$16,2)))))))))))</f>
        <v>0.8</v>
      </c>
      <c r="G336" s="182">
        <f>IFERROR(AVERAGE(F336),"")</f>
        <v>0.8</v>
      </c>
      <c r="H336" s="412"/>
      <c r="I336" s="416"/>
      <c r="J336" s="429"/>
    </row>
    <row r="337" spans="1:10" ht="15.75" customHeight="1" x14ac:dyDescent="0.25">
      <c r="A337" s="445" t="s">
        <v>50</v>
      </c>
      <c r="B337" s="236" t="s">
        <v>105</v>
      </c>
      <c r="C337" s="40" t="s">
        <v>179</v>
      </c>
      <c r="D337" s="41"/>
      <c r="E337" s="44"/>
      <c r="F337" s="99">
        <f>IF(G310="",0.8,(IF(AND(E336="",G310="Yes"),0.9,IF(D311="Northern Forest Rivers",IF(E337&lt;=38.2,0,IF(E337&gt;=77,1,ROUND(IF(E337&lt;49, 'Reference Standards'!$Q$5*E337+'Reference Standards'!$Q$6, IF(E337&lt;59.8, 'Reference Standards'!$R$5*E337+'Reference Standards'!$R$6, 'Reference Standards'!$S$5*E337+'Reference Standards'!$S$6)),2))),   IF(D311="Northern Forest Streams Riffle-run",IF(E337&lt;40.4,0,IF(E337&gt;=82,1,ROUND(IF(E337&lt;53, 'Reference Standards'!$T$5*E337+'Reference Standards'!$T$6, IF(E337&lt;59.8, 'Reference Standards'!$U$5*E337+'Reference Standards'!$U$6, 'Reference Standards'!$V$5*E337+'Reference Standards'!$V$6) ),2))), IF(D311="Northern Forest Streams Glide-pool",IF(E337&lt;=37,0,IF(E337&gt;=76,1,ROUND(IF(E337&lt;51, 'Reference Standards'!$W$5*E337+'Reference Standards'!$W$6, IF(E337&lt;65.6, 'Reference Standards'!$X$5*E337+'Reference Standards'!$X$6, 'Reference Standards'!$Y$5*E337+'Reference Standards'!$Y$6) ),2))), IF(D311="Northern Coldwater",IF(E337&lt;19.6,0,IF(E337&gt;=52,1,ROUND(IF(E337&lt;32, 'Reference Standards'!$Z$5*E337+'Reference Standards'!$Z$6, IF(E337&lt;44.4,'Reference Standards'!$AA$5*E337+'Reference Standards'!$AA$6, 'Reference Standards'!$AB$5*E337+'Reference Standards'!$AB$6) ),2))), IF(D311="Southern Forest Streams Riffle-run", IF(E337&lt;24,0,IF(E337&gt;=62,1,ROUND(IF(E337&lt;37, 'Reference Standards'!$Q$11*E337+'Reference Standards'!$Q$12, IF(E337&lt;49.6,'Reference Standards'!$R$11*E337+'Reference Standards'!$R$12,'Reference Standards'!$S$11*E337+'Reference Standards'!$S$12)),2))), IF(D311="Southern Forest Streams Glide-pool", IF(E337&lt;29.4,0,IF(E337&gt;=65,1,ROUND(IF(E337&lt;43,'Reference Standards'!$T$11*E337+'Reference Standards'!$T$12, IF(E337&lt;56.6, 'Reference Standards'!$U$11*E337+'Reference Standards'!$U$12,'Reference Standards'!$V$11*E337+'Reference Standards'!$V$12)),2))), IF(D311="Southern Coldwater", IF(E337&lt;29.2,0,IF(E337&gt;=72,1,ROUND(IF(E337&lt;43, 'Reference Standards'!$W$11*E337+'Reference Standards'!$W$12, IF(E337&lt;56.8,'Reference Standards'!$X$11*E337+'Reference Standards'!$X$12, 'Reference Standards'!$Y$11*E337+'Reference Standards'!$Y$12)),2))), IF(D311="Prairie Forest Rivers", IF(E337&lt;20.2,0,IF(E337&gt;=62,1,ROUND(IF(E337&lt;31,'Reference Standards'!$Q$17*E337+'Reference Standards'!$Q$18, IF(E337&lt;41.8,'Reference Standards'!$R$17*E337+'Reference Standards'!$R$18,'Reference Standards'!$S$17*E337+'Reference Standards'!$S$18)),2))), IF(D311="Prairie Streams Glide-Pool", IF(E337&lt;27.4,0,IF(E337&gt;=69,1,ROUND(IF(E337&lt;41,'Reference Standards'!$T$17*E337+'Reference Standards'!$T$18, IF(E337&lt;54.6,'Reference Standards'!$U$17*E337+'Reference Standards'!$U$18, 'Reference Standards'!$V$17*E337+'Reference Standards'!$V$18)),2))) ))))))))))))</f>
        <v>0.8</v>
      </c>
      <c r="G337" s="237">
        <f>IFERROR(AVERAGE(F337),"")</f>
        <v>0.8</v>
      </c>
      <c r="H337" s="450">
        <f>IFERROR(ROUND(AVERAGE(G337:G338),2),"")</f>
        <v>0.8</v>
      </c>
      <c r="I337" s="414" t="str">
        <f>IF(H337="","",IF(H337&gt;0.69,"Functioning",IF(H337&gt;0.29,"Functioning At Risk",IF(H337&gt;-1,"Not Functioning"))))</f>
        <v>Functioning</v>
      </c>
      <c r="J337" s="429"/>
    </row>
    <row r="338" spans="1:10" ht="15.75" x14ac:dyDescent="0.25">
      <c r="A338" s="446"/>
      <c r="B338" s="238" t="s">
        <v>54</v>
      </c>
      <c r="C338" s="183" t="s">
        <v>180</v>
      </c>
      <c r="D338" s="184"/>
      <c r="E338" s="101"/>
      <c r="F338" s="99">
        <f>IF(G310="",0.8,(IF(AND(E338="",G310="Yes"),0.9,IF(G308="Northern Rivers",IF(E338&lt;29,0,IF(E338&gt;=66,1,ROUND(IF(E338&lt;38, 'Reference Standards'!$Q$23*E338+'Reference Standards'!$Q$24, IF(E338&lt;47, 'Reference Standards'!$R$23*E338+'Reference Standards'!$R$24, 'Reference Standards'!$S$23*E338+'Reference Standards'!$S$24)),2))),   IF(G308="Northern Streams",IF(E338&lt;35,0,IF(E338&gt;=61,1,ROUND(IF(E338&lt;47, 'Reference Standards'!$T$23*E338+'Reference Standards'!$T$24, IF(E338&lt;56, 'Reference Standards'!$U$23*E338+'Reference Standards'!$U$24, 'Reference Standards'!$V$23*E338+'Reference Standards'!$V$24) ),2))), IF(G308="Northern Headwaters",IF(E338&lt;23,0,IF(E338&gt;=68,1,ROUND(IF(E338&lt;42, 'Reference Standards'!$W$23*E338+'Reference Standards'!$W$24, IF(E338&lt;56, 'Reference Standards'!$X$23*E338+'Reference Standards'!$X$24, 'Reference Standards'!$Y$23*E338+'Reference Standards'!$Y$24) ),2))), IF(G308="Northern Coldwater",IF(E338&lt;25,0,IF(E338&gt;=60,1,ROUND(IF(E338&lt;35, 'Reference Standards'!$Z$23*E338+'Reference Standards'!$Z$24, IF(E338&lt;45, 'Reference Standards'!$AA$23*E338+'Reference Standards'!$AA$24, 'Reference Standards'!$AB$23*E338+'Reference Standards'!$AB$24) ),2))), IF(G308="Southern River", IF(E338&lt;38,0,IF(E338&gt;=71,1,ROUND(IF(E338&lt;49, 'Reference Standards'!$Q$29*E338+'Reference Standards'!$Q$30, IF(E338&lt;60,'Reference Standards'!$R$29*E338+'Reference Standards'!$R$30, 'Reference Standards'!$S$29*E338+'Reference Standards'!$S$30)),2))), IF(G308="Southern Streams", IF(E338&lt;35,0,IF(E338&gt;=66,1,ROUND(IF(E338&lt;50,'Reference Standards'!$T$29*E338+'Reference Standards'!$T$30, IF(E338&lt;59, 'Reference Standards'!$U$29*E338+'Reference Standards'!$U$30, 'Reference Standards'!$V$29*E338+'Reference Standards'!$V$30)),2))), IF(G308="Southern Headwaters", IF(E338&lt;33,0,IF(E338&gt;=74,1,ROUND(IF(E338&lt;55, 'Reference Standards'!$W$29*E338+'Reference Standards'!$W$30, IF(E338&lt;62, 'Reference Standards'!$X$29*E338+'Reference Standards'!$X$30, 'Reference Standards'!$Y$29*E338+'Reference Standards'!$Y$30)),2))), IF(G308="Southern Coldwater", IF(E338&lt;37,0,IF(E338&gt;=82,1,ROUND(IF(E338&lt;50, 'Reference Standards'!$Z$29*E338+'Reference Standards'!$Z$30, IF(E338&lt;63,'Reference Standards'!$AA$29*E338+'Reference Standards'!$AA$30,'Reference Standards'!$AB$29*E338+'Reference Standards'!$AB$30)),2))), IF(G308="Low Gradient", IF(E338&lt;15,0,IF(E338&gt;=70,1,ROUND(IF(E338&lt;42, 'Reference Standards'!$Q$34*E338+'Reference Standards'!$Q$35, IF(E338&lt;52, 'Reference Standards'!$R$34*E338+'Reference Standards'!$R$35, 'Reference Standards'!$S$34*E338+'Reference Standards'!$S$35)),2))) ))))))))))))</f>
        <v>0.8</v>
      </c>
      <c r="G338" s="237">
        <f>IFERROR(AVERAGE(F338),"")</f>
        <v>0.8</v>
      </c>
      <c r="H338" s="450"/>
      <c r="I338" s="414"/>
      <c r="J338" s="429"/>
    </row>
    <row r="339" spans="1:10" x14ac:dyDescent="0.25">
      <c r="J339" s="4"/>
    </row>
  </sheetData>
  <sheetProtection password="9A39" sheet="1" formatColumns="0"/>
  <dataConsolidate/>
  <mergeCells count="390">
    <mergeCell ref="G330:G333"/>
    <mergeCell ref="C333:D333"/>
    <mergeCell ref="C314:D314"/>
    <mergeCell ref="A315:A317"/>
    <mergeCell ref="B315:B317"/>
    <mergeCell ref="G315:G317"/>
    <mergeCell ref="H315:H317"/>
    <mergeCell ref="I315:I317"/>
    <mergeCell ref="J315:J338"/>
    <mergeCell ref="A318:A319"/>
    <mergeCell ref="B318:B319"/>
    <mergeCell ref="G318:G319"/>
    <mergeCell ref="H318:H319"/>
    <mergeCell ref="I318:I319"/>
    <mergeCell ref="A320:A333"/>
    <mergeCell ref="B320:B321"/>
    <mergeCell ref="G320:G321"/>
    <mergeCell ref="H320:H333"/>
    <mergeCell ref="I320:I333"/>
    <mergeCell ref="A334:A336"/>
    <mergeCell ref="H334:H336"/>
    <mergeCell ref="I334:I336"/>
    <mergeCell ref="A337:A338"/>
    <mergeCell ref="H337:H338"/>
    <mergeCell ref="I337:I338"/>
    <mergeCell ref="B322:B324"/>
    <mergeCell ref="G322:G324"/>
    <mergeCell ref="B326:B329"/>
    <mergeCell ref="G326:G329"/>
    <mergeCell ref="B330:B333"/>
    <mergeCell ref="I284:I285"/>
    <mergeCell ref="A286:A299"/>
    <mergeCell ref="B286:B287"/>
    <mergeCell ref="G286:G287"/>
    <mergeCell ref="H286:H299"/>
    <mergeCell ref="I286:I299"/>
    <mergeCell ref="H311:I311"/>
    <mergeCell ref="A313:F313"/>
    <mergeCell ref="G313:J313"/>
    <mergeCell ref="A307:J307"/>
    <mergeCell ref="H308:I308"/>
    <mergeCell ref="E309:F309"/>
    <mergeCell ref="H309:I309"/>
    <mergeCell ref="E310:F310"/>
    <mergeCell ref="H310:I310"/>
    <mergeCell ref="A300:A302"/>
    <mergeCell ref="H300:H302"/>
    <mergeCell ref="I300:I302"/>
    <mergeCell ref="A303:A304"/>
    <mergeCell ref="H303:H304"/>
    <mergeCell ref="I303:I304"/>
    <mergeCell ref="G252:G253"/>
    <mergeCell ref="H252:H265"/>
    <mergeCell ref="I252:I265"/>
    <mergeCell ref="H277:I277"/>
    <mergeCell ref="A279:F279"/>
    <mergeCell ref="G279:J279"/>
    <mergeCell ref="C280:D280"/>
    <mergeCell ref="A281:A283"/>
    <mergeCell ref="B281:B283"/>
    <mergeCell ref="G281:G283"/>
    <mergeCell ref="H281:H283"/>
    <mergeCell ref="I281:I283"/>
    <mergeCell ref="J281:J304"/>
    <mergeCell ref="B288:B290"/>
    <mergeCell ref="G288:G290"/>
    <mergeCell ref="B292:B295"/>
    <mergeCell ref="G292:G295"/>
    <mergeCell ref="B296:B299"/>
    <mergeCell ref="G296:G299"/>
    <mergeCell ref="C299:D299"/>
    <mergeCell ref="A284:A285"/>
    <mergeCell ref="B284:B285"/>
    <mergeCell ref="G284:G285"/>
    <mergeCell ref="H284:H285"/>
    <mergeCell ref="A273:J273"/>
    <mergeCell ref="H274:I274"/>
    <mergeCell ref="E275:F275"/>
    <mergeCell ref="H275:I275"/>
    <mergeCell ref="E276:F276"/>
    <mergeCell ref="H276:I276"/>
    <mergeCell ref="A269:A270"/>
    <mergeCell ref="H269:H270"/>
    <mergeCell ref="I269:I270"/>
    <mergeCell ref="H243:I243"/>
    <mergeCell ref="A245:F245"/>
    <mergeCell ref="G245:J245"/>
    <mergeCell ref="C246:D246"/>
    <mergeCell ref="A247:A249"/>
    <mergeCell ref="B247:B249"/>
    <mergeCell ref="G247:G249"/>
    <mergeCell ref="H247:H249"/>
    <mergeCell ref="I247:I249"/>
    <mergeCell ref="J247:J270"/>
    <mergeCell ref="B254:B256"/>
    <mergeCell ref="G254:G256"/>
    <mergeCell ref="B258:B261"/>
    <mergeCell ref="G258:G261"/>
    <mergeCell ref="B262:B265"/>
    <mergeCell ref="G262:G265"/>
    <mergeCell ref="C265:D265"/>
    <mergeCell ref="A250:A251"/>
    <mergeCell ref="A252:A265"/>
    <mergeCell ref="B252:B253"/>
    <mergeCell ref="A239:J239"/>
    <mergeCell ref="H240:I240"/>
    <mergeCell ref="E241:F241"/>
    <mergeCell ref="H241:I241"/>
    <mergeCell ref="E242:F242"/>
    <mergeCell ref="H242:I242"/>
    <mergeCell ref="A266:A268"/>
    <mergeCell ref="H266:H268"/>
    <mergeCell ref="I266:I268"/>
    <mergeCell ref="C212:D212"/>
    <mergeCell ref="A213:A215"/>
    <mergeCell ref="B213:B215"/>
    <mergeCell ref="G213:G215"/>
    <mergeCell ref="H213:H215"/>
    <mergeCell ref="I213:I215"/>
    <mergeCell ref="B250:B251"/>
    <mergeCell ref="G250:G251"/>
    <mergeCell ref="H250:H251"/>
    <mergeCell ref="I250:I251"/>
    <mergeCell ref="J213:J236"/>
    <mergeCell ref="B220:B222"/>
    <mergeCell ref="G220:G222"/>
    <mergeCell ref="B224:B227"/>
    <mergeCell ref="G224:G227"/>
    <mergeCell ref="B228:B231"/>
    <mergeCell ref="G228:G231"/>
    <mergeCell ref="C231:D231"/>
    <mergeCell ref="A216:A217"/>
    <mergeCell ref="B216:B217"/>
    <mergeCell ref="G216:G217"/>
    <mergeCell ref="H216:H217"/>
    <mergeCell ref="I216:I217"/>
    <mergeCell ref="A218:A231"/>
    <mergeCell ref="B218:B219"/>
    <mergeCell ref="G218:G219"/>
    <mergeCell ref="H218:H231"/>
    <mergeCell ref="I218:I231"/>
    <mergeCell ref="A232:A234"/>
    <mergeCell ref="H232:H234"/>
    <mergeCell ref="I232:I234"/>
    <mergeCell ref="A235:A236"/>
    <mergeCell ref="H235:H236"/>
    <mergeCell ref="I235:I236"/>
    <mergeCell ref="I182:I183"/>
    <mergeCell ref="A184:A197"/>
    <mergeCell ref="B184:B185"/>
    <mergeCell ref="G184:G185"/>
    <mergeCell ref="H184:H197"/>
    <mergeCell ref="I184:I197"/>
    <mergeCell ref="H209:I209"/>
    <mergeCell ref="A211:F211"/>
    <mergeCell ref="G211:J211"/>
    <mergeCell ref="A205:J205"/>
    <mergeCell ref="H206:I206"/>
    <mergeCell ref="E207:F207"/>
    <mergeCell ref="H207:I207"/>
    <mergeCell ref="E208:F208"/>
    <mergeCell ref="H208:I208"/>
    <mergeCell ref="A198:A200"/>
    <mergeCell ref="H198:H200"/>
    <mergeCell ref="I198:I200"/>
    <mergeCell ref="A201:A202"/>
    <mergeCell ref="H201:H202"/>
    <mergeCell ref="I201:I202"/>
    <mergeCell ref="G150:G151"/>
    <mergeCell ref="H150:H163"/>
    <mergeCell ref="I150:I163"/>
    <mergeCell ref="H175:I175"/>
    <mergeCell ref="A177:F177"/>
    <mergeCell ref="G177:J177"/>
    <mergeCell ref="C178:D178"/>
    <mergeCell ref="A179:A181"/>
    <mergeCell ref="B179:B181"/>
    <mergeCell ref="G179:G181"/>
    <mergeCell ref="H179:H181"/>
    <mergeCell ref="I179:I181"/>
    <mergeCell ref="J179:J202"/>
    <mergeCell ref="B186:B188"/>
    <mergeCell ref="G186:G188"/>
    <mergeCell ref="B190:B193"/>
    <mergeCell ref="G190:G193"/>
    <mergeCell ref="B194:B197"/>
    <mergeCell ref="G194:G197"/>
    <mergeCell ref="C197:D197"/>
    <mergeCell ref="A182:A183"/>
    <mergeCell ref="B182:B183"/>
    <mergeCell ref="G182:G183"/>
    <mergeCell ref="H182:H183"/>
    <mergeCell ref="A171:J171"/>
    <mergeCell ref="H172:I172"/>
    <mergeCell ref="E173:F173"/>
    <mergeCell ref="H173:I173"/>
    <mergeCell ref="E174:F174"/>
    <mergeCell ref="H174:I174"/>
    <mergeCell ref="A164:A166"/>
    <mergeCell ref="H164:H166"/>
    <mergeCell ref="I164:I166"/>
    <mergeCell ref="A167:A168"/>
    <mergeCell ref="H167:H168"/>
    <mergeCell ref="I167:I168"/>
    <mergeCell ref="H141:I141"/>
    <mergeCell ref="A143:F143"/>
    <mergeCell ref="G143:J143"/>
    <mergeCell ref="C144:D144"/>
    <mergeCell ref="A145:A147"/>
    <mergeCell ref="B145:B147"/>
    <mergeCell ref="G145:G147"/>
    <mergeCell ref="H145:H147"/>
    <mergeCell ref="I145:I147"/>
    <mergeCell ref="J145:J168"/>
    <mergeCell ref="B152:B154"/>
    <mergeCell ref="G152:G154"/>
    <mergeCell ref="B156:B159"/>
    <mergeCell ref="G156:G159"/>
    <mergeCell ref="B160:B163"/>
    <mergeCell ref="G160:G163"/>
    <mergeCell ref="C163:D163"/>
    <mergeCell ref="A148:A149"/>
    <mergeCell ref="B148:B149"/>
    <mergeCell ref="G148:G149"/>
    <mergeCell ref="H148:H149"/>
    <mergeCell ref="I148:I149"/>
    <mergeCell ref="A150:A163"/>
    <mergeCell ref="B150:B151"/>
    <mergeCell ref="A137:J137"/>
    <mergeCell ref="H138:I138"/>
    <mergeCell ref="E139:F139"/>
    <mergeCell ref="H139:I139"/>
    <mergeCell ref="E140:F140"/>
    <mergeCell ref="H140:I140"/>
    <mergeCell ref="A130:A132"/>
    <mergeCell ref="H130:H132"/>
    <mergeCell ref="I130:I132"/>
    <mergeCell ref="A133:A134"/>
    <mergeCell ref="H133:H134"/>
    <mergeCell ref="I133:I134"/>
    <mergeCell ref="C110:D110"/>
    <mergeCell ref="A111:A113"/>
    <mergeCell ref="B111:B113"/>
    <mergeCell ref="G111:G113"/>
    <mergeCell ref="H111:H113"/>
    <mergeCell ref="I111:I113"/>
    <mergeCell ref="J111:J134"/>
    <mergeCell ref="B118:B120"/>
    <mergeCell ref="G118:G120"/>
    <mergeCell ref="B122:B125"/>
    <mergeCell ref="G122:G125"/>
    <mergeCell ref="B126:B129"/>
    <mergeCell ref="G126:G129"/>
    <mergeCell ref="C129:D129"/>
    <mergeCell ref="A114:A115"/>
    <mergeCell ref="B114:B115"/>
    <mergeCell ref="G114:G115"/>
    <mergeCell ref="H114:H115"/>
    <mergeCell ref="I114:I115"/>
    <mergeCell ref="A116:A129"/>
    <mergeCell ref="B116:B117"/>
    <mergeCell ref="G116:G117"/>
    <mergeCell ref="H116:H129"/>
    <mergeCell ref="I116:I129"/>
    <mergeCell ref="I80:I81"/>
    <mergeCell ref="A82:A95"/>
    <mergeCell ref="B82:B83"/>
    <mergeCell ref="G82:G83"/>
    <mergeCell ref="H82:H95"/>
    <mergeCell ref="I82:I95"/>
    <mergeCell ref="H107:I107"/>
    <mergeCell ref="A109:F109"/>
    <mergeCell ref="G109:J109"/>
    <mergeCell ref="A103:J103"/>
    <mergeCell ref="H104:I104"/>
    <mergeCell ref="E105:F105"/>
    <mergeCell ref="H105:I105"/>
    <mergeCell ref="E106:F106"/>
    <mergeCell ref="H106:I106"/>
    <mergeCell ref="A96:A98"/>
    <mergeCell ref="H96:H98"/>
    <mergeCell ref="I96:I98"/>
    <mergeCell ref="A99:A100"/>
    <mergeCell ref="H99:H100"/>
    <mergeCell ref="I99:I100"/>
    <mergeCell ref="G48:G49"/>
    <mergeCell ref="H48:H61"/>
    <mergeCell ref="I48:I61"/>
    <mergeCell ref="H73:I73"/>
    <mergeCell ref="A75:F75"/>
    <mergeCell ref="G75:J75"/>
    <mergeCell ref="C76:D76"/>
    <mergeCell ref="A77:A79"/>
    <mergeCell ref="B77:B79"/>
    <mergeCell ref="G77:G79"/>
    <mergeCell ref="H77:H79"/>
    <mergeCell ref="I77:I79"/>
    <mergeCell ref="J77:J100"/>
    <mergeCell ref="B84:B86"/>
    <mergeCell ref="G84:G86"/>
    <mergeCell ref="B88:B91"/>
    <mergeCell ref="G88:G91"/>
    <mergeCell ref="B92:B95"/>
    <mergeCell ref="G92:G95"/>
    <mergeCell ref="C95:D95"/>
    <mergeCell ref="A80:A81"/>
    <mergeCell ref="B80:B81"/>
    <mergeCell ref="G80:G81"/>
    <mergeCell ref="H80:H81"/>
    <mergeCell ref="A69:J69"/>
    <mergeCell ref="H70:I70"/>
    <mergeCell ref="E71:F71"/>
    <mergeCell ref="H71:I71"/>
    <mergeCell ref="E72:F72"/>
    <mergeCell ref="H72:I72"/>
    <mergeCell ref="A62:A64"/>
    <mergeCell ref="H62:H64"/>
    <mergeCell ref="I62:I64"/>
    <mergeCell ref="A65:A66"/>
    <mergeCell ref="H65:H66"/>
    <mergeCell ref="I65:I66"/>
    <mergeCell ref="H39:I39"/>
    <mergeCell ref="A41:F41"/>
    <mergeCell ref="G41:J41"/>
    <mergeCell ref="C42:D42"/>
    <mergeCell ref="A43:A45"/>
    <mergeCell ref="B43:B45"/>
    <mergeCell ref="G43:G45"/>
    <mergeCell ref="H43:H45"/>
    <mergeCell ref="I43:I45"/>
    <mergeCell ref="J43:J66"/>
    <mergeCell ref="B50:B52"/>
    <mergeCell ref="G50:G52"/>
    <mergeCell ref="B54:B57"/>
    <mergeCell ref="G54:G57"/>
    <mergeCell ref="B58:B61"/>
    <mergeCell ref="G58:G61"/>
    <mergeCell ref="C61:D61"/>
    <mergeCell ref="A46:A47"/>
    <mergeCell ref="B46:B47"/>
    <mergeCell ref="G46:G47"/>
    <mergeCell ref="H46:H47"/>
    <mergeCell ref="I46:I47"/>
    <mergeCell ref="A48:A61"/>
    <mergeCell ref="B48:B49"/>
    <mergeCell ref="H36:I36"/>
    <mergeCell ref="E37:F37"/>
    <mergeCell ref="H37:I37"/>
    <mergeCell ref="E38:F38"/>
    <mergeCell ref="H38:I38"/>
    <mergeCell ref="A28:A30"/>
    <mergeCell ref="H28:H30"/>
    <mergeCell ref="I28:I30"/>
    <mergeCell ref="A31:A32"/>
    <mergeCell ref="H31:H32"/>
    <mergeCell ref="I31:I32"/>
    <mergeCell ref="B20:B23"/>
    <mergeCell ref="G20:G23"/>
    <mergeCell ref="B24:B27"/>
    <mergeCell ref="G24:G27"/>
    <mergeCell ref="C27:D27"/>
    <mergeCell ref="A12:A13"/>
    <mergeCell ref="B12:B13"/>
    <mergeCell ref="G12:G13"/>
    <mergeCell ref="A35:J35"/>
    <mergeCell ref="A14:A27"/>
    <mergeCell ref="A1:J1"/>
    <mergeCell ref="H2:I2"/>
    <mergeCell ref="E3:F3"/>
    <mergeCell ref="H3:I3"/>
    <mergeCell ref="E4:F4"/>
    <mergeCell ref="H4:I4"/>
    <mergeCell ref="H12:H13"/>
    <mergeCell ref="I12:I13"/>
    <mergeCell ref="B14:B15"/>
    <mergeCell ref="G14:G15"/>
    <mergeCell ref="H14:H27"/>
    <mergeCell ref="I14:I27"/>
    <mergeCell ref="B16:B18"/>
    <mergeCell ref="H5:I5"/>
    <mergeCell ref="A7:F7"/>
    <mergeCell ref="G7:J7"/>
    <mergeCell ref="C8:D8"/>
    <mergeCell ref="A9:A11"/>
    <mergeCell ref="B9:B11"/>
    <mergeCell ref="G9:G11"/>
    <mergeCell ref="H9:H11"/>
    <mergeCell ref="I9:I11"/>
    <mergeCell ref="J9:J32"/>
    <mergeCell ref="G16:G18"/>
  </mergeCells>
  <conditionalFormatting sqref="A8:C8 A12:D12 H14:I15 H12:I12 K7:L11 G7 A14:D14 C13:D13 E8:I8 H33:L33 K5:K6 K34 L1:M2 D17 A6:I6 A40 A74 A108 A142 A176 A210 A244 A278 A312 I9:J11 A3:D5 C15:D16 K12:K18 D29:D31 I31:I32 A31:A32 K24:K32 I65:I66 A65:A66 A2 C2:D2">
    <cfRule type="beginsWith" dxfId="5" priority="1204" stopIfTrue="1" operator="beginsWith" text="Functioning At Risk">
      <formula>LEFT(A1,LEN("Functioning At Risk"))="Functioning At Risk"</formula>
    </cfRule>
    <cfRule type="beginsWith" dxfId="4" priority="1205" stopIfTrue="1" operator="beginsWith" text="Not Functioning">
      <formula>LEFT(A1,LEN("Not Functioning"))="Not Functioning"</formula>
    </cfRule>
    <cfRule type="containsText" dxfId="3" priority="1206" operator="containsText" text="Functioning">
      <formula>NOT(ISERROR(SEARCH("Functioning",A1)))</formula>
    </cfRule>
  </conditionalFormatting>
  <conditionalFormatting sqref="D5">
    <cfRule type="beginsWith" dxfId="1127" priority="1201" stopIfTrue="1" operator="beginsWith" text="Functioning At Risk">
      <formula>LEFT(D5,LEN("Functioning At Risk"))="Functioning At Risk"</formula>
    </cfRule>
    <cfRule type="beginsWith" dxfId="1126" priority="1202" stopIfTrue="1" operator="beginsWith" text="Not Functioning">
      <formula>LEFT(D5,LEN("Not Functioning"))="Not Functioning"</formula>
    </cfRule>
    <cfRule type="containsText" dxfId="1125" priority="1203" operator="containsText" text="Functioning">
      <formula>NOT(ISERROR(SEARCH("Functioning",D5)))</formula>
    </cfRule>
  </conditionalFormatting>
  <conditionalFormatting sqref="A28">
    <cfRule type="beginsWith" dxfId="1124" priority="1198" stopIfTrue="1" operator="beginsWith" text="Functioning At Risk">
      <formula>LEFT(A28,LEN("Functioning At Risk"))="Functioning At Risk"</formula>
    </cfRule>
    <cfRule type="beginsWith" dxfId="1123" priority="1199" stopIfTrue="1" operator="beginsWith" text="Not Functioning">
      <formula>LEFT(A28,LEN("Not Functioning"))="Not Functioning"</formula>
    </cfRule>
    <cfRule type="containsText" dxfId="1122" priority="1200" operator="containsText" text="Functioning">
      <formula>NOT(ISERROR(SEARCH("Functioning",A28)))</formula>
    </cfRule>
  </conditionalFormatting>
  <conditionalFormatting sqref="H28">
    <cfRule type="beginsWith" dxfId="1121" priority="1195" stopIfTrue="1" operator="beginsWith" text="Functioning At Risk">
      <formula>LEFT(H28,LEN("Functioning At Risk"))="Functioning At Risk"</formula>
    </cfRule>
    <cfRule type="beginsWith" dxfId="1120" priority="1196" stopIfTrue="1" operator="beginsWith" text="Not Functioning">
      <formula>LEFT(H28,LEN("Not Functioning"))="Not Functioning"</formula>
    </cfRule>
    <cfRule type="containsText" dxfId="1119" priority="1197" operator="containsText" text="Functioning">
      <formula>NOT(ISERROR(SEARCH("Functioning",H28)))</formula>
    </cfRule>
  </conditionalFormatting>
  <conditionalFormatting sqref="I28">
    <cfRule type="beginsWith" dxfId="1118" priority="1192" stopIfTrue="1" operator="beginsWith" text="Functioning At Risk">
      <formula>LEFT(I28,LEN("Functioning At Risk"))="Functioning At Risk"</formula>
    </cfRule>
    <cfRule type="beginsWith" dxfId="1117" priority="1193" stopIfTrue="1" operator="beginsWith" text="Not Functioning">
      <formula>LEFT(I28,LEN("Not Functioning"))="Not Functioning"</formula>
    </cfRule>
    <cfRule type="containsText" dxfId="1116" priority="1194" operator="containsText" text="Functioning">
      <formula>NOT(ISERROR(SEARCH("Functioning",I28)))</formula>
    </cfRule>
  </conditionalFormatting>
  <conditionalFormatting sqref="D32">
    <cfRule type="beginsWith" dxfId="1115" priority="1189" stopIfTrue="1" operator="beginsWith" text="Functioning At Risk">
      <formula>LEFT(D32,LEN("Functioning At Risk"))="Functioning At Risk"</formula>
    </cfRule>
    <cfRule type="beginsWith" dxfId="1114" priority="1190" stopIfTrue="1" operator="beginsWith" text="Not Functioning">
      <formula>LEFT(D32,LEN("Not Functioning"))="Not Functioning"</formula>
    </cfRule>
    <cfRule type="containsText" dxfId="1113" priority="1191" operator="containsText" text="Functioning">
      <formula>NOT(ISERROR(SEARCH("Functioning",D32)))</formula>
    </cfRule>
  </conditionalFormatting>
  <conditionalFormatting sqref="B32">
    <cfRule type="beginsWith" dxfId="1112" priority="1186" stopIfTrue="1" operator="beginsWith" text="Functioning At Risk">
      <formula>LEFT(B32,LEN("Functioning At Risk"))="Functioning At Risk"</formula>
    </cfRule>
    <cfRule type="beginsWith" dxfId="1111" priority="1187" stopIfTrue="1" operator="beginsWith" text="Not Functioning">
      <formula>LEFT(B32,LEN("Not Functioning"))="Not Functioning"</formula>
    </cfRule>
    <cfRule type="containsText" dxfId="1110" priority="1188" operator="containsText" text="Functioning">
      <formula>NOT(ISERROR(SEARCH("Functioning",B32)))</formula>
    </cfRule>
  </conditionalFormatting>
  <conditionalFormatting sqref="B24">
    <cfRule type="beginsWith" dxfId="1109" priority="1183" stopIfTrue="1" operator="beginsWith" text="Functioning At Risk">
      <formula>LEFT(B24,LEN("Functioning At Risk"))="Functioning At Risk"</formula>
    </cfRule>
    <cfRule type="beginsWith" dxfId="1108" priority="1184" stopIfTrue="1" operator="beginsWith" text="Not Functioning">
      <formula>LEFT(B24,LEN("Not Functioning"))="Not Functioning"</formula>
    </cfRule>
    <cfRule type="containsText" dxfId="1107" priority="1185" operator="containsText" text="Functioning">
      <formula>NOT(ISERROR(SEARCH("Functioning",B24)))</formula>
    </cfRule>
  </conditionalFormatting>
  <conditionalFormatting sqref="B31">
    <cfRule type="beginsWith" dxfId="1106" priority="1180" stopIfTrue="1" operator="beginsWith" text="Functioning At Risk">
      <formula>LEFT(B31,LEN("Functioning At Risk"))="Functioning At Risk"</formula>
    </cfRule>
    <cfRule type="beginsWith" dxfId="1105" priority="1181" stopIfTrue="1" operator="beginsWith" text="Not Functioning">
      <formula>LEFT(B31,LEN("Not Functioning"))="Not Functioning"</formula>
    </cfRule>
    <cfRule type="containsText" dxfId="1104" priority="1182" operator="containsText" text="Functioning">
      <formula>NOT(ISERROR(SEARCH("Functioning",B31)))</formula>
    </cfRule>
  </conditionalFormatting>
  <conditionalFormatting sqref="K67:L67 K68">
    <cfRule type="beginsWith" dxfId="1103" priority="1177" stopIfTrue="1" operator="beginsWith" text="Functioning At Risk">
      <formula>LEFT(K67,LEN("Functioning At Risk"))="Functioning At Risk"</formula>
    </cfRule>
    <cfRule type="beginsWith" dxfId="1102" priority="1178" stopIfTrue="1" operator="beginsWith" text="Not Functioning">
      <formula>LEFT(K67,LEN("Not Functioning"))="Not Functioning"</formula>
    </cfRule>
    <cfRule type="containsText" dxfId="1101" priority="1179" operator="containsText" text="Functioning">
      <formula>NOT(ISERROR(SEARCH("Functioning",K67)))</formula>
    </cfRule>
  </conditionalFormatting>
  <conditionalFormatting sqref="K101:L101 K102">
    <cfRule type="beginsWith" dxfId="1100" priority="1174" stopIfTrue="1" operator="beginsWith" text="Functioning At Risk">
      <formula>LEFT(K101,LEN("Functioning At Risk"))="Functioning At Risk"</formula>
    </cfRule>
    <cfRule type="beginsWith" dxfId="1099" priority="1175" stopIfTrue="1" operator="beginsWith" text="Not Functioning">
      <formula>LEFT(K101,LEN("Not Functioning"))="Not Functioning"</formula>
    </cfRule>
    <cfRule type="containsText" dxfId="1098" priority="1176" operator="containsText" text="Functioning">
      <formula>NOT(ISERROR(SEARCH("Functioning",K101)))</formula>
    </cfRule>
  </conditionalFormatting>
  <conditionalFormatting sqref="K135:L135 K136">
    <cfRule type="beginsWith" dxfId="1097" priority="1171" stopIfTrue="1" operator="beginsWith" text="Functioning At Risk">
      <formula>LEFT(K135,LEN("Functioning At Risk"))="Functioning At Risk"</formula>
    </cfRule>
    <cfRule type="beginsWith" dxfId="1096" priority="1172" stopIfTrue="1" operator="beginsWith" text="Not Functioning">
      <formula>LEFT(K135,LEN("Not Functioning"))="Not Functioning"</formula>
    </cfRule>
    <cfRule type="containsText" dxfId="1095" priority="1173" operator="containsText" text="Functioning">
      <formula>NOT(ISERROR(SEARCH("Functioning",K135)))</formula>
    </cfRule>
  </conditionalFormatting>
  <conditionalFormatting sqref="K169:L169 K170">
    <cfRule type="beginsWith" dxfId="1094" priority="1168" stopIfTrue="1" operator="beginsWith" text="Functioning At Risk">
      <formula>LEFT(K169,LEN("Functioning At Risk"))="Functioning At Risk"</formula>
    </cfRule>
    <cfRule type="beginsWith" dxfId="1093" priority="1169" stopIfTrue="1" operator="beginsWith" text="Not Functioning">
      <formula>LEFT(K169,LEN("Not Functioning"))="Not Functioning"</formula>
    </cfRule>
    <cfRule type="containsText" dxfId="1092" priority="1170" operator="containsText" text="Functioning">
      <formula>NOT(ISERROR(SEARCH("Functioning",K169)))</formula>
    </cfRule>
  </conditionalFormatting>
  <conditionalFormatting sqref="K203:L203 K204">
    <cfRule type="beginsWith" dxfId="1091" priority="1165" stopIfTrue="1" operator="beginsWith" text="Functioning At Risk">
      <formula>LEFT(K203,LEN("Functioning At Risk"))="Functioning At Risk"</formula>
    </cfRule>
    <cfRule type="beginsWith" dxfId="1090" priority="1166" stopIfTrue="1" operator="beginsWith" text="Not Functioning">
      <formula>LEFT(K203,LEN("Not Functioning"))="Not Functioning"</formula>
    </cfRule>
    <cfRule type="containsText" dxfId="1089" priority="1167" operator="containsText" text="Functioning">
      <formula>NOT(ISERROR(SEARCH("Functioning",K203)))</formula>
    </cfRule>
  </conditionalFormatting>
  <conditionalFormatting sqref="K237:L237 K238">
    <cfRule type="beginsWith" dxfId="1088" priority="1162" stopIfTrue="1" operator="beginsWith" text="Functioning At Risk">
      <formula>LEFT(K237,LEN("Functioning At Risk"))="Functioning At Risk"</formula>
    </cfRule>
    <cfRule type="beginsWith" dxfId="1087" priority="1163" stopIfTrue="1" operator="beginsWith" text="Not Functioning">
      <formula>LEFT(K237,LEN("Not Functioning"))="Not Functioning"</formula>
    </cfRule>
    <cfRule type="containsText" dxfId="1086" priority="1164" operator="containsText" text="Functioning">
      <formula>NOT(ISERROR(SEARCH("Functioning",K237)))</formula>
    </cfRule>
  </conditionalFormatting>
  <conditionalFormatting sqref="K271:L271 K272">
    <cfRule type="beginsWith" dxfId="1085" priority="1159" stopIfTrue="1" operator="beginsWith" text="Functioning At Risk">
      <formula>LEFT(K271,LEN("Functioning At Risk"))="Functioning At Risk"</formula>
    </cfRule>
    <cfRule type="beginsWith" dxfId="1084" priority="1160" stopIfTrue="1" operator="beginsWith" text="Not Functioning">
      <formula>LEFT(K271,LEN("Not Functioning"))="Not Functioning"</formula>
    </cfRule>
    <cfRule type="containsText" dxfId="1083" priority="1161" operator="containsText" text="Functioning">
      <formula>NOT(ISERROR(SEARCH("Functioning",K271)))</formula>
    </cfRule>
  </conditionalFormatting>
  <conditionalFormatting sqref="K305:L305 K306">
    <cfRule type="beginsWith" dxfId="1082" priority="1156" stopIfTrue="1" operator="beginsWith" text="Functioning At Risk">
      <formula>LEFT(K305,LEN("Functioning At Risk"))="Functioning At Risk"</formula>
    </cfRule>
    <cfRule type="beginsWith" dxfId="1081" priority="1157" stopIfTrue="1" operator="beginsWith" text="Not Functioning">
      <formula>LEFT(K305,LEN("Not Functioning"))="Not Functioning"</formula>
    </cfRule>
    <cfRule type="containsText" dxfId="1080" priority="1158" operator="containsText" text="Functioning">
      <formula>NOT(ISERROR(SEARCH("Functioning",K305)))</formula>
    </cfRule>
  </conditionalFormatting>
  <conditionalFormatting sqref="A42:C42 A46:D46 H48:I49 G41 A48:D48 C47:D47 A49 C49:D49 H67:J67 C40:J40 E42:I42">
    <cfRule type="beginsWith" dxfId="1079" priority="1153" stopIfTrue="1" operator="beginsWith" text="Functioning At Risk">
      <formula>LEFT(A40,LEN("Functioning At Risk"))="Functioning At Risk"</formula>
    </cfRule>
    <cfRule type="beginsWith" dxfId="1078" priority="1154" stopIfTrue="1" operator="beginsWith" text="Not Functioning">
      <formula>LEFT(A40,LEN("Not Functioning"))="Not Functioning"</formula>
    </cfRule>
    <cfRule type="containsText" dxfId="1077" priority="1155" operator="containsText" text="Functioning">
      <formula>NOT(ISERROR(SEARCH("Functioning",A40)))</formula>
    </cfRule>
  </conditionalFormatting>
  <conditionalFormatting sqref="A76:C76 J77:J79 G75 H101:J101 C74:J74 E76:I76">
    <cfRule type="beginsWith" dxfId="1076" priority="1147" stopIfTrue="1" operator="beginsWith" text="Functioning At Risk">
      <formula>LEFT(A74,LEN("Functioning At Risk"))="Functioning At Risk"</formula>
    </cfRule>
    <cfRule type="beginsWith" dxfId="1075" priority="1148" stopIfTrue="1" operator="beginsWith" text="Not Functioning">
      <formula>LEFT(A74,LEN("Not Functioning"))="Not Functioning"</formula>
    </cfRule>
    <cfRule type="containsText" dxfId="1074" priority="1149" operator="containsText" text="Functioning">
      <formula>NOT(ISERROR(SEARCH("Functioning",A74)))</formula>
    </cfRule>
  </conditionalFormatting>
  <conditionalFormatting sqref="A144:C144 G143 H169:J169 C142:J142 E144:I144">
    <cfRule type="beginsWith" dxfId="1073" priority="1138" stopIfTrue="1" operator="beginsWith" text="Functioning At Risk">
      <formula>LEFT(A142,LEN("Functioning At Risk"))="Functioning At Risk"</formula>
    </cfRule>
    <cfRule type="beginsWith" dxfId="1072" priority="1139" stopIfTrue="1" operator="beginsWith" text="Not Functioning">
      <formula>LEFT(A142,LEN("Not Functioning"))="Not Functioning"</formula>
    </cfRule>
    <cfRule type="containsText" dxfId="1071" priority="1140" operator="containsText" text="Functioning">
      <formula>NOT(ISERROR(SEARCH("Functioning",A142)))</formula>
    </cfRule>
  </conditionalFormatting>
  <conditionalFormatting sqref="A178:C178 G177 H203:J203 C176:J176 E178:I178">
    <cfRule type="beginsWith" dxfId="1070" priority="1135" stopIfTrue="1" operator="beginsWith" text="Functioning At Risk">
      <formula>LEFT(A176,LEN("Functioning At Risk"))="Functioning At Risk"</formula>
    </cfRule>
    <cfRule type="beginsWith" dxfId="1069" priority="1136" stopIfTrue="1" operator="beginsWith" text="Not Functioning">
      <formula>LEFT(A176,LEN("Not Functioning"))="Not Functioning"</formula>
    </cfRule>
    <cfRule type="containsText" dxfId="1068" priority="1137" operator="containsText" text="Functioning">
      <formula>NOT(ISERROR(SEARCH("Functioning",A176)))</formula>
    </cfRule>
  </conditionalFormatting>
  <conditionalFormatting sqref="A280:C280 G279 H305:J305 C278:J278 E280:I280">
    <cfRule type="beginsWith" dxfId="1067" priority="1126" stopIfTrue="1" operator="beginsWith" text="Functioning At Risk">
      <formula>LEFT(A278,LEN("Functioning At Risk"))="Functioning At Risk"</formula>
    </cfRule>
    <cfRule type="beginsWith" dxfId="1066" priority="1127" stopIfTrue="1" operator="beginsWith" text="Not Functioning">
      <formula>LEFT(A278,LEN("Not Functioning"))="Not Functioning"</formula>
    </cfRule>
    <cfRule type="containsText" dxfId="1065" priority="1128" operator="containsText" text="Functioning">
      <formula>NOT(ISERROR(SEARCH("Functioning",A278)))</formula>
    </cfRule>
  </conditionalFormatting>
  <conditionalFormatting sqref="I62:I63">
    <cfRule type="beginsWith" dxfId="1064" priority="1150" stopIfTrue="1" operator="beginsWith" text="Functioning At Risk">
      <formula>LEFT(I62,LEN("Functioning At Risk"))="Functioning At Risk"</formula>
    </cfRule>
    <cfRule type="beginsWith" dxfId="1063" priority="1151" stopIfTrue="1" operator="beginsWith" text="Not Functioning">
      <formula>LEFT(I62,LEN("Not Functioning"))="Not Functioning"</formula>
    </cfRule>
    <cfRule type="containsText" dxfId="1062" priority="1152" operator="containsText" text="Functioning">
      <formula>NOT(ISERROR(SEARCH("Functioning",I62)))</formula>
    </cfRule>
  </conditionalFormatting>
  <conditionalFormatting sqref="A110:C110 G109 H135:J135 C108:J108 E110:I110">
    <cfRule type="beginsWith" dxfId="1061" priority="1141" stopIfTrue="1" operator="beginsWith" text="Functioning At Risk">
      <formula>LEFT(A108,LEN("Functioning At Risk"))="Functioning At Risk"</formula>
    </cfRule>
    <cfRule type="beginsWith" dxfId="1060" priority="1142" stopIfTrue="1" operator="beginsWith" text="Not Functioning">
      <formula>LEFT(A108,LEN("Not Functioning"))="Not Functioning"</formula>
    </cfRule>
    <cfRule type="containsText" dxfId="1059" priority="1143" operator="containsText" text="Functioning">
      <formula>NOT(ISERROR(SEARCH("Functioning",A108)))</formula>
    </cfRule>
  </conditionalFormatting>
  <conditionalFormatting sqref="I96">
    <cfRule type="beginsWith" dxfId="1058" priority="1144" stopIfTrue="1" operator="beginsWith" text="Functioning At Risk">
      <formula>LEFT(I96,LEN("Functioning At Risk"))="Functioning At Risk"</formula>
    </cfRule>
    <cfRule type="beginsWith" dxfId="1057" priority="1145" stopIfTrue="1" operator="beginsWith" text="Not Functioning">
      <formula>LEFT(I96,LEN("Not Functioning"))="Not Functioning"</formula>
    </cfRule>
    <cfRule type="containsText" dxfId="1056" priority="1146" operator="containsText" text="Functioning">
      <formula>NOT(ISERROR(SEARCH("Functioning",I96)))</formula>
    </cfRule>
  </conditionalFormatting>
  <conditionalFormatting sqref="A212:C212 G211 H237:J237 C210:J210 E212:I212">
    <cfRule type="beginsWith" dxfId="1055" priority="1132" stopIfTrue="1" operator="beginsWith" text="Functioning At Risk">
      <formula>LEFT(A210,LEN("Functioning At Risk"))="Functioning At Risk"</formula>
    </cfRule>
    <cfRule type="beginsWith" dxfId="1054" priority="1133" stopIfTrue="1" operator="beginsWith" text="Not Functioning">
      <formula>LEFT(A210,LEN("Not Functioning"))="Not Functioning"</formula>
    </cfRule>
    <cfRule type="containsText" dxfId="1053" priority="1134" operator="containsText" text="Functioning">
      <formula>NOT(ISERROR(SEARCH("Functioning",A210)))</formula>
    </cfRule>
  </conditionalFormatting>
  <conditionalFormatting sqref="A246:C246 G245 H271:J271 C244:J244 E246:I246">
    <cfRule type="beginsWith" dxfId="1052" priority="1129" stopIfTrue="1" operator="beginsWith" text="Functioning At Risk">
      <formula>LEFT(A244,LEN("Functioning At Risk"))="Functioning At Risk"</formula>
    </cfRule>
    <cfRule type="beginsWith" dxfId="1051" priority="1130" stopIfTrue="1" operator="beginsWith" text="Not Functioning">
      <formula>LEFT(A244,LEN("Not Functioning"))="Not Functioning"</formula>
    </cfRule>
    <cfRule type="containsText" dxfId="1050" priority="1131" operator="containsText" text="Functioning">
      <formula>NOT(ISERROR(SEARCH("Functioning",A244)))</formula>
    </cfRule>
  </conditionalFormatting>
  <conditionalFormatting sqref="A314:C314 G313 H339:J339 C312:J312 E314:I314">
    <cfRule type="beginsWith" dxfId="1049" priority="1123" stopIfTrue="1" operator="beginsWith" text="Functioning At Risk">
      <formula>LEFT(A312,LEN("Functioning At Risk"))="Functioning At Risk"</formula>
    </cfRule>
    <cfRule type="beginsWith" dxfId="1048" priority="1124" stopIfTrue="1" operator="beginsWith" text="Not Functioning">
      <formula>LEFT(A312,LEN("Not Functioning"))="Not Functioning"</formula>
    </cfRule>
    <cfRule type="containsText" dxfId="1047" priority="1125" operator="containsText" text="Functioning">
      <formula>NOT(ISERROR(SEARCH("Functioning",A312)))</formula>
    </cfRule>
  </conditionalFormatting>
  <conditionalFormatting sqref="J314">
    <cfRule type="beginsWith" dxfId="1046" priority="1096" stopIfTrue="1" operator="beginsWith" text="Functioning At Risk">
      <formula>LEFT(J314,LEN("Functioning At Risk"))="Functioning At Risk"</formula>
    </cfRule>
    <cfRule type="beginsWith" dxfId="1045" priority="1097" stopIfTrue="1" operator="beginsWith" text="Not Functioning">
      <formula>LEFT(J314,LEN("Not Functioning"))="Not Functioning"</formula>
    </cfRule>
    <cfRule type="containsText" dxfId="1044" priority="1098" operator="containsText" text="Functioning">
      <formula>NOT(ISERROR(SEARCH("Functioning",J314)))</formula>
    </cfRule>
  </conditionalFormatting>
  <conditionalFormatting sqref="F15">
    <cfRule type="beginsWith" dxfId="1043" priority="1090" stopIfTrue="1" operator="beginsWith" text="Functioning At Risk">
      <formula>LEFT(F15,LEN("Functioning At Risk"))="Functioning At Risk"</formula>
    </cfRule>
    <cfRule type="beginsWith" dxfId="1042" priority="1091" stopIfTrue="1" operator="beginsWith" text="Not Functioning">
      <formula>LEFT(F15,LEN("Not Functioning"))="Not Functioning"</formula>
    </cfRule>
    <cfRule type="containsText" dxfId="1041" priority="1092" operator="containsText" text="Functioning">
      <formula>NOT(ISERROR(SEARCH("Functioning",F15)))</formula>
    </cfRule>
  </conditionalFormatting>
  <conditionalFormatting sqref="F16 F12:F13">
    <cfRule type="beginsWith" dxfId="1040" priority="1093" stopIfTrue="1" operator="beginsWith" text="Functioning At Risk">
      <formula>LEFT(F12,LEN("Functioning At Risk"))="Functioning At Risk"</formula>
    </cfRule>
    <cfRule type="beginsWith" dxfId="1039" priority="1094" stopIfTrue="1" operator="beginsWith" text="Not Functioning">
      <formula>LEFT(F12,LEN("Not Functioning"))="Not Functioning"</formula>
    </cfRule>
    <cfRule type="containsText" dxfId="1038" priority="1095" operator="containsText" text="Functioning">
      <formula>NOT(ISERROR(SEARCH("Functioning",F12)))</formula>
    </cfRule>
  </conditionalFormatting>
  <conditionalFormatting sqref="H2:H5">
    <cfRule type="beginsWith" dxfId="1037" priority="1087" stopIfTrue="1" operator="beginsWith" text="Functioning At Risk">
      <formula>LEFT(H2,LEN("Functioning At Risk"))="Functioning At Risk"</formula>
    </cfRule>
    <cfRule type="beginsWith" dxfId="1036" priority="1088" stopIfTrue="1" operator="beginsWith" text="Not Functioning">
      <formula>LEFT(H2,LEN("Not Functioning"))="Not Functioning"</formula>
    </cfRule>
    <cfRule type="containsText" dxfId="1035" priority="1089" operator="containsText" text="Functioning">
      <formula>NOT(ISERROR(SEARCH("Functioning",H2)))</formula>
    </cfRule>
  </conditionalFormatting>
  <conditionalFormatting sqref="J2:J5">
    <cfRule type="beginsWith" dxfId="1034" priority="1084" stopIfTrue="1" operator="beginsWith" text="Functioning At Risk">
      <formula>LEFT(J2,LEN("Functioning At Risk"))="Functioning At Risk"</formula>
    </cfRule>
    <cfRule type="beginsWith" dxfId="1033" priority="1085" stopIfTrue="1" operator="beginsWith" text="Not Functioning">
      <formula>LEFT(J2,LEN("Not Functioning"))="Not Functioning"</formula>
    </cfRule>
    <cfRule type="containsText" dxfId="1032" priority="1086" operator="containsText" text="Functioning">
      <formula>NOT(ISERROR(SEARCH("Functioning",J2)))</formula>
    </cfRule>
  </conditionalFormatting>
  <conditionalFormatting sqref="C19:D19">
    <cfRule type="beginsWith" dxfId="1031" priority="1042" stopIfTrue="1" operator="beginsWith" text="Functioning At Risk">
      <formula>LEFT(C19,LEN("Functioning At Risk"))="Functioning At Risk"</formula>
    </cfRule>
    <cfRule type="beginsWith" dxfId="1030" priority="1043" stopIfTrue="1" operator="beginsWith" text="Not Functioning">
      <formula>LEFT(C19,LEN("Not Functioning"))="Not Functioning"</formula>
    </cfRule>
    <cfRule type="containsText" dxfId="1029" priority="1044" operator="containsText" text="Functioning">
      <formula>NOT(ISERROR(SEARCH("Functioning",C19)))</formula>
    </cfRule>
  </conditionalFormatting>
  <conditionalFormatting sqref="K19:K23">
    <cfRule type="beginsWith" dxfId="1028" priority="1045" stopIfTrue="1" operator="beginsWith" text="Functioning At Risk">
      <formula>LEFT(K19,LEN("Functioning At Risk"))="Functioning At Risk"</formula>
    </cfRule>
    <cfRule type="beginsWith" dxfId="1027" priority="1046" stopIfTrue="1" operator="beginsWith" text="Not Functioning">
      <formula>LEFT(K19,LEN("Not Functioning"))="Not Functioning"</formula>
    </cfRule>
    <cfRule type="containsText" dxfId="1026" priority="1047" operator="containsText" text="Functioning">
      <formula>NOT(ISERROR(SEARCH("Functioning",K19)))</formula>
    </cfRule>
  </conditionalFormatting>
  <conditionalFormatting sqref="H9:H10">
    <cfRule type="beginsWith" dxfId="1025" priority="1054" stopIfTrue="1" operator="beginsWith" text="Functioning At Risk">
      <formula>LEFT(H9,LEN("Functioning At Risk"))="Functioning At Risk"</formula>
    </cfRule>
    <cfRule type="beginsWith" dxfId="1024" priority="1055" stopIfTrue="1" operator="beginsWith" text="Not Functioning">
      <formula>LEFT(H9,LEN("Not Functioning"))="Not Functioning"</formula>
    </cfRule>
    <cfRule type="containsText" dxfId="1023" priority="1056" operator="containsText" text="Functioning">
      <formula>NOT(ISERROR(SEARCH("Functioning",H9)))</formula>
    </cfRule>
  </conditionalFormatting>
  <conditionalFormatting sqref="G3">
    <cfRule type="beginsWith" dxfId="1022" priority="1048" stopIfTrue="1" operator="beginsWith" text="Functioning At Risk">
      <formula>LEFT(G3,LEN("Functioning At Risk"))="Functioning At Risk"</formula>
    </cfRule>
    <cfRule type="beginsWith" dxfId="1021" priority="1049" stopIfTrue="1" operator="beginsWith" text="Not Functioning">
      <formula>LEFT(G3,LEN("Not Functioning"))="Not Functioning"</formula>
    </cfRule>
    <cfRule type="containsText" dxfId="1020" priority="1050" operator="containsText" text="Functioning">
      <formula>NOT(ISERROR(SEARCH("Functioning",G3)))</formula>
    </cfRule>
  </conditionalFormatting>
  <conditionalFormatting sqref="E2">
    <cfRule type="beginsWith" dxfId="1019" priority="1051" stopIfTrue="1" operator="beginsWith" text="Functioning At Risk">
      <formula>LEFT(E2,LEN("Functioning At Risk"))="Functioning At Risk"</formula>
    </cfRule>
    <cfRule type="beginsWith" dxfId="1018" priority="1052" stopIfTrue="1" operator="beginsWith" text="Not Functioning">
      <formula>LEFT(E2,LEN("Not Functioning"))="Not Functioning"</formula>
    </cfRule>
    <cfRule type="containsText" dxfId="1017" priority="1053" operator="containsText" text="Functioning">
      <formula>NOT(ISERROR(SEARCH("Functioning",E2)))</formula>
    </cfRule>
  </conditionalFormatting>
  <conditionalFormatting sqref="B20:D20 C21:D21 D22:D23">
    <cfRule type="beginsWith" dxfId="1016" priority="1039" stopIfTrue="1" operator="beginsWith" text="Functioning At Risk">
      <formula>LEFT(B20,LEN("Functioning At Risk"))="Functioning At Risk"</formula>
    </cfRule>
    <cfRule type="beginsWith" dxfId="1015" priority="1040" stopIfTrue="1" operator="beginsWith" text="Not Functioning">
      <formula>LEFT(B20,LEN("Not Functioning"))="Not Functioning"</formula>
    </cfRule>
    <cfRule type="containsText" dxfId="1014" priority="1041" operator="containsText" text="Functioning">
      <formula>NOT(ISERROR(SEARCH("Functioning",B20)))</formula>
    </cfRule>
  </conditionalFormatting>
  <conditionalFormatting sqref="C22">
    <cfRule type="beginsWith" dxfId="1013" priority="1036" stopIfTrue="1" operator="beginsWith" text="Functioning At Risk">
      <formula>LEFT(C22,LEN("Functioning At Risk"))="Functioning At Risk"</formula>
    </cfRule>
    <cfRule type="beginsWith" dxfId="1012" priority="1037" stopIfTrue="1" operator="beginsWith" text="Not Functioning">
      <formula>LEFT(C22,LEN("Not Functioning"))="Not Functioning"</formula>
    </cfRule>
    <cfRule type="containsText" dxfId="1011" priority="1038" operator="containsText" text="Functioning">
      <formula>NOT(ISERROR(SEARCH("Functioning",C22)))</formula>
    </cfRule>
  </conditionalFormatting>
  <conditionalFormatting sqref="C23">
    <cfRule type="beginsWith" dxfId="1010" priority="1033" stopIfTrue="1" operator="beginsWith" text="Functioning At Risk">
      <formula>LEFT(C23,LEN("Functioning At Risk"))="Functioning At Risk"</formula>
    </cfRule>
    <cfRule type="beginsWith" dxfId="1009" priority="1034" stopIfTrue="1" operator="beginsWith" text="Not Functioning">
      <formula>LEFT(C23,LEN("Not Functioning"))="Not Functioning"</formula>
    </cfRule>
    <cfRule type="containsText" dxfId="1008" priority="1035" operator="containsText" text="Functioning">
      <formula>NOT(ISERROR(SEARCH("Functioning",C23)))</formula>
    </cfRule>
  </conditionalFormatting>
  <conditionalFormatting sqref="G5">
    <cfRule type="beginsWith" dxfId="1007" priority="1030" stopIfTrue="1" operator="beginsWith" text="Functioning At Risk">
      <formula>LEFT(G5,LEN("Functioning At Risk"))="Functioning At Risk"</formula>
    </cfRule>
    <cfRule type="beginsWith" dxfId="1006" priority="1031" stopIfTrue="1" operator="beginsWith" text="Not Functioning">
      <formula>LEFT(G5,LEN("Not Functioning"))="Not Functioning"</formula>
    </cfRule>
    <cfRule type="containsText" dxfId="1005" priority="1032" operator="containsText" text="Functioning">
      <formula>NOT(ISERROR(SEARCH("Functioning",G5)))</formula>
    </cfRule>
  </conditionalFormatting>
  <conditionalFormatting sqref="G5">
    <cfRule type="beginsWith" dxfId="1004" priority="1027" stopIfTrue="1" operator="beginsWith" text="Functioning At Risk">
      <formula>LEFT(G5,LEN("Functioning At Risk"))="Functioning At Risk"</formula>
    </cfRule>
    <cfRule type="beginsWith" dxfId="1003" priority="1028" stopIfTrue="1" operator="beginsWith" text="Not Functioning">
      <formula>LEFT(G5,LEN("Not Functioning"))="Not Functioning"</formula>
    </cfRule>
    <cfRule type="containsText" dxfId="1002" priority="1029" operator="containsText" text="Functioning">
      <formula>NOT(ISERROR(SEARCH("Functioning",G5)))</formula>
    </cfRule>
  </conditionalFormatting>
  <conditionalFormatting sqref="G311">
    <cfRule type="beginsWith" dxfId="1001" priority="811" stopIfTrue="1" operator="beginsWith" text="Functioning At Risk">
      <formula>LEFT(G311,LEN("Functioning At Risk"))="Functioning At Risk"</formula>
    </cfRule>
    <cfRule type="beginsWith" dxfId="1000" priority="812" stopIfTrue="1" operator="beginsWith" text="Not Functioning">
      <formula>LEFT(G311,LEN("Not Functioning"))="Not Functioning"</formula>
    </cfRule>
    <cfRule type="containsText" dxfId="999" priority="813" operator="containsText" text="Functioning">
      <formula>NOT(ISERROR(SEARCH("Functioning",G311)))</formula>
    </cfRule>
  </conditionalFormatting>
  <conditionalFormatting sqref="A37:D38 A36 C36:D36 A39:C39">
    <cfRule type="beginsWith" dxfId="998" priority="1024" stopIfTrue="1" operator="beginsWith" text="Functioning At Risk">
      <formula>LEFT(A36,LEN("Functioning At Risk"))="Functioning At Risk"</formula>
    </cfRule>
    <cfRule type="beginsWith" dxfId="997" priority="1025" stopIfTrue="1" operator="beginsWith" text="Not Functioning">
      <formula>LEFT(A36,LEN("Not Functioning"))="Not Functioning"</formula>
    </cfRule>
    <cfRule type="containsText" dxfId="996" priority="1026" operator="containsText" text="Functioning">
      <formula>NOT(ISERROR(SEARCH("Functioning",A36)))</formula>
    </cfRule>
  </conditionalFormatting>
  <conditionalFormatting sqref="H36:H39">
    <cfRule type="beginsWith" dxfId="992" priority="1018" stopIfTrue="1" operator="beginsWith" text="Functioning At Risk">
      <formula>LEFT(H36,LEN("Functioning At Risk"))="Functioning At Risk"</formula>
    </cfRule>
    <cfRule type="beginsWith" dxfId="991" priority="1019" stopIfTrue="1" operator="beginsWith" text="Not Functioning">
      <formula>LEFT(H36,LEN("Not Functioning"))="Not Functioning"</formula>
    </cfRule>
    <cfRule type="containsText" dxfId="990" priority="1020" operator="containsText" text="Functioning">
      <formula>NOT(ISERROR(SEARCH("Functioning",H36)))</formula>
    </cfRule>
  </conditionalFormatting>
  <conditionalFormatting sqref="J36:J39">
    <cfRule type="beginsWith" dxfId="989" priority="1015" stopIfTrue="1" operator="beginsWith" text="Functioning At Risk">
      <formula>LEFT(J36,LEN("Functioning At Risk"))="Functioning At Risk"</formula>
    </cfRule>
    <cfRule type="beginsWith" dxfId="988" priority="1016" stopIfTrue="1" operator="beginsWith" text="Not Functioning">
      <formula>LEFT(J36,LEN("Not Functioning"))="Not Functioning"</formula>
    </cfRule>
    <cfRule type="containsText" dxfId="987" priority="1017" operator="containsText" text="Functioning">
      <formula>NOT(ISERROR(SEARCH("Functioning",J36)))</formula>
    </cfRule>
  </conditionalFormatting>
  <conditionalFormatting sqref="E36">
    <cfRule type="beginsWith" dxfId="986" priority="1012" stopIfTrue="1" operator="beginsWith" text="Functioning At Risk">
      <formula>LEFT(E36,LEN("Functioning At Risk"))="Functioning At Risk"</formula>
    </cfRule>
    <cfRule type="beginsWith" dxfId="985" priority="1013" stopIfTrue="1" operator="beginsWith" text="Not Functioning">
      <formula>LEFT(E36,LEN("Not Functioning"))="Not Functioning"</formula>
    </cfRule>
    <cfRule type="containsText" dxfId="984" priority="1014" operator="containsText" text="Functioning">
      <formula>NOT(ISERROR(SEARCH("Functioning",E36)))</formula>
    </cfRule>
  </conditionalFormatting>
  <conditionalFormatting sqref="G37">
    <cfRule type="beginsWith" dxfId="983" priority="1009" stopIfTrue="1" operator="beginsWith" text="Functioning At Risk">
      <formula>LEFT(G37,LEN("Functioning At Risk"))="Functioning At Risk"</formula>
    </cfRule>
    <cfRule type="beginsWith" dxfId="982" priority="1010" stopIfTrue="1" operator="beginsWith" text="Not Functioning">
      <formula>LEFT(G37,LEN("Not Functioning"))="Not Functioning"</formula>
    </cfRule>
    <cfRule type="containsText" dxfId="981" priority="1011" operator="containsText" text="Functioning">
      <formula>NOT(ISERROR(SEARCH("Functioning",G37)))</formula>
    </cfRule>
  </conditionalFormatting>
  <conditionalFormatting sqref="G39">
    <cfRule type="beginsWith" dxfId="980" priority="1006" stopIfTrue="1" operator="beginsWith" text="Functioning At Risk">
      <formula>LEFT(G39,LEN("Functioning At Risk"))="Functioning At Risk"</formula>
    </cfRule>
    <cfRule type="beginsWith" dxfId="979" priority="1007" stopIfTrue="1" operator="beginsWith" text="Not Functioning">
      <formula>LEFT(G39,LEN("Not Functioning"))="Not Functioning"</formula>
    </cfRule>
    <cfRule type="containsText" dxfId="978" priority="1008" operator="containsText" text="Functioning">
      <formula>NOT(ISERROR(SEARCH("Functioning",G39)))</formula>
    </cfRule>
  </conditionalFormatting>
  <conditionalFormatting sqref="G39">
    <cfRule type="beginsWith" dxfId="977" priority="1003" stopIfTrue="1" operator="beginsWith" text="Functioning At Risk">
      <formula>LEFT(G39,LEN("Functioning At Risk"))="Functioning At Risk"</formula>
    </cfRule>
    <cfRule type="beginsWith" dxfId="976" priority="1004" stopIfTrue="1" operator="beginsWith" text="Not Functioning">
      <formula>LEFT(G39,LEN("Not Functioning"))="Not Functioning"</formula>
    </cfRule>
    <cfRule type="containsText" dxfId="975" priority="1005" operator="containsText" text="Functioning">
      <formula>NOT(ISERROR(SEARCH("Functioning",G39)))</formula>
    </cfRule>
  </conditionalFormatting>
  <conditionalFormatting sqref="A70:D72 A73:C73">
    <cfRule type="beginsWith" dxfId="974" priority="1000" stopIfTrue="1" operator="beginsWith" text="Functioning At Risk">
      <formula>LEFT(A70,LEN("Functioning At Risk"))="Functioning At Risk"</formula>
    </cfRule>
    <cfRule type="beginsWith" dxfId="973" priority="1001" stopIfTrue="1" operator="beginsWith" text="Not Functioning">
      <formula>LEFT(A70,LEN("Not Functioning"))="Not Functioning"</formula>
    </cfRule>
    <cfRule type="containsText" dxfId="972" priority="1002" operator="containsText" text="Functioning">
      <formula>NOT(ISERROR(SEARCH("Functioning",A70)))</formula>
    </cfRule>
  </conditionalFormatting>
  <conditionalFormatting sqref="H70:H73">
    <cfRule type="beginsWith" dxfId="968" priority="994" stopIfTrue="1" operator="beginsWith" text="Functioning At Risk">
      <formula>LEFT(H70,LEN("Functioning At Risk"))="Functioning At Risk"</formula>
    </cfRule>
    <cfRule type="beginsWith" dxfId="967" priority="995" stopIfTrue="1" operator="beginsWith" text="Not Functioning">
      <formula>LEFT(H70,LEN("Not Functioning"))="Not Functioning"</formula>
    </cfRule>
    <cfRule type="containsText" dxfId="966" priority="996" operator="containsText" text="Functioning">
      <formula>NOT(ISERROR(SEARCH("Functioning",H70)))</formula>
    </cfRule>
  </conditionalFormatting>
  <conditionalFormatting sqref="J70:J73">
    <cfRule type="beginsWith" dxfId="965" priority="991" stopIfTrue="1" operator="beginsWith" text="Functioning At Risk">
      <formula>LEFT(J70,LEN("Functioning At Risk"))="Functioning At Risk"</formula>
    </cfRule>
    <cfRule type="beginsWith" dxfId="964" priority="992" stopIfTrue="1" operator="beginsWith" text="Not Functioning">
      <formula>LEFT(J70,LEN("Not Functioning"))="Not Functioning"</formula>
    </cfRule>
    <cfRule type="containsText" dxfId="963" priority="993" operator="containsText" text="Functioning">
      <formula>NOT(ISERROR(SEARCH("Functioning",J70)))</formula>
    </cfRule>
  </conditionalFormatting>
  <conditionalFormatting sqref="E206">
    <cfRule type="beginsWith" dxfId="962" priority="892" stopIfTrue="1" operator="beginsWith" text="Functioning At Risk">
      <formula>LEFT(E206,LEN("Functioning At Risk"))="Functioning At Risk"</formula>
    </cfRule>
    <cfRule type="beginsWith" dxfId="961" priority="893" stopIfTrue="1" operator="beginsWith" text="Not Functioning">
      <formula>LEFT(E206,LEN("Not Functioning"))="Not Functioning"</formula>
    </cfRule>
    <cfRule type="containsText" dxfId="960" priority="894" operator="containsText" text="Functioning">
      <formula>NOT(ISERROR(SEARCH("Functioning",E206)))</formula>
    </cfRule>
  </conditionalFormatting>
  <conditionalFormatting sqref="E70">
    <cfRule type="beginsWith" dxfId="959" priority="988" stopIfTrue="1" operator="beginsWith" text="Functioning At Risk">
      <formula>LEFT(E70,LEN("Functioning At Risk"))="Functioning At Risk"</formula>
    </cfRule>
    <cfRule type="beginsWith" dxfId="958" priority="989" stopIfTrue="1" operator="beginsWith" text="Not Functioning">
      <formula>LEFT(E70,LEN("Not Functioning"))="Not Functioning"</formula>
    </cfRule>
    <cfRule type="containsText" dxfId="957" priority="990" operator="containsText" text="Functioning">
      <formula>NOT(ISERROR(SEARCH("Functioning",E70)))</formula>
    </cfRule>
  </conditionalFormatting>
  <conditionalFormatting sqref="G71">
    <cfRule type="beginsWith" dxfId="956" priority="985" stopIfTrue="1" operator="beginsWith" text="Functioning At Risk">
      <formula>LEFT(G71,LEN("Functioning At Risk"))="Functioning At Risk"</formula>
    </cfRule>
    <cfRule type="beginsWith" dxfId="955" priority="986" stopIfTrue="1" operator="beginsWith" text="Not Functioning">
      <formula>LEFT(G71,LEN("Not Functioning"))="Not Functioning"</formula>
    </cfRule>
    <cfRule type="containsText" dxfId="954" priority="987" operator="containsText" text="Functioning">
      <formula>NOT(ISERROR(SEARCH("Functioning",G71)))</formula>
    </cfRule>
  </conditionalFormatting>
  <conditionalFormatting sqref="G73">
    <cfRule type="beginsWith" dxfId="953" priority="982" stopIfTrue="1" operator="beginsWith" text="Functioning At Risk">
      <formula>LEFT(G73,LEN("Functioning At Risk"))="Functioning At Risk"</formula>
    </cfRule>
    <cfRule type="beginsWith" dxfId="952" priority="983" stopIfTrue="1" operator="beginsWith" text="Not Functioning">
      <formula>LEFT(G73,LEN("Not Functioning"))="Not Functioning"</formula>
    </cfRule>
    <cfRule type="containsText" dxfId="951" priority="984" operator="containsText" text="Functioning">
      <formula>NOT(ISERROR(SEARCH("Functioning",G73)))</formula>
    </cfRule>
  </conditionalFormatting>
  <conditionalFormatting sqref="G73">
    <cfRule type="beginsWith" dxfId="950" priority="979" stopIfTrue="1" operator="beginsWith" text="Functioning At Risk">
      <formula>LEFT(G73,LEN("Functioning At Risk"))="Functioning At Risk"</formula>
    </cfRule>
    <cfRule type="beginsWith" dxfId="949" priority="980" stopIfTrue="1" operator="beginsWith" text="Not Functioning">
      <formula>LEFT(G73,LEN("Not Functioning"))="Not Functioning"</formula>
    </cfRule>
    <cfRule type="containsText" dxfId="948" priority="981" operator="containsText" text="Functioning">
      <formula>NOT(ISERROR(SEARCH("Functioning",G73)))</formula>
    </cfRule>
  </conditionalFormatting>
  <conditionalFormatting sqref="A104:D106 A107:C107">
    <cfRule type="beginsWith" dxfId="947" priority="976" stopIfTrue="1" operator="beginsWith" text="Functioning At Risk">
      <formula>LEFT(A104,LEN("Functioning At Risk"))="Functioning At Risk"</formula>
    </cfRule>
    <cfRule type="beginsWith" dxfId="946" priority="977" stopIfTrue="1" operator="beginsWith" text="Not Functioning">
      <formula>LEFT(A104,LEN("Not Functioning"))="Not Functioning"</formula>
    </cfRule>
    <cfRule type="containsText" dxfId="945" priority="978" operator="containsText" text="Functioning">
      <formula>NOT(ISERROR(SEARCH("Functioning",A104)))</formula>
    </cfRule>
  </conditionalFormatting>
  <conditionalFormatting sqref="H104:H107">
    <cfRule type="beginsWith" dxfId="941" priority="970" stopIfTrue="1" operator="beginsWith" text="Functioning At Risk">
      <formula>LEFT(H104,LEN("Functioning At Risk"))="Functioning At Risk"</formula>
    </cfRule>
    <cfRule type="beginsWith" dxfId="940" priority="971" stopIfTrue="1" operator="beginsWith" text="Not Functioning">
      <formula>LEFT(H104,LEN("Not Functioning"))="Not Functioning"</formula>
    </cfRule>
    <cfRule type="containsText" dxfId="939" priority="972" operator="containsText" text="Functioning">
      <formula>NOT(ISERROR(SEARCH("Functioning",H104)))</formula>
    </cfRule>
  </conditionalFormatting>
  <conditionalFormatting sqref="J104:J107">
    <cfRule type="beginsWith" dxfId="938" priority="967" stopIfTrue="1" operator="beginsWith" text="Functioning At Risk">
      <formula>LEFT(J104,LEN("Functioning At Risk"))="Functioning At Risk"</formula>
    </cfRule>
    <cfRule type="beginsWith" dxfId="937" priority="968" stopIfTrue="1" operator="beginsWith" text="Not Functioning">
      <formula>LEFT(J104,LEN("Not Functioning"))="Not Functioning"</formula>
    </cfRule>
    <cfRule type="containsText" dxfId="936" priority="969" operator="containsText" text="Functioning">
      <formula>NOT(ISERROR(SEARCH("Functioning",J104)))</formula>
    </cfRule>
  </conditionalFormatting>
  <conditionalFormatting sqref="H240:H243">
    <cfRule type="beginsWith" dxfId="935" priority="874" stopIfTrue="1" operator="beginsWith" text="Functioning At Risk">
      <formula>LEFT(H240,LEN("Functioning At Risk"))="Functioning At Risk"</formula>
    </cfRule>
    <cfRule type="beginsWith" dxfId="934" priority="875" stopIfTrue="1" operator="beginsWith" text="Not Functioning">
      <formula>LEFT(H240,LEN("Not Functioning"))="Not Functioning"</formula>
    </cfRule>
    <cfRule type="containsText" dxfId="933" priority="876" operator="containsText" text="Functioning">
      <formula>NOT(ISERROR(SEARCH("Functioning",H240)))</formula>
    </cfRule>
  </conditionalFormatting>
  <conditionalFormatting sqref="E104">
    <cfRule type="beginsWith" dxfId="932" priority="964" stopIfTrue="1" operator="beginsWith" text="Functioning At Risk">
      <formula>LEFT(E104,LEN("Functioning At Risk"))="Functioning At Risk"</formula>
    </cfRule>
    <cfRule type="beginsWith" dxfId="931" priority="965" stopIfTrue="1" operator="beginsWith" text="Not Functioning">
      <formula>LEFT(E104,LEN("Not Functioning"))="Not Functioning"</formula>
    </cfRule>
    <cfRule type="containsText" dxfId="930" priority="966" operator="containsText" text="Functioning">
      <formula>NOT(ISERROR(SEARCH("Functioning",E104)))</formula>
    </cfRule>
  </conditionalFormatting>
  <conditionalFormatting sqref="G105">
    <cfRule type="beginsWith" dxfId="929" priority="961" stopIfTrue="1" operator="beginsWith" text="Functioning At Risk">
      <formula>LEFT(G105,LEN("Functioning At Risk"))="Functioning At Risk"</formula>
    </cfRule>
    <cfRule type="beginsWith" dxfId="928" priority="962" stopIfTrue="1" operator="beginsWith" text="Not Functioning">
      <formula>LEFT(G105,LEN("Not Functioning"))="Not Functioning"</formula>
    </cfRule>
    <cfRule type="containsText" dxfId="927" priority="963" operator="containsText" text="Functioning">
      <formula>NOT(ISERROR(SEARCH("Functioning",G105)))</formula>
    </cfRule>
  </conditionalFormatting>
  <conditionalFormatting sqref="G107">
    <cfRule type="beginsWith" dxfId="926" priority="958" stopIfTrue="1" operator="beginsWith" text="Functioning At Risk">
      <formula>LEFT(G107,LEN("Functioning At Risk"))="Functioning At Risk"</formula>
    </cfRule>
    <cfRule type="beginsWith" dxfId="925" priority="959" stopIfTrue="1" operator="beginsWith" text="Not Functioning">
      <formula>LEFT(G107,LEN("Not Functioning"))="Not Functioning"</formula>
    </cfRule>
    <cfRule type="containsText" dxfId="924" priority="960" operator="containsText" text="Functioning">
      <formula>NOT(ISERROR(SEARCH("Functioning",G107)))</formula>
    </cfRule>
  </conditionalFormatting>
  <conditionalFormatting sqref="G107">
    <cfRule type="beginsWith" dxfId="923" priority="955" stopIfTrue="1" operator="beginsWith" text="Functioning At Risk">
      <formula>LEFT(G107,LEN("Functioning At Risk"))="Functioning At Risk"</formula>
    </cfRule>
    <cfRule type="beginsWith" dxfId="922" priority="956" stopIfTrue="1" operator="beginsWith" text="Not Functioning">
      <formula>LEFT(G107,LEN("Not Functioning"))="Not Functioning"</formula>
    </cfRule>
    <cfRule type="containsText" dxfId="921" priority="957" operator="containsText" text="Functioning">
      <formula>NOT(ISERROR(SEARCH("Functioning",G107)))</formula>
    </cfRule>
  </conditionalFormatting>
  <conditionalFormatting sqref="A138:D140 A141:C141">
    <cfRule type="beginsWith" dxfId="920" priority="952" stopIfTrue="1" operator="beginsWith" text="Functioning At Risk">
      <formula>LEFT(A138,LEN("Functioning At Risk"))="Functioning At Risk"</formula>
    </cfRule>
    <cfRule type="beginsWith" dxfId="919" priority="953" stopIfTrue="1" operator="beginsWith" text="Not Functioning">
      <formula>LEFT(A138,LEN("Not Functioning"))="Not Functioning"</formula>
    </cfRule>
    <cfRule type="containsText" dxfId="918" priority="954" operator="containsText" text="Functioning">
      <formula>NOT(ISERROR(SEARCH("Functioning",A138)))</formula>
    </cfRule>
  </conditionalFormatting>
  <conditionalFormatting sqref="H138:H141">
    <cfRule type="beginsWith" dxfId="914" priority="946" stopIfTrue="1" operator="beginsWith" text="Functioning At Risk">
      <formula>LEFT(H138,LEN("Functioning At Risk"))="Functioning At Risk"</formula>
    </cfRule>
    <cfRule type="beginsWith" dxfId="913" priority="947" stopIfTrue="1" operator="beginsWith" text="Not Functioning">
      <formula>LEFT(H138,LEN("Not Functioning"))="Not Functioning"</formula>
    </cfRule>
    <cfRule type="containsText" dxfId="912" priority="948" operator="containsText" text="Functioning">
      <formula>NOT(ISERROR(SEARCH("Functioning",H138)))</formula>
    </cfRule>
  </conditionalFormatting>
  <conditionalFormatting sqref="J138:J141">
    <cfRule type="beginsWith" dxfId="911" priority="943" stopIfTrue="1" operator="beginsWith" text="Functioning At Risk">
      <formula>LEFT(J138,LEN("Functioning At Risk"))="Functioning At Risk"</formula>
    </cfRule>
    <cfRule type="beginsWith" dxfId="910" priority="944" stopIfTrue="1" operator="beginsWith" text="Not Functioning">
      <formula>LEFT(J138,LEN("Not Functioning"))="Not Functioning"</formula>
    </cfRule>
    <cfRule type="containsText" dxfId="909" priority="945" operator="containsText" text="Functioning">
      <formula>NOT(ISERROR(SEARCH("Functioning",J138)))</formula>
    </cfRule>
  </conditionalFormatting>
  <conditionalFormatting sqref="A274:D276 A277:C277">
    <cfRule type="beginsWith" dxfId="908" priority="856" stopIfTrue="1" operator="beginsWith" text="Functioning At Risk">
      <formula>LEFT(A274,LEN("Functioning At Risk"))="Functioning At Risk"</formula>
    </cfRule>
    <cfRule type="beginsWith" dxfId="907" priority="857" stopIfTrue="1" operator="beginsWith" text="Not Functioning">
      <formula>LEFT(A274,LEN("Not Functioning"))="Not Functioning"</formula>
    </cfRule>
    <cfRule type="containsText" dxfId="906" priority="858" operator="containsText" text="Functioning">
      <formula>NOT(ISERROR(SEARCH("Functioning",A274)))</formula>
    </cfRule>
  </conditionalFormatting>
  <conditionalFormatting sqref="E138">
    <cfRule type="beginsWith" dxfId="905" priority="940" stopIfTrue="1" operator="beginsWith" text="Functioning At Risk">
      <formula>LEFT(E138,LEN("Functioning At Risk"))="Functioning At Risk"</formula>
    </cfRule>
    <cfRule type="beginsWith" dxfId="904" priority="941" stopIfTrue="1" operator="beginsWith" text="Not Functioning">
      <formula>LEFT(E138,LEN("Not Functioning"))="Not Functioning"</formula>
    </cfRule>
    <cfRule type="containsText" dxfId="903" priority="942" operator="containsText" text="Functioning">
      <formula>NOT(ISERROR(SEARCH("Functioning",E138)))</formula>
    </cfRule>
  </conditionalFormatting>
  <conditionalFormatting sqref="G139">
    <cfRule type="beginsWith" dxfId="902" priority="937" stopIfTrue="1" operator="beginsWith" text="Functioning At Risk">
      <formula>LEFT(G139,LEN("Functioning At Risk"))="Functioning At Risk"</formula>
    </cfRule>
    <cfRule type="beginsWith" dxfId="901" priority="938" stopIfTrue="1" operator="beginsWith" text="Not Functioning">
      <formula>LEFT(G139,LEN("Not Functioning"))="Not Functioning"</formula>
    </cfRule>
    <cfRule type="containsText" dxfId="900" priority="939" operator="containsText" text="Functioning">
      <formula>NOT(ISERROR(SEARCH("Functioning",G139)))</formula>
    </cfRule>
  </conditionalFormatting>
  <conditionalFormatting sqref="G141">
    <cfRule type="beginsWith" dxfId="899" priority="934" stopIfTrue="1" operator="beginsWith" text="Functioning At Risk">
      <formula>LEFT(G141,LEN("Functioning At Risk"))="Functioning At Risk"</formula>
    </cfRule>
    <cfRule type="beginsWith" dxfId="898" priority="935" stopIfTrue="1" operator="beginsWith" text="Not Functioning">
      <formula>LEFT(G141,LEN("Not Functioning"))="Not Functioning"</formula>
    </cfRule>
    <cfRule type="containsText" dxfId="897" priority="936" operator="containsText" text="Functioning">
      <formula>NOT(ISERROR(SEARCH("Functioning",G141)))</formula>
    </cfRule>
  </conditionalFormatting>
  <conditionalFormatting sqref="G141">
    <cfRule type="beginsWith" dxfId="896" priority="931" stopIfTrue="1" operator="beginsWith" text="Functioning At Risk">
      <formula>LEFT(G141,LEN("Functioning At Risk"))="Functioning At Risk"</formula>
    </cfRule>
    <cfRule type="beginsWith" dxfId="895" priority="932" stopIfTrue="1" operator="beginsWith" text="Not Functioning">
      <formula>LEFT(G141,LEN("Not Functioning"))="Not Functioning"</formula>
    </cfRule>
    <cfRule type="containsText" dxfId="894" priority="933" operator="containsText" text="Functioning">
      <formula>NOT(ISERROR(SEARCH("Functioning",G141)))</formula>
    </cfRule>
  </conditionalFormatting>
  <conditionalFormatting sqref="A172:D174 A175:C175">
    <cfRule type="beginsWith" dxfId="893" priority="928" stopIfTrue="1" operator="beginsWith" text="Functioning At Risk">
      <formula>LEFT(A172,LEN("Functioning At Risk"))="Functioning At Risk"</formula>
    </cfRule>
    <cfRule type="beginsWith" dxfId="892" priority="929" stopIfTrue="1" operator="beginsWith" text="Not Functioning">
      <formula>LEFT(A172,LEN("Not Functioning"))="Not Functioning"</formula>
    </cfRule>
    <cfRule type="containsText" dxfId="891" priority="930" operator="containsText" text="Functioning">
      <formula>NOT(ISERROR(SEARCH("Functioning",A172)))</formula>
    </cfRule>
  </conditionalFormatting>
  <conditionalFormatting sqref="H172:H175">
    <cfRule type="beginsWith" dxfId="887" priority="922" stopIfTrue="1" operator="beginsWith" text="Functioning At Risk">
      <formula>LEFT(H172,LEN("Functioning At Risk"))="Functioning At Risk"</formula>
    </cfRule>
    <cfRule type="beginsWith" dxfId="886" priority="923" stopIfTrue="1" operator="beginsWith" text="Not Functioning">
      <formula>LEFT(H172,LEN("Not Functioning"))="Not Functioning"</formula>
    </cfRule>
    <cfRule type="containsText" dxfId="885" priority="924" operator="containsText" text="Functioning">
      <formula>NOT(ISERROR(SEARCH("Functioning",H172)))</formula>
    </cfRule>
  </conditionalFormatting>
  <conditionalFormatting sqref="J172:J175">
    <cfRule type="beginsWith" dxfId="884" priority="919" stopIfTrue="1" operator="beginsWith" text="Functioning At Risk">
      <formula>LEFT(J172,LEN("Functioning At Risk"))="Functioning At Risk"</formula>
    </cfRule>
    <cfRule type="beginsWith" dxfId="883" priority="920" stopIfTrue="1" operator="beginsWith" text="Not Functioning">
      <formula>LEFT(J172,LEN("Not Functioning"))="Not Functioning"</formula>
    </cfRule>
    <cfRule type="containsText" dxfId="882" priority="921" operator="containsText" text="Functioning">
      <formula>NOT(ISERROR(SEARCH("Functioning",J172)))</formula>
    </cfRule>
  </conditionalFormatting>
  <conditionalFormatting sqref="G277">
    <cfRule type="beginsWith" dxfId="881" priority="838" stopIfTrue="1" operator="beginsWith" text="Functioning At Risk">
      <formula>LEFT(G277,LEN("Functioning At Risk"))="Functioning At Risk"</formula>
    </cfRule>
    <cfRule type="beginsWith" dxfId="880" priority="839" stopIfTrue="1" operator="beginsWith" text="Not Functioning">
      <formula>LEFT(G277,LEN("Not Functioning"))="Not Functioning"</formula>
    </cfRule>
    <cfRule type="containsText" dxfId="879" priority="840" operator="containsText" text="Functioning">
      <formula>NOT(ISERROR(SEARCH("Functioning",G277)))</formula>
    </cfRule>
  </conditionalFormatting>
  <conditionalFormatting sqref="E172">
    <cfRule type="beginsWith" dxfId="878" priority="916" stopIfTrue="1" operator="beginsWith" text="Functioning At Risk">
      <formula>LEFT(E172,LEN("Functioning At Risk"))="Functioning At Risk"</formula>
    </cfRule>
    <cfRule type="beginsWith" dxfId="877" priority="917" stopIfTrue="1" operator="beginsWith" text="Not Functioning">
      <formula>LEFT(E172,LEN("Not Functioning"))="Not Functioning"</formula>
    </cfRule>
    <cfRule type="containsText" dxfId="876" priority="918" operator="containsText" text="Functioning">
      <formula>NOT(ISERROR(SEARCH("Functioning",E172)))</formula>
    </cfRule>
  </conditionalFormatting>
  <conditionalFormatting sqref="G173">
    <cfRule type="beginsWith" dxfId="875" priority="913" stopIfTrue="1" operator="beginsWith" text="Functioning At Risk">
      <formula>LEFT(G173,LEN("Functioning At Risk"))="Functioning At Risk"</formula>
    </cfRule>
    <cfRule type="beginsWith" dxfId="874" priority="914" stopIfTrue="1" operator="beginsWith" text="Not Functioning">
      <formula>LEFT(G173,LEN("Not Functioning"))="Not Functioning"</formula>
    </cfRule>
    <cfRule type="containsText" dxfId="873" priority="915" operator="containsText" text="Functioning">
      <formula>NOT(ISERROR(SEARCH("Functioning",G173)))</formula>
    </cfRule>
  </conditionalFormatting>
  <conditionalFormatting sqref="G175">
    <cfRule type="beginsWith" dxfId="872" priority="910" stopIfTrue="1" operator="beginsWith" text="Functioning At Risk">
      <formula>LEFT(G175,LEN("Functioning At Risk"))="Functioning At Risk"</formula>
    </cfRule>
    <cfRule type="beginsWith" dxfId="871" priority="911" stopIfTrue="1" operator="beginsWith" text="Not Functioning">
      <formula>LEFT(G175,LEN("Not Functioning"))="Not Functioning"</formula>
    </cfRule>
    <cfRule type="containsText" dxfId="870" priority="912" operator="containsText" text="Functioning">
      <formula>NOT(ISERROR(SEARCH("Functioning",G175)))</formula>
    </cfRule>
  </conditionalFormatting>
  <conditionalFormatting sqref="G175">
    <cfRule type="beginsWith" dxfId="869" priority="907" stopIfTrue="1" operator="beginsWith" text="Functioning At Risk">
      <formula>LEFT(G175,LEN("Functioning At Risk"))="Functioning At Risk"</formula>
    </cfRule>
    <cfRule type="beginsWith" dxfId="868" priority="908" stopIfTrue="1" operator="beginsWith" text="Not Functioning">
      <formula>LEFT(G175,LEN("Not Functioning"))="Not Functioning"</formula>
    </cfRule>
    <cfRule type="containsText" dxfId="867" priority="909" operator="containsText" text="Functioning">
      <formula>NOT(ISERROR(SEARCH("Functioning",G175)))</formula>
    </cfRule>
  </conditionalFormatting>
  <conditionalFormatting sqref="A206:D208 A209:C209">
    <cfRule type="beginsWith" dxfId="866" priority="904" stopIfTrue="1" operator="beginsWith" text="Functioning At Risk">
      <formula>LEFT(A206,LEN("Functioning At Risk"))="Functioning At Risk"</formula>
    </cfRule>
    <cfRule type="beginsWith" dxfId="865" priority="905" stopIfTrue="1" operator="beginsWith" text="Not Functioning">
      <formula>LEFT(A206,LEN("Not Functioning"))="Not Functioning"</formula>
    </cfRule>
    <cfRule type="containsText" dxfId="864" priority="906" operator="containsText" text="Functioning">
      <formula>NOT(ISERROR(SEARCH("Functioning",A206)))</formula>
    </cfRule>
  </conditionalFormatting>
  <conditionalFormatting sqref="H206:H209">
    <cfRule type="beginsWith" dxfId="860" priority="898" stopIfTrue="1" operator="beginsWith" text="Functioning At Risk">
      <formula>LEFT(H206,LEN("Functioning At Risk"))="Functioning At Risk"</formula>
    </cfRule>
    <cfRule type="beginsWith" dxfId="859" priority="899" stopIfTrue="1" operator="beginsWith" text="Not Functioning">
      <formula>LEFT(H206,LEN("Not Functioning"))="Not Functioning"</formula>
    </cfRule>
    <cfRule type="containsText" dxfId="858" priority="900" operator="containsText" text="Functioning">
      <formula>NOT(ISERROR(SEARCH("Functioning",H206)))</formula>
    </cfRule>
  </conditionalFormatting>
  <conditionalFormatting sqref="J206:J209">
    <cfRule type="beginsWith" dxfId="857" priority="895" stopIfTrue="1" operator="beginsWith" text="Functioning At Risk">
      <formula>LEFT(J206,LEN("Functioning At Risk"))="Functioning At Risk"</formula>
    </cfRule>
    <cfRule type="beginsWith" dxfId="856" priority="896" stopIfTrue="1" operator="beginsWith" text="Not Functioning">
      <formula>LEFT(J206,LEN("Not Functioning"))="Not Functioning"</formula>
    </cfRule>
    <cfRule type="containsText" dxfId="855" priority="897" operator="containsText" text="Functioning">
      <formula>NOT(ISERROR(SEARCH("Functioning",J206)))</formula>
    </cfRule>
  </conditionalFormatting>
  <conditionalFormatting sqref="G309">
    <cfRule type="beginsWith" dxfId="854" priority="817" stopIfTrue="1" operator="beginsWith" text="Functioning At Risk">
      <formula>LEFT(G309,LEN("Functioning At Risk"))="Functioning At Risk"</formula>
    </cfRule>
    <cfRule type="beginsWith" dxfId="853" priority="818" stopIfTrue="1" operator="beginsWith" text="Not Functioning">
      <formula>LEFT(G309,LEN("Not Functioning"))="Not Functioning"</formula>
    </cfRule>
    <cfRule type="containsText" dxfId="852" priority="819" operator="containsText" text="Functioning">
      <formula>NOT(ISERROR(SEARCH("Functioning",G309)))</formula>
    </cfRule>
  </conditionalFormatting>
  <conditionalFormatting sqref="G207">
    <cfRule type="beginsWith" dxfId="851" priority="889" stopIfTrue="1" operator="beginsWith" text="Functioning At Risk">
      <formula>LEFT(G207,LEN("Functioning At Risk"))="Functioning At Risk"</formula>
    </cfRule>
    <cfRule type="beginsWith" dxfId="850" priority="890" stopIfTrue="1" operator="beginsWith" text="Not Functioning">
      <formula>LEFT(G207,LEN("Not Functioning"))="Not Functioning"</formula>
    </cfRule>
    <cfRule type="containsText" dxfId="849" priority="891" operator="containsText" text="Functioning">
      <formula>NOT(ISERROR(SEARCH("Functioning",G207)))</formula>
    </cfRule>
  </conditionalFormatting>
  <conditionalFormatting sqref="G209">
    <cfRule type="beginsWith" dxfId="848" priority="886" stopIfTrue="1" operator="beginsWith" text="Functioning At Risk">
      <formula>LEFT(G209,LEN("Functioning At Risk"))="Functioning At Risk"</formula>
    </cfRule>
    <cfRule type="beginsWith" dxfId="847" priority="887" stopIfTrue="1" operator="beginsWith" text="Not Functioning">
      <formula>LEFT(G209,LEN("Not Functioning"))="Not Functioning"</formula>
    </cfRule>
    <cfRule type="containsText" dxfId="846" priority="888" operator="containsText" text="Functioning">
      <formula>NOT(ISERROR(SEARCH("Functioning",G209)))</formula>
    </cfRule>
  </conditionalFormatting>
  <conditionalFormatting sqref="G209">
    <cfRule type="beginsWith" dxfId="845" priority="883" stopIfTrue="1" operator="beginsWith" text="Functioning At Risk">
      <formula>LEFT(G209,LEN("Functioning At Risk"))="Functioning At Risk"</formula>
    </cfRule>
    <cfRule type="beginsWith" dxfId="844" priority="884" stopIfTrue="1" operator="beginsWith" text="Not Functioning">
      <formula>LEFT(G209,LEN("Not Functioning"))="Not Functioning"</formula>
    </cfRule>
    <cfRule type="containsText" dxfId="843" priority="885" operator="containsText" text="Functioning">
      <formula>NOT(ISERROR(SEARCH("Functioning",G209)))</formula>
    </cfRule>
  </conditionalFormatting>
  <conditionalFormatting sqref="A240:D242 A243:C243">
    <cfRule type="beginsWith" dxfId="842" priority="880" stopIfTrue="1" operator="beginsWith" text="Functioning At Risk">
      <formula>LEFT(A240,LEN("Functioning At Risk"))="Functioning At Risk"</formula>
    </cfRule>
    <cfRule type="beginsWith" dxfId="841" priority="881" stopIfTrue="1" operator="beginsWith" text="Not Functioning">
      <formula>LEFT(A240,LEN("Not Functioning"))="Not Functioning"</formula>
    </cfRule>
    <cfRule type="containsText" dxfId="840" priority="882" operator="containsText" text="Functioning">
      <formula>NOT(ISERROR(SEARCH("Functioning",A240)))</formula>
    </cfRule>
  </conditionalFormatting>
  <conditionalFormatting sqref="J240:J243">
    <cfRule type="beginsWith" dxfId="836" priority="871" stopIfTrue="1" operator="beginsWith" text="Functioning At Risk">
      <formula>LEFT(J240,LEN("Functioning At Risk"))="Functioning At Risk"</formula>
    </cfRule>
    <cfRule type="beginsWith" dxfId="835" priority="872" stopIfTrue="1" operator="beginsWith" text="Not Functioning">
      <formula>LEFT(J240,LEN("Not Functioning"))="Not Functioning"</formula>
    </cfRule>
    <cfRule type="containsText" dxfId="834" priority="873" operator="containsText" text="Functioning">
      <formula>NOT(ISERROR(SEARCH("Functioning",J240)))</formula>
    </cfRule>
  </conditionalFormatting>
  <conditionalFormatting sqref="I43:I45">
    <cfRule type="beginsWith" dxfId="833" priority="802" stopIfTrue="1" operator="beginsWith" text="Functioning At Risk">
      <formula>LEFT(I43,LEN("Functioning At Risk"))="Functioning At Risk"</formula>
    </cfRule>
    <cfRule type="beginsWith" dxfId="832" priority="803" stopIfTrue="1" operator="beginsWith" text="Not Functioning">
      <formula>LEFT(I43,LEN("Not Functioning"))="Not Functioning"</formula>
    </cfRule>
    <cfRule type="containsText" dxfId="831" priority="804" operator="containsText" text="Functioning">
      <formula>NOT(ISERROR(SEARCH("Functioning",I43)))</formula>
    </cfRule>
  </conditionalFormatting>
  <conditionalFormatting sqref="E240">
    <cfRule type="beginsWith" dxfId="830" priority="868" stopIfTrue="1" operator="beginsWith" text="Functioning At Risk">
      <formula>LEFT(E240,LEN("Functioning At Risk"))="Functioning At Risk"</formula>
    </cfRule>
    <cfRule type="beginsWith" dxfId="829" priority="869" stopIfTrue="1" operator="beginsWith" text="Not Functioning">
      <formula>LEFT(E240,LEN("Not Functioning"))="Not Functioning"</formula>
    </cfRule>
    <cfRule type="containsText" dxfId="828" priority="870" operator="containsText" text="Functioning">
      <formula>NOT(ISERROR(SEARCH("Functioning",E240)))</formula>
    </cfRule>
  </conditionalFormatting>
  <conditionalFormatting sqref="G241">
    <cfRule type="beginsWith" dxfId="827" priority="865" stopIfTrue="1" operator="beginsWith" text="Functioning At Risk">
      <formula>LEFT(G241,LEN("Functioning At Risk"))="Functioning At Risk"</formula>
    </cfRule>
    <cfRule type="beginsWith" dxfId="826" priority="866" stopIfTrue="1" operator="beginsWith" text="Not Functioning">
      <formula>LEFT(G241,LEN("Not Functioning"))="Not Functioning"</formula>
    </cfRule>
    <cfRule type="containsText" dxfId="825" priority="867" operator="containsText" text="Functioning">
      <formula>NOT(ISERROR(SEARCH("Functioning",G241)))</formula>
    </cfRule>
  </conditionalFormatting>
  <conditionalFormatting sqref="G243">
    <cfRule type="beginsWith" dxfId="824" priority="862" stopIfTrue="1" operator="beginsWith" text="Functioning At Risk">
      <formula>LEFT(G243,LEN("Functioning At Risk"))="Functioning At Risk"</formula>
    </cfRule>
    <cfRule type="beginsWith" dxfId="823" priority="863" stopIfTrue="1" operator="beginsWith" text="Not Functioning">
      <formula>LEFT(G243,LEN("Not Functioning"))="Not Functioning"</formula>
    </cfRule>
    <cfRule type="containsText" dxfId="822" priority="864" operator="containsText" text="Functioning">
      <formula>NOT(ISERROR(SEARCH("Functioning",G243)))</formula>
    </cfRule>
  </conditionalFormatting>
  <conditionalFormatting sqref="G243">
    <cfRule type="beginsWith" dxfId="821" priority="859" stopIfTrue="1" operator="beginsWith" text="Functioning At Risk">
      <formula>LEFT(G243,LEN("Functioning At Risk"))="Functioning At Risk"</formula>
    </cfRule>
    <cfRule type="beginsWith" dxfId="820" priority="860" stopIfTrue="1" operator="beginsWith" text="Not Functioning">
      <formula>LEFT(G243,LEN("Not Functioning"))="Not Functioning"</formula>
    </cfRule>
    <cfRule type="containsText" dxfId="819" priority="861" operator="containsText" text="Functioning">
      <formula>NOT(ISERROR(SEARCH("Functioning",G243)))</formula>
    </cfRule>
  </conditionalFormatting>
  <conditionalFormatting sqref="H274:H277">
    <cfRule type="beginsWith" dxfId="815" priority="850" stopIfTrue="1" operator="beginsWith" text="Functioning At Risk">
      <formula>LEFT(H274,LEN("Functioning At Risk"))="Functioning At Risk"</formula>
    </cfRule>
    <cfRule type="beginsWith" dxfId="814" priority="851" stopIfTrue="1" operator="beginsWith" text="Not Functioning">
      <formula>LEFT(H274,LEN("Not Functioning"))="Not Functioning"</formula>
    </cfRule>
    <cfRule type="containsText" dxfId="813" priority="852" operator="containsText" text="Functioning">
      <formula>NOT(ISERROR(SEARCH("Functioning",H274)))</formula>
    </cfRule>
  </conditionalFormatting>
  <conditionalFormatting sqref="J274:J277">
    <cfRule type="beginsWith" dxfId="812" priority="847" stopIfTrue="1" operator="beginsWith" text="Functioning At Risk">
      <formula>LEFT(J274,LEN("Functioning At Risk"))="Functioning At Risk"</formula>
    </cfRule>
    <cfRule type="beginsWith" dxfId="811" priority="848" stopIfTrue="1" operator="beginsWith" text="Not Functioning">
      <formula>LEFT(J274,LEN("Not Functioning"))="Not Functioning"</formula>
    </cfRule>
    <cfRule type="containsText" dxfId="810" priority="849" operator="containsText" text="Functioning">
      <formula>NOT(ISERROR(SEARCH("Functioning",J274)))</formula>
    </cfRule>
  </conditionalFormatting>
  <conditionalFormatting sqref="E274">
    <cfRule type="beginsWith" dxfId="809" priority="844" stopIfTrue="1" operator="beginsWith" text="Functioning At Risk">
      <formula>LEFT(E274,LEN("Functioning At Risk"))="Functioning At Risk"</formula>
    </cfRule>
    <cfRule type="beginsWith" dxfId="808" priority="845" stopIfTrue="1" operator="beginsWith" text="Not Functioning">
      <formula>LEFT(E274,LEN("Not Functioning"))="Not Functioning"</formula>
    </cfRule>
    <cfRule type="containsText" dxfId="807" priority="846" operator="containsText" text="Functioning">
      <formula>NOT(ISERROR(SEARCH("Functioning",E274)))</formula>
    </cfRule>
  </conditionalFormatting>
  <conditionalFormatting sqref="G275">
    <cfRule type="beginsWith" dxfId="806" priority="841" stopIfTrue="1" operator="beginsWith" text="Functioning At Risk">
      <formula>LEFT(G275,LEN("Functioning At Risk"))="Functioning At Risk"</formula>
    </cfRule>
    <cfRule type="beginsWith" dxfId="805" priority="842" stopIfTrue="1" operator="beginsWith" text="Not Functioning">
      <formula>LEFT(G275,LEN("Not Functioning"))="Not Functioning"</formula>
    </cfRule>
    <cfRule type="containsText" dxfId="804" priority="843" operator="containsText" text="Functioning">
      <formula>NOT(ISERROR(SEARCH("Functioning",G275)))</formula>
    </cfRule>
  </conditionalFormatting>
  <conditionalFormatting sqref="G277">
    <cfRule type="beginsWith" dxfId="803" priority="835" stopIfTrue="1" operator="beginsWith" text="Functioning At Risk">
      <formula>LEFT(G277,LEN("Functioning At Risk"))="Functioning At Risk"</formula>
    </cfRule>
    <cfRule type="beginsWith" dxfId="802" priority="836" stopIfTrue="1" operator="beginsWith" text="Not Functioning">
      <formula>LEFT(G277,LEN("Not Functioning"))="Not Functioning"</formula>
    </cfRule>
    <cfRule type="containsText" dxfId="801" priority="837" operator="containsText" text="Functioning">
      <formula>NOT(ISERROR(SEARCH("Functioning",G277)))</formula>
    </cfRule>
  </conditionalFormatting>
  <conditionalFormatting sqref="A308:D310 A311:C311">
    <cfRule type="beginsWith" dxfId="800" priority="832" stopIfTrue="1" operator="beginsWith" text="Functioning At Risk">
      <formula>LEFT(A308,LEN("Functioning At Risk"))="Functioning At Risk"</formula>
    </cfRule>
    <cfRule type="beginsWith" dxfId="799" priority="833" stopIfTrue="1" operator="beginsWith" text="Not Functioning">
      <formula>LEFT(A308,LEN("Not Functioning"))="Not Functioning"</formula>
    </cfRule>
    <cfRule type="containsText" dxfId="798" priority="834" operator="containsText" text="Functioning">
      <formula>NOT(ISERROR(SEARCH("Functioning",A308)))</formula>
    </cfRule>
  </conditionalFormatting>
  <conditionalFormatting sqref="H308:H311">
    <cfRule type="beginsWith" dxfId="794" priority="826" stopIfTrue="1" operator="beginsWith" text="Functioning At Risk">
      <formula>LEFT(H308,LEN("Functioning At Risk"))="Functioning At Risk"</formula>
    </cfRule>
    <cfRule type="beginsWith" dxfId="793" priority="827" stopIfTrue="1" operator="beginsWith" text="Not Functioning">
      <formula>LEFT(H308,LEN("Not Functioning"))="Not Functioning"</formula>
    </cfRule>
    <cfRule type="containsText" dxfId="792" priority="828" operator="containsText" text="Functioning">
      <formula>NOT(ISERROR(SEARCH("Functioning",H308)))</formula>
    </cfRule>
  </conditionalFormatting>
  <conditionalFormatting sqref="J308:J311">
    <cfRule type="beginsWith" dxfId="791" priority="823" stopIfTrue="1" operator="beginsWith" text="Functioning At Risk">
      <formula>LEFT(J308,LEN("Functioning At Risk"))="Functioning At Risk"</formula>
    </cfRule>
    <cfRule type="beginsWith" dxfId="790" priority="824" stopIfTrue="1" operator="beginsWith" text="Not Functioning">
      <formula>LEFT(J308,LEN("Not Functioning"))="Not Functioning"</formula>
    </cfRule>
    <cfRule type="containsText" dxfId="789" priority="825" operator="containsText" text="Functioning">
      <formula>NOT(ISERROR(SEARCH("Functioning",J308)))</formula>
    </cfRule>
  </conditionalFormatting>
  <conditionalFormatting sqref="E308">
    <cfRule type="beginsWith" dxfId="788" priority="820" stopIfTrue="1" operator="beginsWith" text="Functioning At Risk">
      <formula>LEFT(E308,LEN("Functioning At Risk"))="Functioning At Risk"</formula>
    </cfRule>
    <cfRule type="beginsWith" dxfId="787" priority="821" stopIfTrue="1" operator="beginsWith" text="Not Functioning">
      <formula>LEFT(E308,LEN("Not Functioning"))="Not Functioning"</formula>
    </cfRule>
    <cfRule type="containsText" dxfId="786" priority="822" operator="containsText" text="Functioning">
      <formula>NOT(ISERROR(SEARCH("Functioning",E308)))</formula>
    </cfRule>
  </conditionalFormatting>
  <conditionalFormatting sqref="G311">
    <cfRule type="beginsWith" dxfId="785" priority="814" stopIfTrue="1" operator="beginsWith" text="Functioning At Risk">
      <formula>LEFT(G311,LEN("Functioning At Risk"))="Functioning At Risk"</formula>
    </cfRule>
    <cfRule type="beginsWith" dxfId="784" priority="815" stopIfTrue="1" operator="beginsWith" text="Not Functioning">
      <formula>LEFT(G311,LEN("Not Functioning"))="Not Functioning"</formula>
    </cfRule>
    <cfRule type="containsText" dxfId="783" priority="816" operator="containsText" text="Functioning">
      <formula>NOT(ISERROR(SEARCH("Functioning",G311)))</formula>
    </cfRule>
  </conditionalFormatting>
  <conditionalFormatting sqref="H43:H44">
    <cfRule type="beginsWith" dxfId="782" priority="808" stopIfTrue="1" operator="beginsWith" text="Functioning At Risk">
      <formula>LEFT(H43,LEN("Functioning At Risk"))="Functioning At Risk"</formula>
    </cfRule>
    <cfRule type="beginsWith" dxfId="781" priority="809" stopIfTrue="1" operator="beginsWith" text="Not Functioning">
      <formula>LEFT(H43,LEN("Not Functioning"))="Not Functioning"</formula>
    </cfRule>
    <cfRule type="containsText" dxfId="780" priority="810" operator="containsText" text="Functioning">
      <formula>NOT(ISERROR(SEARCH("Functioning",H43)))</formula>
    </cfRule>
  </conditionalFormatting>
  <conditionalFormatting sqref="H46:I46">
    <cfRule type="beginsWith" dxfId="779" priority="805" stopIfTrue="1" operator="beginsWith" text="Functioning At Risk">
      <formula>LEFT(H46,LEN("Functioning At Risk"))="Functioning At Risk"</formula>
    </cfRule>
    <cfRule type="beginsWith" dxfId="778" priority="806" stopIfTrue="1" operator="beginsWith" text="Not Functioning">
      <formula>LEFT(H46,LEN("Not Functioning"))="Not Functioning"</formula>
    </cfRule>
    <cfRule type="containsText" dxfId="777" priority="807" operator="containsText" text="Functioning">
      <formula>NOT(ISERROR(SEARCH("Functioning",H46)))</formula>
    </cfRule>
  </conditionalFormatting>
  <conditionalFormatting sqref="D51 C50:D50">
    <cfRule type="beginsWith" dxfId="776" priority="799" stopIfTrue="1" operator="beginsWith" text="Functioning At Risk">
      <formula>LEFT(C50,LEN("Functioning At Risk"))="Functioning At Risk"</formula>
    </cfRule>
    <cfRule type="beginsWith" dxfId="775" priority="800" stopIfTrue="1" operator="beginsWith" text="Not Functioning">
      <formula>LEFT(C50,LEN("Not Functioning"))="Not Functioning"</formula>
    </cfRule>
    <cfRule type="containsText" dxfId="774" priority="801" operator="containsText" text="Functioning">
      <formula>NOT(ISERROR(SEARCH("Functioning",C50)))</formula>
    </cfRule>
  </conditionalFormatting>
  <conditionalFormatting sqref="C53:D53">
    <cfRule type="beginsWith" dxfId="773" priority="796" stopIfTrue="1" operator="beginsWith" text="Functioning At Risk">
      <formula>LEFT(C53,LEN("Functioning At Risk"))="Functioning At Risk"</formula>
    </cfRule>
    <cfRule type="beginsWith" dxfId="772" priority="797" stopIfTrue="1" operator="beginsWith" text="Not Functioning">
      <formula>LEFT(C53,LEN("Not Functioning"))="Not Functioning"</formula>
    </cfRule>
    <cfRule type="containsText" dxfId="771" priority="798" operator="containsText" text="Functioning">
      <formula>NOT(ISERROR(SEARCH("Functioning",C53)))</formula>
    </cfRule>
  </conditionalFormatting>
  <conditionalFormatting sqref="B54:D54 C55:D55 D56:D57">
    <cfRule type="beginsWith" dxfId="770" priority="790" stopIfTrue="1" operator="beginsWith" text="Functioning At Risk">
      <formula>LEFT(B54,LEN("Functioning At Risk"))="Functioning At Risk"</formula>
    </cfRule>
    <cfRule type="beginsWith" dxfId="769" priority="791" stopIfTrue="1" operator="beginsWith" text="Not Functioning">
      <formula>LEFT(B54,LEN("Not Functioning"))="Not Functioning"</formula>
    </cfRule>
    <cfRule type="containsText" dxfId="768" priority="792" operator="containsText" text="Functioning">
      <formula>NOT(ISERROR(SEARCH("Functioning",B54)))</formula>
    </cfRule>
  </conditionalFormatting>
  <conditionalFormatting sqref="C56">
    <cfRule type="beginsWith" dxfId="767" priority="787" stopIfTrue="1" operator="beginsWith" text="Functioning At Risk">
      <formula>LEFT(C56,LEN("Functioning At Risk"))="Functioning At Risk"</formula>
    </cfRule>
    <cfRule type="beginsWith" dxfId="766" priority="788" stopIfTrue="1" operator="beginsWith" text="Not Functioning">
      <formula>LEFT(C56,LEN("Not Functioning"))="Not Functioning"</formula>
    </cfRule>
    <cfRule type="containsText" dxfId="765" priority="789" operator="containsText" text="Functioning">
      <formula>NOT(ISERROR(SEARCH("Functioning",C56)))</formula>
    </cfRule>
  </conditionalFormatting>
  <conditionalFormatting sqref="C57">
    <cfRule type="beginsWith" dxfId="764" priority="784" stopIfTrue="1" operator="beginsWith" text="Functioning At Risk">
      <formula>LEFT(C57,LEN("Functioning At Risk"))="Functioning At Risk"</formula>
    </cfRule>
    <cfRule type="beginsWith" dxfId="763" priority="785" stopIfTrue="1" operator="beginsWith" text="Not Functioning">
      <formula>LEFT(C57,LEN("Not Functioning"))="Not Functioning"</formula>
    </cfRule>
    <cfRule type="containsText" dxfId="762" priority="786" operator="containsText" text="Functioning">
      <formula>NOT(ISERROR(SEARCH("Functioning",C57)))</formula>
    </cfRule>
  </conditionalFormatting>
  <conditionalFormatting sqref="B58">
    <cfRule type="beginsWith" dxfId="761" priority="793" stopIfTrue="1" operator="beginsWith" text="Functioning At Risk">
      <formula>LEFT(B58,LEN("Functioning At Risk"))="Functioning At Risk"</formula>
    </cfRule>
    <cfRule type="beginsWith" dxfId="760" priority="794" stopIfTrue="1" operator="beginsWith" text="Not Functioning">
      <formula>LEFT(B58,LEN("Not Functioning"))="Not Functioning"</formula>
    </cfRule>
    <cfRule type="containsText" dxfId="759" priority="795" operator="containsText" text="Functioning">
      <formula>NOT(ISERROR(SEARCH("Functioning",B58)))</formula>
    </cfRule>
  </conditionalFormatting>
  <conditionalFormatting sqref="D63:D64">
    <cfRule type="beginsWith" dxfId="758" priority="781" stopIfTrue="1" operator="beginsWith" text="Functioning At Risk">
      <formula>LEFT(D63,LEN("Functioning At Risk"))="Functioning At Risk"</formula>
    </cfRule>
    <cfRule type="beginsWith" dxfId="757" priority="782" stopIfTrue="1" operator="beginsWith" text="Not Functioning">
      <formula>LEFT(D63,LEN("Not Functioning"))="Not Functioning"</formula>
    </cfRule>
    <cfRule type="containsText" dxfId="756" priority="783" operator="containsText" text="Functioning">
      <formula>NOT(ISERROR(SEARCH("Functioning",D63)))</formula>
    </cfRule>
  </conditionalFormatting>
  <conditionalFormatting sqref="H62">
    <cfRule type="beginsWith" dxfId="755" priority="778" stopIfTrue="1" operator="beginsWith" text="Functioning At Risk">
      <formula>LEFT(H62,LEN("Functioning At Risk"))="Functioning At Risk"</formula>
    </cfRule>
    <cfRule type="beginsWith" dxfId="754" priority="779" stopIfTrue="1" operator="beginsWith" text="Not Functioning">
      <formula>LEFT(H62,LEN("Not Functioning"))="Not Functioning"</formula>
    </cfRule>
    <cfRule type="containsText" dxfId="753" priority="780" operator="containsText" text="Functioning">
      <formula>NOT(ISERROR(SEARCH("Functioning",H62)))</formula>
    </cfRule>
  </conditionalFormatting>
  <conditionalFormatting sqref="A62">
    <cfRule type="beginsWith" dxfId="752" priority="775" stopIfTrue="1" operator="beginsWith" text="Functioning At Risk">
      <formula>LEFT(A62,LEN("Functioning At Risk"))="Functioning At Risk"</formula>
    </cfRule>
    <cfRule type="beginsWith" dxfId="751" priority="776" stopIfTrue="1" operator="beginsWith" text="Not Functioning">
      <formula>LEFT(A62,LEN("Not Functioning"))="Not Functioning"</formula>
    </cfRule>
    <cfRule type="containsText" dxfId="750" priority="777" operator="containsText" text="Functioning">
      <formula>NOT(ISERROR(SEARCH("Functioning",A62)))</formula>
    </cfRule>
  </conditionalFormatting>
  <conditionalFormatting sqref="D65">
    <cfRule type="beginsWith" dxfId="749" priority="772" stopIfTrue="1" operator="beginsWith" text="Functioning At Risk">
      <formula>LEFT(D65,LEN("Functioning At Risk"))="Functioning At Risk"</formula>
    </cfRule>
    <cfRule type="beginsWith" dxfId="748" priority="773" stopIfTrue="1" operator="beginsWith" text="Not Functioning">
      <formula>LEFT(D65,LEN("Not Functioning"))="Not Functioning"</formula>
    </cfRule>
    <cfRule type="containsText" dxfId="747" priority="774" operator="containsText" text="Functioning">
      <formula>NOT(ISERROR(SEARCH("Functioning",D65)))</formula>
    </cfRule>
  </conditionalFormatting>
  <conditionalFormatting sqref="D66">
    <cfRule type="beginsWith" dxfId="746" priority="769" stopIfTrue="1" operator="beginsWith" text="Functioning At Risk">
      <formula>LEFT(D66,LEN("Functioning At Risk"))="Functioning At Risk"</formula>
    </cfRule>
    <cfRule type="beginsWith" dxfId="745" priority="770" stopIfTrue="1" operator="beginsWith" text="Not Functioning">
      <formula>LEFT(D66,LEN("Not Functioning"))="Not Functioning"</formula>
    </cfRule>
    <cfRule type="containsText" dxfId="744" priority="771" operator="containsText" text="Functioning">
      <formula>NOT(ISERROR(SEARCH("Functioning",D66)))</formula>
    </cfRule>
  </conditionalFormatting>
  <conditionalFormatting sqref="B66">
    <cfRule type="beginsWith" dxfId="743" priority="766" stopIfTrue="1" operator="beginsWith" text="Functioning At Risk">
      <formula>LEFT(B66,LEN("Functioning At Risk"))="Functioning At Risk"</formula>
    </cfRule>
    <cfRule type="beginsWith" dxfId="742" priority="767" stopIfTrue="1" operator="beginsWith" text="Not Functioning">
      <formula>LEFT(B66,LEN("Not Functioning"))="Not Functioning"</formula>
    </cfRule>
    <cfRule type="containsText" dxfId="741" priority="768" operator="containsText" text="Functioning">
      <formula>NOT(ISERROR(SEARCH("Functioning",B66)))</formula>
    </cfRule>
  </conditionalFormatting>
  <conditionalFormatting sqref="B65">
    <cfRule type="beginsWith" dxfId="740" priority="763" stopIfTrue="1" operator="beginsWith" text="Functioning At Risk">
      <formula>LEFT(B65,LEN("Functioning At Risk"))="Functioning At Risk"</formula>
    </cfRule>
    <cfRule type="beginsWith" dxfId="739" priority="764" stopIfTrue="1" operator="beginsWith" text="Not Functioning">
      <formula>LEFT(B65,LEN("Not Functioning"))="Not Functioning"</formula>
    </cfRule>
    <cfRule type="containsText" dxfId="738" priority="765" operator="containsText" text="Functioning">
      <formula>NOT(ISERROR(SEARCH("Functioning",B65)))</formula>
    </cfRule>
  </conditionalFormatting>
  <conditionalFormatting sqref="J43:J45">
    <cfRule type="beginsWith" dxfId="737" priority="760" stopIfTrue="1" operator="beginsWith" text="Functioning At Risk">
      <formula>LEFT(J43,LEN("Functioning At Risk"))="Functioning At Risk"</formula>
    </cfRule>
    <cfRule type="beginsWith" dxfId="736" priority="761" stopIfTrue="1" operator="beginsWith" text="Not Functioning">
      <formula>LEFT(J43,LEN("Not Functioning"))="Not Functioning"</formula>
    </cfRule>
    <cfRule type="containsText" dxfId="735" priority="762" operator="containsText" text="Functioning">
      <formula>NOT(ISERROR(SEARCH("Functioning",J43)))</formula>
    </cfRule>
  </conditionalFormatting>
  <conditionalFormatting sqref="B100">
    <cfRule type="beginsWith" dxfId="734" priority="706" stopIfTrue="1" operator="beginsWith" text="Functioning At Risk">
      <formula>LEFT(B100,LEN("Functioning At Risk"))="Functioning At Risk"</formula>
    </cfRule>
    <cfRule type="beginsWith" dxfId="733" priority="707" stopIfTrue="1" operator="beginsWith" text="Not Functioning">
      <formula>LEFT(B100,LEN("Not Functioning"))="Not Functioning"</formula>
    </cfRule>
    <cfRule type="containsText" dxfId="732" priority="708" operator="containsText" text="Functioning">
      <formula>NOT(ISERROR(SEARCH("Functioning",B100)))</formula>
    </cfRule>
  </conditionalFormatting>
  <conditionalFormatting sqref="H77:H78">
    <cfRule type="beginsWith" dxfId="731" priority="757" stopIfTrue="1" operator="beginsWith" text="Functioning At Risk">
      <formula>LEFT(H77,LEN("Functioning At Risk"))="Functioning At Risk"</formula>
    </cfRule>
    <cfRule type="beginsWith" dxfId="730" priority="758" stopIfTrue="1" operator="beginsWith" text="Not Functioning">
      <formula>LEFT(H77,LEN("Not Functioning"))="Not Functioning"</formula>
    </cfRule>
    <cfRule type="containsText" dxfId="729" priority="759" operator="containsText" text="Functioning">
      <formula>NOT(ISERROR(SEARCH("Functioning",H77)))</formula>
    </cfRule>
  </conditionalFormatting>
  <conditionalFormatting sqref="I77:I79">
    <cfRule type="beginsWith" dxfId="728" priority="754" stopIfTrue="1" operator="beginsWith" text="Functioning At Risk">
      <formula>LEFT(I77,LEN("Functioning At Risk"))="Functioning At Risk"</formula>
    </cfRule>
    <cfRule type="beginsWith" dxfId="727" priority="755" stopIfTrue="1" operator="beginsWith" text="Not Functioning">
      <formula>LEFT(I77,LEN("Not Functioning"))="Not Functioning"</formula>
    </cfRule>
    <cfRule type="containsText" dxfId="726" priority="756" operator="containsText" text="Functioning">
      <formula>NOT(ISERROR(SEARCH("Functioning",I77)))</formula>
    </cfRule>
  </conditionalFormatting>
  <conditionalFormatting sqref="A80:D80 C81:D81">
    <cfRule type="beginsWith" dxfId="725" priority="751" stopIfTrue="1" operator="beginsWith" text="Functioning At Risk">
      <formula>LEFT(A80,LEN("Functioning At Risk"))="Functioning At Risk"</formula>
    </cfRule>
    <cfRule type="beginsWith" dxfId="724" priority="752" stopIfTrue="1" operator="beginsWith" text="Not Functioning">
      <formula>LEFT(A80,LEN("Not Functioning"))="Not Functioning"</formula>
    </cfRule>
    <cfRule type="containsText" dxfId="723" priority="753" operator="containsText" text="Functioning">
      <formula>NOT(ISERROR(SEARCH("Functioning",A80)))</formula>
    </cfRule>
  </conditionalFormatting>
  <conditionalFormatting sqref="H80:I80">
    <cfRule type="beginsWith" dxfId="722" priority="748" stopIfTrue="1" operator="beginsWith" text="Functioning At Risk">
      <formula>LEFT(H80,LEN("Functioning At Risk"))="Functioning At Risk"</formula>
    </cfRule>
    <cfRule type="beginsWith" dxfId="721" priority="749" stopIfTrue="1" operator="beginsWith" text="Not Functioning">
      <formula>LEFT(H80,LEN("Not Functioning"))="Not Functioning"</formula>
    </cfRule>
    <cfRule type="containsText" dxfId="720" priority="750" operator="containsText" text="Functioning">
      <formula>NOT(ISERROR(SEARCH("Functioning",H80)))</formula>
    </cfRule>
  </conditionalFormatting>
  <conditionalFormatting sqref="H82:I83 A82:D82 A83 C83:D83">
    <cfRule type="beginsWith" dxfId="719" priority="745" stopIfTrue="1" operator="beginsWith" text="Functioning At Risk">
      <formula>LEFT(A82,LEN("Functioning At Risk"))="Functioning At Risk"</formula>
    </cfRule>
    <cfRule type="beginsWith" dxfId="718" priority="746" stopIfTrue="1" operator="beginsWith" text="Not Functioning">
      <formula>LEFT(A82,LEN("Not Functioning"))="Not Functioning"</formula>
    </cfRule>
    <cfRule type="containsText" dxfId="717" priority="747" operator="containsText" text="Functioning">
      <formula>NOT(ISERROR(SEARCH("Functioning",A82)))</formula>
    </cfRule>
  </conditionalFormatting>
  <conditionalFormatting sqref="D85 C84:D84">
    <cfRule type="beginsWith" dxfId="716" priority="742" stopIfTrue="1" operator="beginsWith" text="Functioning At Risk">
      <formula>LEFT(C84,LEN("Functioning At Risk"))="Functioning At Risk"</formula>
    </cfRule>
    <cfRule type="beginsWith" dxfId="715" priority="743" stopIfTrue="1" operator="beginsWith" text="Not Functioning">
      <formula>LEFT(C84,LEN("Not Functioning"))="Not Functioning"</formula>
    </cfRule>
    <cfRule type="containsText" dxfId="714" priority="744" operator="containsText" text="Functioning">
      <formula>NOT(ISERROR(SEARCH("Functioning",C84)))</formula>
    </cfRule>
  </conditionalFormatting>
  <conditionalFormatting sqref="C87:D87">
    <cfRule type="beginsWith" dxfId="713" priority="739" stopIfTrue="1" operator="beginsWith" text="Functioning At Risk">
      <formula>LEFT(C87,LEN("Functioning At Risk"))="Functioning At Risk"</formula>
    </cfRule>
    <cfRule type="beginsWith" dxfId="712" priority="740" stopIfTrue="1" operator="beginsWith" text="Not Functioning">
      <formula>LEFT(C87,LEN("Not Functioning"))="Not Functioning"</formula>
    </cfRule>
    <cfRule type="containsText" dxfId="711" priority="741" operator="containsText" text="Functioning">
      <formula>NOT(ISERROR(SEARCH("Functioning",C87)))</formula>
    </cfRule>
  </conditionalFormatting>
  <conditionalFormatting sqref="B88:D88 C89:D89 D90:D91">
    <cfRule type="beginsWith" dxfId="710" priority="733" stopIfTrue="1" operator="beginsWith" text="Functioning At Risk">
      <formula>LEFT(B88,LEN("Functioning At Risk"))="Functioning At Risk"</formula>
    </cfRule>
    <cfRule type="beginsWith" dxfId="709" priority="734" stopIfTrue="1" operator="beginsWith" text="Not Functioning">
      <formula>LEFT(B88,LEN("Not Functioning"))="Not Functioning"</formula>
    </cfRule>
    <cfRule type="containsText" dxfId="708" priority="735" operator="containsText" text="Functioning">
      <formula>NOT(ISERROR(SEARCH("Functioning",B88)))</formula>
    </cfRule>
  </conditionalFormatting>
  <conditionalFormatting sqref="C90">
    <cfRule type="beginsWith" dxfId="707" priority="730" stopIfTrue="1" operator="beginsWith" text="Functioning At Risk">
      <formula>LEFT(C90,LEN("Functioning At Risk"))="Functioning At Risk"</formula>
    </cfRule>
    <cfRule type="beginsWith" dxfId="706" priority="731" stopIfTrue="1" operator="beginsWith" text="Not Functioning">
      <formula>LEFT(C90,LEN("Not Functioning"))="Not Functioning"</formula>
    </cfRule>
    <cfRule type="containsText" dxfId="705" priority="732" operator="containsText" text="Functioning">
      <formula>NOT(ISERROR(SEARCH("Functioning",C90)))</formula>
    </cfRule>
  </conditionalFormatting>
  <conditionalFormatting sqref="C91">
    <cfRule type="beginsWith" dxfId="704" priority="727" stopIfTrue="1" operator="beginsWith" text="Functioning At Risk">
      <formula>LEFT(C91,LEN("Functioning At Risk"))="Functioning At Risk"</formula>
    </cfRule>
    <cfRule type="beginsWith" dxfId="703" priority="728" stopIfTrue="1" operator="beginsWith" text="Not Functioning">
      <formula>LEFT(C91,LEN("Not Functioning"))="Not Functioning"</formula>
    </cfRule>
    <cfRule type="containsText" dxfId="702" priority="729" operator="containsText" text="Functioning">
      <formula>NOT(ISERROR(SEARCH("Functioning",C91)))</formula>
    </cfRule>
  </conditionalFormatting>
  <conditionalFormatting sqref="B92">
    <cfRule type="beginsWith" dxfId="701" priority="736" stopIfTrue="1" operator="beginsWith" text="Functioning At Risk">
      <formula>LEFT(B92,LEN("Functioning At Risk"))="Functioning At Risk"</formula>
    </cfRule>
    <cfRule type="beginsWith" dxfId="700" priority="737" stopIfTrue="1" operator="beginsWith" text="Not Functioning">
      <formula>LEFT(B92,LEN("Not Functioning"))="Not Functioning"</formula>
    </cfRule>
    <cfRule type="containsText" dxfId="699" priority="738" operator="containsText" text="Functioning">
      <formula>NOT(ISERROR(SEARCH("Functioning",B92)))</formula>
    </cfRule>
  </conditionalFormatting>
  <conditionalFormatting sqref="D97:D98">
    <cfRule type="beginsWith" dxfId="698" priority="724" stopIfTrue="1" operator="beginsWith" text="Functioning At Risk">
      <formula>LEFT(D97,LEN("Functioning At Risk"))="Functioning At Risk"</formula>
    </cfRule>
    <cfRule type="beginsWith" dxfId="697" priority="725" stopIfTrue="1" operator="beginsWith" text="Not Functioning">
      <formula>LEFT(D97,LEN("Not Functioning"))="Not Functioning"</formula>
    </cfRule>
    <cfRule type="containsText" dxfId="696" priority="726" operator="containsText" text="Functioning">
      <formula>NOT(ISERROR(SEARCH("Functioning",D97)))</formula>
    </cfRule>
  </conditionalFormatting>
  <conditionalFormatting sqref="H96">
    <cfRule type="beginsWith" dxfId="695" priority="721" stopIfTrue="1" operator="beginsWith" text="Functioning At Risk">
      <formula>LEFT(H96,LEN("Functioning At Risk"))="Functioning At Risk"</formula>
    </cfRule>
    <cfRule type="beginsWith" dxfId="694" priority="722" stopIfTrue="1" operator="beginsWith" text="Not Functioning">
      <formula>LEFT(H96,LEN("Not Functioning"))="Not Functioning"</formula>
    </cfRule>
    <cfRule type="containsText" dxfId="693" priority="723" operator="containsText" text="Functioning">
      <formula>NOT(ISERROR(SEARCH("Functioning",H96)))</formula>
    </cfRule>
  </conditionalFormatting>
  <conditionalFormatting sqref="A96">
    <cfRule type="beginsWith" dxfId="692" priority="718" stopIfTrue="1" operator="beginsWith" text="Functioning At Risk">
      <formula>LEFT(A96,LEN("Functioning At Risk"))="Functioning At Risk"</formula>
    </cfRule>
    <cfRule type="beginsWith" dxfId="691" priority="719" stopIfTrue="1" operator="beginsWith" text="Not Functioning">
      <formula>LEFT(A96,LEN("Not Functioning"))="Not Functioning"</formula>
    </cfRule>
    <cfRule type="containsText" dxfId="690" priority="720" operator="containsText" text="Functioning">
      <formula>NOT(ISERROR(SEARCH("Functioning",A96)))</formula>
    </cfRule>
  </conditionalFormatting>
  <conditionalFormatting sqref="I99:I100 A99:A100">
    <cfRule type="beginsWith" dxfId="689" priority="715" stopIfTrue="1" operator="beginsWith" text="Functioning At Risk">
      <formula>LEFT(A99,LEN("Functioning At Risk"))="Functioning At Risk"</formula>
    </cfRule>
    <cfRule type="beginsWith" dxfId="688" priority="716" stopIfTrue="1" operator="beginsWith" text="Not Functioning">
      <formula>LEFT(A99,LEN("Not Functioning"))="Not Functioning"</formula>
    </cfRule>
    <cfRule type="containsText" dxfId="687" priority="717" operator="containsText" text="Functioning">
      <formula>NOT(ISERROR(SEARCH("Functioning",A99)))</formula>
    </cfRule>
  </conditionalFormatting>
  <conditionalFormatting sqref="D99">
    <cfRule type="beginsWith" dxfId="686" priority="712" stopIfTrue="1" operator="beginsWith" text="Functioning At Risk">
      <formula>LEFT(D99,LEN("Functioning At Risk"))="Functioning At Risk"</formula>
    </cfRule>
    <cfRule type="beginsWith" dxfId="685" priority="713" stopIfTrue="1" operator="beginsWith" text="Not Functioning">
      <formula>LEFT(D99,LEN("Not Functioning"))="Not Functioning"</formula>
    </cfRule>
    <cfRule type="containsText" dxfId="684" priority="714" operator="containsText" text="Functioning">
      <formula>NOT(ISERROR(SEARCH("Functioning",D99)))</formula>
    </cfRule>
  </conditionalFormatting>
  <conditionalFormatting sqref="D100">
    <cfRule type="beginsWith" dxfId="683" priority="709" stopIfTrue="1" operator="beginsWith" text="Functioning At Risk">
      <formula>LEFT(D100,LEN("Functioning At Risk"))="Functioning At Risk"</formula>
    </cfRule>
    <cfRule type="beginsWith" dxfId="682" priority="710" stopIfTrue="1" operator="beginsWith" text="Not Functioning">
      <formula>LEFT(D100,LEN("Not Functioning"))="Not Functioning"</formula>
    </cfRule>
    <cfRule type="containsText" dxfId="681" priority="711" operator="containsText" text="Functioning">
      <formula>NOT(ISERROR(SEARCH("Functioning",D100)))</formula>
    </cfRule>
  </conditionalFormatting>
  <conditionalFormatting sqref="B99">
    <cfRule type="beginsWith" dxfId="680" priority="703" stopIfTrue="1" operator="beginsWith" text="Functioning At Risk">
      <formula>LEFT(B99,LEN("Functioning At Risk"))="Functioning At Risk"</formula>
    </cfRule>
    <cfRule type="beginsWith" dxfId="679" priority="704" stopIfTrue="1" operator="beginsWith" text="Not Functioning">
      <formula>LEFT(B99,LEN("Not Functioning"))="Not Functioning"</formula>
    </cfRule>
    <cfRule type="containsText" dxfId="678" priority="705" operator="containsText" text="Functioning">
      <formula>NOT(ISERROR(SEARCH("Functioning",B99)))</formula>
    </cfRule>
  </conditionalFormatting>
  <conditionalFormatting sqref="D133">
    <cfRule type="beginsWith" dxfId="677" priority="649" stopIfTrue="1" operator="beginsWith" text="Functioning At Risk">
      <formula>LEFT(D133,LEN("Functioning At Risk"))="Functioning At Risk"</formula>
    </cfRule>
    <cfRule type="beginsWith" dxfId="676" priority="650" stopIfTrue="1" operator="beginsWith" text="Not Functioning">
      <formula>LEFT(D133,LEN("Not Functioning"))="Not Functioning"</formula>
    </cfRule>
    <cfRule type="containsText" dxfId="675" priority="651" operator="containsText" text="Functioning">
      <formula>NOT(ISERROR(SEARCH("Functioning",D133)))</formula>
    </cfRule>
  </conditionalFormatting>
  <conditionalFormatting sqref="H116:I117 A116:D116 A117 C117:D117">
    <cfRule type="beginsWith" dxfId="674" priority="682" stopIfTrue="1" operator="beginsWith" text="Functioning At Risk">
      <formula>LEFT(A116,LEN("Functioning At Risk"))="Functioning At Risk"</formula>
    </cfRule>
    <cfRule type="beginsWith" dxfId="673" priority="683" stopIfTrue="1" operator="beginsWith" text="Not Functioning">
      <formula>LEFT(A116,LEN("Not Functioning"))="Not Functioning"</formula>
    </cfRule>
    <cfRule type="containsText" dxfId="672" priority="684" operator="containsText" text="Functioning">
      <formula>NOT(ISERROR(SEARCH("Functioning",A116)))</formula>
    </cfRule>
  </conditionalFormatting>
  <conditionalFormatting sqref="B134">
    <cfRule type="beginsWith" dxfId="671" priority="643" stopIfTrue="1" operator="beginsWith" text="Functioning At Risk">
      <formula>LEFT(B134,LEN("Functioning At Risk"))="Functioning At Risk"</formula>
    </cfRule>
    <cfRule type="beginsWith" dxfId="670" priority="644" stopIfTrue="1" operator="beginsWith" text="Not Functioning">
      <formula>LEFT(B134,LEN("Not Functioning"))="Not Functioning"</formula>
    </cfRule>
    <cfRule type="containsText" dxfId="669" priority="645" operator="containsText" text="Functioning">
      <formula>NOT(ISERROR(SEARCH("Functioning",B134)))</formula>
    </cfRule>
  </conditionalFormatting>
  <conditionalFormatting sqref="D119 C118:D118">
    <cfRule type="beginsWith" dxfId="668" priority="679" stopIfTrue="1" operator="beginsWith" text="Functioning At Risk">
      <formula>LEFT(C118,LEN("Functioning At Risk"))="Functioning At Risk"</formula>
    </cfRule>
    <cfRule type="beginsWith" dxfId="667" priority="680" stopIfTrue="1" operator="beginsWith" text="Not Functioning">
      <formula>LEFT(C118,LEN("Not Functioning"))="Not Functioning"</formula>
    </cfRule>
    <cfRule type="containsText" dxfId="666" priority="681" operator="containsText" text="Functioning">
      <formula>NOT(ISERROR(SEARCH("Functioning",C118)))</formula>
    </cfRule>
  </conditionalFormatting>
  <conditionalFormatting sqref="J145:J147">
    <cfRule type="beginsWith" dxfId="665" priority="637" stopIfTrue="1" operator="beginsWith" text="Functioning At Risk">
      <formula>LEFT(J145,LEN("Functioning At Risk"))="Functioning At Risk"</formula>
    </cfRule>
    <cfRule type="beginsWith" dxfId="664" priority="638" stopIfTrue="1" operator="beginsWith" text="Not Functioning">
      <formula>LEFT(J145,LEN("Not Functioning"))="Not Functioning"</formula>
    </cfRule>
    <cfRule type="containsText" dxfId="663" priority="639" operator="containsText" text="Functioning">
      <formula>NOT(ISERROR(SEARCH("Functioning",J145)))</formula>
    </cfRule>
  </conditionalFormatting>
  <conditionalFormatting sqref="B126">
    <cfRule type="beginsWith" dxfId="662" priority="673" stopIfTrue="1" operator="beginsWith" text="Functioning At Risk">
      <formula>LEFT(B126,LEN("Functioning At Risk"))="Functioning At Risk"</formula>
    </cfRule>
    <cfRule type="beginsWith" dxfId="661" priority="674" stopIfTrue="1" operator="beginsWith" text="Not Functioning">
      <formula>LEFT(B126,LEN("Not Functioning"))="Not Functioning"</formula>
    </cfRule>
    <cfRule type="containsText" dxfId="660" priority="675" operator="containsText" text="Functioning">
      <formula>NOT(ISERROR(SEARCH("Functioning",B126)))</formula>
    </cfRule>
  </conditionalFormatting>
  <conditionalFormatting sqref="B122:D122 C123:D123 D124:D125">
    <cfRule type="beginsWith" dxfId="659" priority="670" stopIfTrue="1" operator="beginsWith" text="Functioning At Risk">
      <formula>LEFT(B122,LEN("Functioning At Risk"))="Functioning At Risk"</formula>
    </cfRule>
    <cfRule type="beginsWith" dxfId="658" priority="671" stopIfTrue="1" operator="beginsWith" text="Not Functioning">
      <formula>LEFT(B122,LEN("Not Functioning"))="Not Functioning"</formula>
    </cfRule>
    <cfRule type="containsText" dxfId="657" priority="672" operator="containsText" text="Functioning">
      <formula>NOT(ISERROR(SEARCH("Functioning",B122)))</formula>
    </cfRule>
  </conditionalFormatting>
  <conditionalFormatting sqref="C124">
    <cfRule type="beginsWith" dxfId="656" priority="667" stopIfTrue="1" operator="beginsWith" text="Functioning At Risk">
      <formula>LEFT(C124,LEN("Functioning At Risk"))="Functioning At Risk"</formula>
    </cfRule>
    <cfRule type="beginsWith" dxfId="655" priority="668" stopIfTrue="1" operator="beginsWith" text="Not Functioning">
      <formula>LEFT(C124,LEN("Not Functioning"))="Not Functioning"</formula>
    </cfRule>
    <cfRule type="containsText" dxfId="654" priority="669" operator="containsText" text="Functioning">
      <formula>NOT(ISERROR(SEARCH("Functioning",C124)))</formula>
    </cfRule>
  </conditionalFormatting>
  <conditionalFormatting sqref="C121:D121">
    <cfRule type="beginsWith" dxfId="653" priority="676" stopIfTrue="1" operator="beginsWith" text="Functioning At Risk">
      <formula>LEFT(C121,LEN("Functioning At Risk"))="Functioning At Risk"</formula>
    </cfRule>
    <cfRule type="beginsWith" dxfId="652" priority="677" stopIfTrue="1" operator="beginsWith" text="Not Functioning">
      <formula>LEFT(C121,LEN("Not Functioning"))="Not Functioning"</formula>
    </cfRule>
    <cfRule type="containsText" dxfId="651" priority="678" operator="containsText" text="Functioning">
      <formula>NOT(ISERROR(SEARCH("Functioning",C121)))</formula>
    </cfRule>
  </conditionalFormatting>
  <conditionalFormatting sqref="C125">
    <cfRule type="beginsWith" dxfId="650" priority="664" stopIfTrue="1" operator="beginsWith" text="Functioning At Risk">
      <formula>LEFT(C125,LEN("Functioning At Risk"))="Functioning At Risk"</formula>
    </cfRule>
    <cfRule type="beginsWith" dxfId="649" priority="665" stopIfTrue="1" operator="beginsWith" text="Not Functioning">
      <formula>LEFT(C125,LEN("Not Functioning"))="Not Functioning"</formula>
    </cfRule>
    <cfRule type="containsText" dxfId="648" priority="666" operator="containsText" text="Functioning">
      <formula>NOT(ISERROR(SEARCH("Functioning",C125)))</formula>
    </cfRule>
  </conditionalFormatting>
  <conditionalFormatting sqref="D131:D132">
    <cfRule type="beginsWith" dxfId="647" priority="661" stopIfTrue="1" operator="beginsWith" text="Functioning At Risk">
      <formula>LEFT(D131,LEN("Functioning At Risk"))="Functioning At Risk"</formula>
    </cfRule>
    <cfRule type="beginsWith" dxfId="646" priority="662" stopIfTrue="1" operator="beginsWith" text="Not Functioning">
      <formula>LEFT(D131,LEN("Not Functioning"))="Not Functioning"</formula>
    </cfRule>
    <cfRule type="containsText" dxfId="645" priority="663" operator="containsText" text="Functioning">
      <formula>NOT(ISERROR(SEARCH("Functioning",D131)))</formula>
    </cfRule>
  </conditionalFormatting>
  <conditionalFormatting sqref="H130">
    <cfRule type="beginsWith" dxfId="644" priority="658" stopIfTrue="1" operator="beginsWith" text="Functioning At Risk">
      <formula>LEFT(H130,LEN("Functioning At Risk"))="Functioning At Risk"</formula>
    </cfRule>
    <cfRule type="beginsWith" dxfId="643" priority="659" stopIfTrue="1" operator="beginsWith" text="Not Functioning">
      <formula>LEFT(H130,LEN("Not Functioning"))="Not Functioning"</formula>
    </cfRule>
    <cfRule type="containsText" dxfId="642" priority="660" operator="containsText" text="Functioning">
      <formula>NOT(ISERROR(SEARCH("Functioning",H130)))</formula>
    </cfRule>
  </conditionalFormatting>
  <conditionalFormatting sqref="A130">
    <cfRule type="beginsWith" dxfId="641" priority="655" stopIfTrue="1" operator="beginsWith" text="Functioning At Risk">
      <formula>LEFT(A130,LEN("Functioning At Risk"))="Functioning At Risk"</formula>
    </cfRule>
    <cfRule type="beginsWith" dxfId="640" priority="656" stopIfTrue="1" operator="beginsWith" text="Not Functioning">
      <formula>LEFT(A130,LEN("Not Functioning"))="Not Functioning"</formula>
    </cfRule>
    <cfRule type="containsText" dxfId="639" priority="657" operator="containsText" text="Functioning">
      <formula>NOT(ISERROR(SEARCH("Functioning",A130)))</formula>
    </cfRule>
  </conditionalFormatting>
  <conditionalFormatting sqref="I133:I134 A133:A134">
    <cfRule type="beginsWith" dxfId="638" priority="652" stopIfTrue="1" operator="beginsWith" text="Functioning At Risk">
      <formula>LEFT(A133,LEN("Functioning At Risk"))="Functioning At Risk"</formula>
    </cfRule>
    <cfRule type="beginsWith" dxfId="637" priority="653" stopIfTrue="1" operator="beginsWith" text="Not Functioning">
      <formula>LEFT(A133,LEN("Not Functioning"))="Not Functioning"</formula>
    </cfRule>
    <cfRule type="containsText" dxfId="636" priority="654" operator="containsText" text="Functioning">
      <formula>NOT(ISERROR(SEARCH("Functioning",A133)))</formula>
    </cfRule>
  </conditionalFormatting>
  <conditionalFormatting sqref="D134">
    <cfRule type="beginsWith" dxfId="635" priority="646" stopIfTrue="1" operator="beginsWith" text="Functioning At Risk">
      <formula>LEFT(D134,LEN("Functioning At Risk"))="Functioning At Risk"</formula>
    </cfRule>
    <cfRule type="beginsWith" dxfId="634" priority="647" stopIfTrue="1" operator="beginsWith" text="Not Functioning">
      <formula>LEFT(D134,LEN("Not Functioning"))="Not Functioning"</formula>
    </cfRule>
    <cfRule type="containsText" dxfId="633" priority="648" operator="containsText" text="Functioning">
      <formula>NOT(ISERROR(SEARCH("Functioning",D134)))</formula>
    </cfRule>
  </conditionalFormatting>
  <conditionalFormatting sqref="B133">
    <cfRule type="beginsWith" dxfId="632" priority="640" stopIfTrue="1" operator="beginsWith" text="Functioning At Risk">
      <formula>LEFT(B133,LEN("Functioning At Risk"))="Functioning At Risk"</formula>
    </cfRule>
    <cfRule type="beginsWith" dxfId="631" priority="641" stopIfTrue="1" operator="beginsWith" text="Not Functioning">
      <formula>LEFT(B133,LEN("Not Functioning"))="Not Functioning"</formula>
    </cfRule>
    <cfRule type="containsText" dxfId="630" priority="642" operator="containsText" text="Functioning">
      <formula>NOT(ISERROR(SEARCH("Functioning",B133)))</formula>
    </cfRule>
  </conditionalFormatting>
  <conditionalFormatting sqref="J111:J113">
    <cfRule type="beginsWith" dxfId="629" priority="700" stopIfTrue="1" operator="beginsWith" text="Functioning At Risk">
      <formula>LEFT(J111,LEN("Functioning At Risk"))="Functioning At Risk"</formula>
    </cfRule>
    <cfRule type="beginsWith" dxfId="628" priority="701" stopIfTrue="1" operator="beginsWith" text="Not Functioning">
      <formula>LEFT(J111,LEN("Not Functioning"))="Not Functioning"</formula>
    </cfRule>
    <cfRule type="containsText" dxfId="627" priority="702" operator="containsText" text="Functioning">
      <formula>NOT(ISERROR(SEARCH("Functioning",J111)))</formula>
    </cfRule>
  </conditionalFormatting>
  <conditionalFormatting sqref="I130">
    <cfRule type="beginsWith" dxfId="626" priority="697" stopIfTrue="1" operator="beginsWith" text="Functioning At Risk">
      <formula>LEFT(I130,LEN("Functioning At Risk"))="Functioning At Risk"</formula>
    </cfRule>
    <cfRule type="beginsWith" dxfId="625" priority="698" stopIfTrue="1" operator="beginsWith" text="Not Functioning">
      <formula>LEFT(I130,LEN("Not Functioning"))="Not Functioning"</formula>
    </cfRule>
    <cfRule type="containsText" dxfId="624" priority="699" operator="containsText" text="Functioning">
      <formula>NOT(ISERROR(SEARCH("Functioning",I130)))</formula>
    </cfRule>
  </conditionalFormatting>
  <conditionalFormatting sqref="H111:H112">
    <cfRule type="beginsWith" dxfId="623" priority="694" stopIfTrue="1" operator="beginsWith" text="Functioning At Risk">
      <formula>LEFT(H111,LEN("Functioning At Risk"))="Functioning At Risk"</formula>
    </cfRule>
    <cfRule type="beginsWith" dxfId="622" priority="695" stopIfTrue="1" operator="beginsWith" text="Not Functioning">
      <formula>LEFT(H111,LEN("Not Functioning"))="Not Functioning"</formula>
    </cfRule>
    <cfRule type="containsText" dxfId="621" priority="696" operator="containsText" text="Functioning">
      <formula>NOT(ISERROR(SEARCH("Functioning",H111)))</formula>
    </cfRule>
  </conditionalFormatting>
  <conditionalFormatting sqref="I111:I113">
    <cfRule type="beginsWith" dxfId="620" priority="691" stopIfTrue="1" operator="beginsWith" text="Functioning At Risk">
      <formula>LEFT(I111,LEN("Functioning At Risk"))="Functioning At Risk"</formula>
    </cfRule>
    <cfRule type="beginsWith" dxfId="619" priority="692" stopIfTrue="1" operator="beginsWith" text="Not Functioning">
      <formula>LEFT(I111,LEN("Not Functioning"))="Not Functioning"</formula>
    </cfRule>
    <cfRule type="containsText" dxfId="618" priority="693" operator="containsText" text="Functioning">
      <formula>NOT(ISERROR(SEARCH("Functioning",I111)))</formula>
    </cfRule>
  </conditionalFormatting>
  <conditionalFormatting sqref="A114:D114 C115:D115">
    <cfRule type="beginsWith" dxfId="617" priority="688" stopIfTrue="1" operator="beginsWith" text="Functioning At Risk">
      <formula>LEFT(A114,LEN("Functioning At Risk"))="Functioning At Risk"</formula>
    </cfRule>
    <cfRule type="beginsWith" dxfId="616" priority="689" stopIfTrue="1" operator="beginsWith" text="Not Functioning">
      <formula>LEFT(A114,LEN("Not Functioning"))="Not Functioning"</formula>
    </cfRule>
    <cfRule type="containsText" dxfId="615" priority="690" operator="containsText" text="Functioning">
      <formula>NOT(ISERROR(SEARCH("Functioning",A114)))</formula>
    </cfRule>
  </conditionalFormatting>
  <conditionalFormatting sqref="H114:I114">
    <cfRule type="beginsWith" dxfId="614" priority="685" stopIfTrue="1" operator="beginsWith" text="Functioning At Risk">
      <formula>LEFT(H114,LEN("Functioning At Risk"))="Functioning At Risk"</formula>
    </cfRule>
    <cfRule type="beginsWith" dxfId="613" priority="686" stopIfTrue="1" operator="beginsWith" text="Not Functioning">
      <formula>LEFT(H114,LEN("Not Functioning"))="Not Functioning"</formula>
    </cfRule>
    <cfRule type="containsText" dxfId="612" priority="687" operator="containsText" text="Functioning">
      <formula>NOT(ISERROR(SEARCH("Functioning",H114)))</formula>
    </cfRule>
  </conditionalFormatting>
  <conditionalFormatting sqref="A164">
    <cfRule type="beginsWith" dxfId="611" priority="592" stopIfTrue="1" operator="beginsWith" text="Functioning At Risk">
      <formula>LEFT(A164,LEN("Functioning At Risk"))="Functioning At Risk"</formula>
    </cfRule>
    <cfRule type="beginsWith" dxfId="610" priority="593" stopIfTrue="1" operator="beginsWith" text="Not Functioning">
      <formula>LEFT(A164,LEN("Not Functioning"))="Not Functioning"</formula>
    </cfRule>
    <cfRule type="containsText" dxfId="609" priority="594" operator="containsText" text="Functioning">
      <formula>NOT(ISERROR(SEARCH("Functioning",A164)))</formula>
    </cfRule>
  </conditionalFormatting>
  <conditionalFormatting sqref="H150:I151 A150:D150 A151 C151:D151">
    <cfRule type="beginsWith" dxfId="608" priority="619" stopIfTrue="1" operator="beginsWith" text="Functioning At Risk">
      <formula>LEFT(A150,LEN("Functioning At Risk"))="Functioning At Risk"</formula>
    </cfRule>
    <cfRule type="beginsWith" dxfId="607" priority="620" stopIfTrue="1" operator="beginsWith" text="Not Functioning">
      <formula>LEFT(A150,LEN("Not Functioning"))="Not Functioning"</formula>
    </cfRule>
    <cfRule type="containsText" dxfId="606" priority="621" operator="containsText" text="Functioning">
      <formula>NOT(ISERROR(SEARCH("Functioning",A150)))</formula>
    </cfRule>
  </conditionalFormatting>
  <conditionalFormatting sqref="D167">
    <cfRule type="beginsWith" dxfId="605" priority="586" stopIfTrue="1" operator="beginsWith" text="Functioning At Risk">
      <formula>LEFT(D167,LEN("Functioning At Risk"))="Functioning At Risk"</formula>
    </cfRule>
    <cfRule type="beginsWith" dxfId="604" priority="587" stopIfTrue="1" operator="beginsWith" text="Not Functioning">
      <formula>LEFT(D167,LEN("Not Functioning"))="Not Functioning"</formula>
    </cfRule>
    <cfRule type="containsText" dxfId="603" priority="588" operator="containsText" text="Functioning">
      <formula>NOT(ISERROR(SEARCH("Functioning",D167)))</formula>
    </cfRule>
  </conditionalFormatting>
  <conditionalFormatting sqref="D153 C152:D152">
    <cfRule type="beginsWith" dxfId="602" priority="616" stopIfTrue="1" operator="beginsWith" text="Functioning At Risk">
      <formula>LEFT(C152,LEN("Functioning At Risk"))="Functioning At Risk"</formula>
    </cfRule>
    <cfRule type="beginsWith" dxfId="601" priority="617" stopIfTrue="1" operator="beginsWith" text="Not Functioning">
      <formula>LEFT(C152,LEN("Not Functioning"))="Not Functioning"</formula>
    </cfRule>
    <cfRule type="containsText" dxfId="600" priority="618" operator="containsText" text="Functioning">
      <formula>NOT(ISERROR(SEARCH("Functioning",C152)))</formula>
    </cfRule>
  </conditionalFormatting>
  <conditionalFormatting sqref="B168">
    <cfRule type="beginsWith" dxfId="599" priority="580" stopIfTrue="1" operator="beginsWith" text="Functioning At Risk">
      <formula>LEFT(B168,LEN("Functioning At Risk"))="Functioning At Risk"</formula>
    </cfRule>
    <cfRule type="beginsWith" dxfId="598" priority="581" stopIfTrue="1" operator="beginsWith" text="Not Functioning">
      <formula>LEFT(B168,LEN("Not Functioning"))="Not Functioning"</formula>
    </cfRule>
    <cfRule type="containsText" dxfId="597" priority="582" operator="containsText" text="Functioning">
      <formula>NOT(ISERROR(SEARCH("Functioning",B168)))</formula>
    </cfRule>
  </conditionalFormatting>
  <conditionalFormatting sqref="B160">
    <cfRule type="beginsWith" dxfId="596" priority="610" stopIfTrue="1" operator="beginsWith" text="Functioning At Risk">
      <formula>LEFT(B160,LEN("Functioning At Risk"))="Functioning At Risk"</formula>
    </cfRule>
    <cfRule type="beginsWith" dxfId="595" priority="611" stopIfTrue="1" operator="beginsWith" text="Not Functioning">
      <formula>LEFT(B160,LEN("Not Functioning"))="Not Functioning"</formula>
    </cfRule>
    <cfRule type="containsText" dxfId="594" priority="612" operator="containsText" text="Functioning">
      <formula>NOT(ISERROR(SEARCH("Functioning",B160)))</formula>
    </cfRule>
  </conditionalFormatting>
  <conditionalFormatting sqref="B156:D156 C157:D157 D158:D159">
    <cfRule type="beginsWith" dxfId="593" priority="607" stopIfTrue="1" operator="beginsWith" text="Functioning At Risk">
      <formula>LEFT(B156,LEN("Functioning At Risk"))="Functioning At Risk"</formula>
    </cfRule>
    <cfRule type="beginsWith" dxfId="592" priority="608" stopIfTrue="1" operator="beginsWith" text="Not Functioning">
      <formula>LEFT(B156,LEN("Not Functioning"))="Not Functioning"</formula>
    </cfRule>
    <cfRule type="containsText" dxfId="591" priority="609" operator="containsText" text="Functioning">
      <formula>NOT(ISERROR(SEARCH("Functioning",B156)))</formula>
    </cfRule>
  </conditionalFormatting>
  <conditionalFormatting sqref="C158">
    <cfRule type="beginsWith" dxfId="590" priority="604" stopIfTrue="1" operator="beginsWith" text="Functioning At Risk">
      <formula>LEFT(C158,LEN("Functioning At Risk"))="Functioning At Risk"</formula>
    </cfRule>
    <cfRule type="beginsWith" dxfId="589" priority="605" stopIfTrue="1" operator="beginsWith" text="Not Functioning">
      <formula>LEFT(C158,LEN("Not Functioning"))="Not Functioning"</formula>
    </cfRule>
    <cfRule type="containsText" dxfId="588" priority="606" operator="containsText" text="Functioning">
      <formula>NOT(ISERROR(SEARCH("Functioning",C158)))</formula>
    </cfRule>
  </conditionalFormatting>
  <conditionalFormatting sqref="C155:D155">
    <cfRule type="beginsWith" dxfId="587" priority="613" stopIfTrue="1" operator="beginsWith" text="Functioning At Risk">
      <formula>LEFT(C155,LEN("Functioning At Risk"))="Functioning At Risk"</formula>
    </cfRule>
    <cfRule type="beginsWith" dxfId="586" priority="614" stopIfTrue="1" operator="beginsWith" text="Not Functioning">
      <formula>LEFT(C155,LEN("Not Functioning"))="Not Functioning"</formula>
    </cfRule>
    <cfRule type="containsText" dxfId="585" priority="615" operator="containsText" text="Functioning">
      <formula>NOT(ISERROR(SEARCH("Functioning",C155)))</formula>
    </cfRule>
  </conditionalFormatting>
  <conditionalFormatting sqref="C159">
    <cfRule type="beginsWith" dxfId="584" priority="601" stopIfTrue="1" operator="beginsWith" text="Functioning At Risk">
      <formula>LEFT(C159,LEN("Functioning At Risk"))="Functioning At Risk"</formula>
    </cfRule>
    <cfRule type="beginsWith" dxfId="583" priority="602" stopIfTrue="1" operator="beginsWith" text="Not Functioning">
      <formula>LEFT(C159,LEN("Not Functioning"))="Not Functioning"</formula>
    </cfRule>
    <cfRule type="containsText" dxfId="582" priority="603" operator="containsText" text="Functioning">
      <formula>NOT(ISERROR(SEARCH("Functioning",C159)))</formula>
    </cfRule>
  </conditionalFormatting>
  <conditionalFormatting sqref="D165:D166">
    <cfRule type="beginsWith" dxfId="581" priority="598" stopIfTrue="1" operator="beginsWith" text="Functioning At Risk">
      <formula>LEFT(D165,LEN("Functioning At Risk"))="Functioning At Risk"</formula>
    </cfRule>
    <cfRule type="beginsWith" dxfId="580" priority="599" stopIfTrue="1" operator="beginsWith" text="Not Functioning">
      <formula>LEFT(D165,LEN("Not Functioning"))="Not Functioning"</formula>
    </cfRule>
    <cfRule type="containsText" dxfId="579" priority="600" operator="containsText" text="Functioning">
      <formula>NOT(ISERROR(SEARCH("Functioning",D165)))</formula>
    </cfRule>
  </conditionalFormatting>
  <conditionalFormatting sqref="H164">
    <cfRule type="beginsWith" dxfId="578" priority="595" stopIfTrue="1" operator="beginsWith" text="Functioning At Risk">
      <formula>LEFT(H164,LEN("Functioning At Risk"))="Functioning At Risk"</formula>
    </cfRule>
    <cfRule type="beginsWith" dxfId="577" priority="596" stopIfTrue="1" operator="beginsWith" text="Not Functioning">
      <formula>LEFT(H164,LEN("Not Functioning"))="Not Functioning"</formula>
    </cfRule>
    <cfRule type="containsText" dxfId="576" priority="597" operator="containsText" text="Functioning">
      <formula>NOT(ISERROR(SEARCH("Functioning",H164)))</formula>
    </cfRule>
  </conditionalFormatting>
  <conditionalFormatting sqref="I167:I168 A167:A168">
    <cfRule type="beginsWith" dxfId="575" priority="589" stopIfTrue="1" operator="beginsWith" text="Functioning At Risk">
      <formula>LEFT(A167,LEN("Functioning At Risk"))="Functioning At Risk"</formula>
    </cfRule>
    <cfRule type="beginsWith" dxfId="574" priority="590" stopIfTrue="1" operator="beginsWith" text="Not Functioning">
      <formula>LEFT(A167,LEN("Not Functioning"))="Not Functioning"</formula>
    </cfRule>
    <cfRule type="containsText" dxfId="573" priority="591" operator="containsText" text="Functioning">
      <formula>NOT(ISERROR(SEARCH("Functioning",A167)))</formula>
    </cfRule>
  </conditionalFormatting>
  <conditionalFormatting sqref="D168">
    <cfRule type="beginsWith" dxfId="572" priority="583" stopIfTrue="1" operator="beginsWith" text="Functioning At Risk">
      <formula>LEFT(D168,LEN("Functioning At Risk"))="Functioning At Risk"</formula>
    </cfRule>
    <cfRule type="beginsWith" dxfId="571" priority="584" stopIfTrue="1" operator="beginsWith" text="Not Functioning">
      <formula>LEFT(D168,LEN("Not Functioning"))="Not Functioning"</formula>
    </cfRule>
    <cfRule type="containsText" dxfId="570" priority="585" operator="containsText" text="Functioning">
      <formula>NOT(ISERROR(SEARCH("Functioning",D168)))</formula>
    </cfRule>
  </conditionalFormatting>
  <conditionalFormatting sqref="B167">
    <cfRule type="beginsWith" dxfId="569" priority="577" stopIfTrue="1" operator="beginsWith" text="Functioning At Risk">
      <formula>LEFT(B167,LEN("Functioning At Risk"))="Functioning At Risk"</formula>
    </cfRule>
    <cfRule type="beginsWith" dxfId="568" priority="578" stopIfTrue="1" operator="beginsWith" text="Not Functioning">
      <formula>LEFT(B167,LEN("Not Functioning"))="Not Functioning"</formula>
    </cfRule>
    <cfRule type="containsText" dxfId="567" priority="579" operator="containsText" text="Functioning">
      <formula>NOT(ISERROR(SEARCH("Functioning",B167)))</formula>
    </cfRule>
  </conditionalFormatting>
  <conditionalFormatting sqref="I164">
    <cfRule type="beginsWith" dxfId="566" priority="634" stopIfTrue="1" operator="beginsWith" text="Functioning At Risk">
      <formula>LEFT(I164,LEN("Functioning At Risk"))="Functioning At Risk"</formula>
    </cfRule>
    <cfRule type="beginsWith" dxfId="565" priority="635" stopIfTrue="1" operator="beginsWith" text="Not Functioning">
      <formula>LEFT(I164,LEN("Not Functioning"))="Not Functioning"</formula>
    </cfRule>
    <cfRule type="containsText" dxfId="564" priority="636" operator="containsText" text="Functioning">
      <formula>NOT(ISERROR(SEARCH("Functioning",I164)))</formula>
    </cfRule>
  </conditionalFormatting>
  <conditionalFormatting sqref="H145:H146">
    <cfRule type="beginsWith" dxfId="563" priority="631" stopIfTrue="1" operator="beginsWith" text="Functioning At Risk">
      <formula>LEFT(H145,LEN("Functioning At Risk"))="Functioning At Risk"</formula>
    </cfRule>
    <cfRule type="beginsWith" dxfId="562" priority="632" stopIfTrue="1" operator="beginsWith" text="Not Functioning">
      <formula>LEFT(H145,LEN("Not Functioning"))="Not Functioning"</formula>
    </cfRule>
    <cfRule type="containsText" dxfId="561" priority="633" operator="containsText" text="Functioning">
      <formula>NOT(ISERROR(SEARCH("Functioning",H145)))</formula>
    </cfRule>
  </conditionalFormatting>
  <conditionalFormatting sqref="I145:I147">
    <cfRule type="beginsWith" dxfId="560" priority="628" stopIfTrue="1" operator="beginsWith" text="Functioning At Risk">
      <formula>LEFT(I145,LEN("Functioning At Risk"))="Functioning At Risk"</formula>
    </cfRule>
    <cfRule type="beginsWith" dxfId="559" priority="629" stopIfTrue="1" operator="beginsWith" text="Not Functioning">
      <formula>LEFT(I145,LEN("Not Functioning"))="Not Functioning"</formula>
    </cfRule>
    <cfRule type="containsText" dxfId="558" priority="630" operator="containsText" text="Functioning">
      <formula>NOT(ISERROR(SEARCH("Functioning",I145)))</formula>
    </cfRule>
  </conditionalFormatting>
  <conditionalFormatting sqref="A148:D148 C149:D149">
    <cfRule type="beginsWith" dxfId="557" priority="625" stopIfTrue="1" operator="beginsWith" text="Functioning At Risk">
      <formula>LEFT(A148,LEN("Functioning At Risk"))="Functioning At Risk"</formula>
    </cfRule>
    <cfRule type="beginsWith" dxfId="556" priority="626" stopIfTrue="1" operator="beginsWith" text="Not Functioning">
      <formula>LEFT(A148,LEN("Not Functioning"))="Not Functioning"</formula>
    </cfRule>
    <cfRule type="containsText" dxfId="555" priority="627" operator="containsText" text="Functioning">
      <formula>NOT(ISERROR(SEARCH("Functioning",A148)))</formula>
    </cfRule>
  </conditionalFormatting>
  <conditionalFormatting sqref="H148:I148">
    <cfRule type="beginsWith" dxfId="554" priority="622" stopIfTrue="1" operator="beginsWith" text="Functioning At Risk">
      <formula>LEFT(H148,LEN("Functioning At Risk"))="Functioning At Risk"</formula>
    </cfRule>
    <cfRule type="beginsWith" dxfId="553" priority="623" stopIfTrue="1" operator="beginsWith" text="Not Functioning">
      <formula>LEFT(H148,LEN("Not Functioning"))="Not Functioning"</formula>
    </cfRule>
    <cfRule type="containsText" dxfId="552" priority="624" operator="containsText" text="Functioning">
      <formula>NOT(ISERROR(SEARCH("Functioning",H148)))</formula>
    </cfRule>
  </conditionalFormatting>
  <conditionalFormatting sqref="D199:D200">
    <cfRule type="beginsWith" dxfId="551" priority="535" stopIfTrue="1" operator="beginsWith" text="Functioning At Risk">
      <formula>LEFT(D199,LEN("Functioning At Risk"))="Functioning At Risk"</formula>
    </cfRule>
    <cfRule type="beginsWith" dxfId="550" priority="536" stopIfTrue="1" operator="beginsWith" text="Not Functioning">
      <formula>LEFT(D199,LEN("Not Functioning"))="Not Functioning"</formula>
    </cfRule>
    <cfRule type="containsText" dxfId="549" priority="537" operator="containsText" text="Functioning">
      <formula>NOT(ISERROR(SEARCH("Functioning",D199)))</formula>
    </cfRule>
  </conditionalFormatting>
  <conditionalFormatting sqref="H184:I185 A184:D184 A185 C185:D185">
    <cfRule type="beginsWith" dxfId="548" priority="556" stopIfTrue="1" operator="beginsWith" text="Functioning At Risk">
      <formula>LEFT(A184,LEN("Functioning At Risk"))="Functioning At Risk"</formula>
    </cfRule>
    <cfRule type="beginsWith" dxfId="547" priority="557" stopIfTrue="1" operator="beginsWith" text="Not Functioning">
      <formula>LEFT(A184,LEN("Not Functioning"))="Not Functioning"</formula>
    </cfRule>
    <cfRule type="containsText" dxfId="546" priority="558" operator="containsText" text="Functioning">
      <formula>NOT(ISERROR(SEARCH("Functioning",A184)))</formula>
    </cfRule>
  </conditionalFormatting>
  <conditionalFormatting sqref="A198">
    <cfRule type="beginsWith" dxfId="545" priority="529" stopIfTrue="1" operator="beginsWith" text="Functioning At Risk">
      <formula>LEFT(A198,LEN("Functioning At Risk"))="Functioning At Risk"</formula>
    </cfRule>
    <cfRule type="beginsWith" dxfId="544" priority="530" stopIfTrue="1" operator="beginsWith" text="Not Functioning">
      <formula>LEFT(A198,LEN("Not Functioning"))="Not Functioning"</formula>
    </cfRule>
    <cfRule type="containsText" dxfId="543" priority="531" operator="containsText" text="Functioning">
      <formula>NOT(ISERROR(SEARCH("Functioning",A198)))</formula>
    </cfRule>
  </conditionalFormatting>
  <conditionalFormatting sqref="D187 C186:D186">
    <cfRule type="beginsWith" dxfId="542" priority="553" stopIfTrue="1" operator="beginsWith" text="Functioning At Risk">
      <formula>LEFT(C186,LEN("Functioning At Risk"))="Functioning At Risk"</formula>
    </cfRule>
    <cfRule type="beginsWith" dxfId="541" priority="554" stopIfTrue="1" operator="beginsWith" text="Not Functioning">
      <formula>LEFT(C186,LEN("Not Functioning"))="Not Functioning"</formula>
    </cfRule>
    <cfRule type="containsText" dxfId="540" priority="555" operator="containsText" text="Functioning">
      <formula>NOT(ISERROR(SEARCH("Functioning",C186)))</formula>
    </cfRule>
  </conditionalFormatting>
  <conditionalFormatting sqref="D201">
    <cfRule type="beginsWith" dxfId="539" priority="523" stopIfTrue="1" operator="beginsWith" text="Functioning At Risk">
      <formula>LEFT(D201,LEN("Functioning At Risk"))="Functioning At Risk"</formula>
    </cfRule>
    <cfRule type="beginsWith" dxfId="538" priority="524" stopIfTrue="1" operator="beginsWith" text="Not Functioning">
      <formula>LEFT(D201,LEN("Not Functioning"))="Not Functioning"</formula>
    </cfRule>
    <cfRule type="containsText" dxfId="537" priority="525" operator="containsText" text="Functioning">
      <formula>NOT(ISERROR(SEARCH("Functioning",D201)))</formula>
    </cfRule>
  </conditionalFormatting>
  <conditionalFormatting sqref="B194">
    <cfRule type="beginsWith" dxfId="536" priority="547" stopIfTrue="1" operator="beginsWith" text="Functioning At Risk">
      <formula>LEFT(B194,LEN("Functioning At Risk"))="Functioning At Risk"</formula>
    </cfRule>
    <cfRule type="beginsWith" dxfId="535" priority="548" stopIfTrue="1" operator="beginsWith" text="Not Functioning">
      <formula>LEFT(B194,LEN("Not Functioning"))="Not Functioning"</formula>
    </cfRule>
    <cfRule type="containsText" dxfId="534" priority="549" operator="containsText" text="Functioning">
      <formula>NOT(ISERROR(SEARCH("Functioning",B194)))</formula>
    </cfRule>
  </conditionalFormatting>
  <conditionalFormatting sqref="B190:D190 C191:D191 D192:D193">
    <cfRule type="beginsWith" dxfId="533" priority="544" stopIfTrue="1" operator="beginsWith" text="Functioning At Risk">
      <formula>LEFT(B190,LEN("Functioning At Risk"))="Functioning At Risk"</formula>
    </cfRule>
    <cfRule type="beginsWith" dxfId="532" priority="545" stopIfTrue="1" operator="beginsWith" text="Not Functioning">
      <formula>LEFT(B190,LEN("Not Functioning"))="Not Functioning"</formula>
    </cfRule>
    <cfRule type="containsText" dxfId="531" priority="546" operator="containsText" text="Functioning">
      <formula>NOT(ISERROR(SEARCH("Functioning",B190)))</formula>
    </cfRule>
  </conditionalFormatting>
  <conditionalFormatting sqref="C192">
    <cfRule type="beginsWith" dxfId="530" priority="541" stopIfTrue="1" operator="beginsWith" text="Functioning At Risk">
      <formula>LEFT(C192,LEN("Functioning At Risk"))="Functioning At Risk"</formula>
    </cfRule>
    <cfRule type="beginsWith" dxfId="529" priority="542" stopIfTrue="1" operator="beginsWith" text="Not Functioning">
      <formula>LEFT(C192,LEN("Not Functioning"))="Not Functioning"</formula>
    </cfRule>
    <cfRule type="containsText" dxfId="528" priority="543" operator="containsText" text="Functioning">
      <formula>NOT(ISERROR(SEARCH("Functioning",C192)))</formula>
    </cfRule>
  </conditionalFormatting>
  <conditionalFormatting sqref="C189:D189">
    <cfRule type="beginsWith" dxfId="527" priority="550" stopIfTrue="1" operator="beginsWith" text="Functioning At Risk">
      <formula>LEFT(C189,LEN("Functioning At Risk"))="Functioning At Risk"</formula>
    </cfRule>
    <cfRule type="beginsWith" dxfId="526" priority="551" stopIfTrue="1" operator="beginsWith" text="Not Functioning">
      <formula>LEFT(C189,LEN("Not Functioning"))="Not Functioning"</formula>
    </cfRule>
    <cfRule type="containsText" dxfId="525" priority="552" operator="containsText" text="Functioning">
      <formula>NOT(ISERROR(SEARCH("Functioning",C189)))</formula>
    </cfRule>
  </conditionalFormatting>
  <conditionalFormatting sqref="C193">
    <cfRule type="beginsWith" dxfId="524" priority="538" stopIfTrue="1" operator="beginsWith" text="Functioning At Risk">
      <formula>LEFT(C193,LEN("Functioning At Risk"))="Functioning At Risk"</formula>
    </cfRule>
    <cfRule type="beginsWith" dxfId="523" priority="539" stopIfTrue="1" operator="beginsWith" text="Not Functioning">
      <formula>LEFT(C193,LEN("Not Functioning"))="Not Functioning"</formula>
    </cfRule>
    <cfRule type="containsText" dxfId="522" priority="540" operator="containsText" text="Functioning">
      <formula>NOT(ISERROR(SEARCH("Functioning",C193)))</formula>
    </cfRule>
  </conditionalFormatting>
  <conditionalFormatting sqref="H198">
    <cfRule type="beginsWith" dxfId="521" priority="532" stopIfTrue="1" operator="beginsWith" text="Functioning At Risk">
      <formula>LEFT(H198,LEN("Functioning At Risk"))="Functioning At Risk"</formula>
    </cfRule>
    <cfRule type="beginsWith" dxfId="520" priority="533" stopIfTrue="1" operator="beginsWith" text="Not Functioning">
      <formula>LEFT(H198,LEN("Not Functioning"))="Not Functioning"</formula>
    </cfRule>
    <cfRule type="containsText" dxfId="519" priority="534" operator="containsText" text="Functioning">
      <formula>NOT(ISERROR(SEARCH("Functioning",H198)))</formula>
    </cfRule>
  </conditionalFormatting>
  <conditionalFormatting sqref="I201:I202 A201:A202">
    <cfRule type="beginsWith" dxfId="518" priority="526" stopIfTrue="1" operator="beginsWith" text="Functioning At Risk">
      <formula>LEFT(A201,LEN("Functioning At Risk"))="Functioning At Risk"</formula>
    </cfRule>
    <cfRule type="beginsWith" dxfId="517" priority="527" stopIfTrue="1" operator="beginsWith" text="Not Functioning">
      <formula>LEFT(A201,LEN("Not Functioning"))="Not Functioning"</formula>
    </cfRule>
    <cfRule type="containsText" dxfId="516" priority="528" operator="containsText" text="Functioning">
      <formula>NOT(ISERROR(SEARCH("Functioning",A201)))</formula>
    </cfRule>
  </conditionalFormatting>
  <conditionalFormatting sqref="D202">
    <cfRule type="beginsWith" dxfId="515" priority="520" stopIfTrue="1" operator="beginsWith" text="Functioning At Risk">
      <formula>LEFT(D202,LEN("Functioning At Risk"))="Functioning At Risk"</formula>
    </cfRule>
    <cfRule type="beginsWith" dxfId="514" priority="521" stopIfTrue="1" operator="beginsWith" text="Not Functioning">
      <formula>LEFT(D202,LEN("Not Functioning"))="Not Functioning"</formula>
    </cfRule>
    <cfRule type="containsText" dxfId="513" priority="522" operator="containsText" text="Functioning">
      <formula>NOT(ISERROR(SEARCH("Functioning",D202)))</formula>
    </cfRule>
  </conditionalFormatting>
  <conditionalFormatting sqref="B202">
    <cfRule type="beginsWith" dxfId="512" priority="517" stopIfTrue="1" operator="beginsWith" text="Functioning At Risk">
      <formula>LEFT(B202,LEN("Functioning At Risk"))="Functioning At Risk"</formula>
    </cfRule>
    <cfRule type="beginsWith" dxfId="511" priority="518" stopIfTrue="1" operator="beginsWith" text="Not Functioning">
      <formula>LEFT(B202,LEN("Not Functioning"))="Not Functioning"</formula>
    </cfRule>
    <cfRule type="containsText" dxfId="510" priority="519" operator="containsText" text="Functioning">
      <formula>NOT(ISERROR(SEARCH("Functioning",B202)))</formula>
    </cfRule>
  </conditionalFormatting>
  <conditionalFormatting sqref="B201">
    <cfRule type="beginsWith" dxfId="509" priority="514" stopIfTrue="1" operator="beginsWith" text="Functioning At Risk">
      <formula>LEFT(B201,LEN("Functioning At Risk"))="Functioning At Risk"</formula>
    </cfRule>
    <cfRule type="beginsWith" dxfId="508" priority="515" stopIfTrue="1" operator="beginsWith" text="Not Functioning">
      <formula>LEFT(B201,LEN("Not Functioning"))="Not Functioning"</formula>
    </cfRule>
    <cfRule type="containsText" dxfId="507" priority="516" operator="containsText" text="Functioning">
      <formula>NOT(ISERROR(SEARCH("Functioning",B201)))</formula>
    </cfRule>
  </conditionalFormatting>
  <conditionalFormatting sqref="J179:J181">
    <cfRule type="beginsWith" dxfId="506" priority="574" stopIfTrue="1" operator="beginsWith" text="Functioning At Risk">
      <formula>LEFT(J179,LEN("Functioning At Risk"))="Functioning At Risk"</formula>
    </cfRule>
    <cfRule type="beginsWith" dxfId="505" priority="575" stopIfTrue="1" operator="beginsWith" text="Not Functioning">
      <formula>LEFT(J179,LEN("Not Functioning"))="Not Functioning"</formula>
    </cfRule>
    <cfRule type="containsText" dxfId="504" priority="576" operator="containsText" text="Functioning">
      <formula>NOT(ISERROR(SEARCH("Functioning",J179)))</formula>
    </cfRule>
  </conditionalFormatting>
  <conditionalFormatting sqref="I198">
    <cfRule type="beginsWith" dxfId="503" priority="571" stopIfTrue="1" operator="beginsWith" text="Functioning At Risk">
      <formula>LEFT(I198,LEN("Functioning At Risk"))="Functioning At Risk"</formula>
    </cfRule>
    <cfRule type="beginsWith" dxfId="502" priority="572" stopIfTrue="1" operator="beginsWith" text="Not Functioning">
      <formula>LEFT(I198,LEN("Not Functioning"))="Not Functioning"</formula>
    </cfRule>
    <cfRule type="containsText" dxfId="501" priority="573" operator="containsText" text="Functioning">
      <formula>NOT(ISERROR(SEARCH("Functioning",I198)))</formula>
    </cfRule>
  </conditionalFormatting>
  <conditionalFormatting sqref="H179:H180">
    <cfRule type="beginsWith" dxfId="500" priority="568" stopIfTrue="1" operator="beginsWith" text="Functioning At Risk">
      <formula>LEFT(H179,LEN("Functioning At Risk"))="Functioning At Risk"</formula>
    </cfRule>
    <cfRule type="beginsWith" dxfId="499" priority="569" stopIfTrue="1" operator="beginsWith" text="Not Functioning">
      <formula>LEFT(H179,LEN("Not Functioning"))="Not Functioning"</formula>
    </cfRule>
    <cfRule type="containsText" dxfId="498" priority="570" operator="containsText" text="Functioning">
      <formula>NOT(ISERROR(SEARCH("Functioning",H179)))</formula>
    </cfRule>
  </conditionalFormatting>
  <conditionalFormatting sqref="I179:I181">
    <cfRule type="beginsWith" dxfId="497" priority="565" stopIfTrue="1" operator="beginsWith" text="Functioning At Risk">
      <formula>LEFT(I179,LEN("Functioning At Risk"))="Functioning At Risk"</formula>
    </cfRule>
    <cfRule type="beginsWith" dxfId="496" priority="566" stopIfTrue="1" operator="beginsWith" text="Not Functioning">
      <formula>LEFT(I179,LEN("Not Functioning"))="Not Functioning"</formula>
    </cfRule>
    <cfRule type="containsText" dxfId="495" priority="567" operator="containsText" text="Functioning">
      <formula>NOT(ISERROR(SEARCH("Functioning",I179)))</formula>
    </cfRule>
  </conditionalFormatting>
  <conditionalFormatting sqref="A182:D182 C183:D183">
    <cfRule type="beginsWith" dxfId="494" priority="562" stopIfTrue="1" operator="beginsWith" text="Functioning At Risk">
      <formula>LEFT(A182,LEN("Functioning At Risk"))="Functioning At Risk"</formula>
    </cfRule>
    <cfRule type="beginsWith" dxfId="493" priority="563" stopIfTrue="1" operator="beginsWith" text="Not Functioning">
      <formula>LEFT(A182,LEN("Not Functioning"))="Not Functioning"</formula>
    </cfRule>
    <cfRule type="containsText" dxfId="492" priority="564" operator="containsText" text="Functioning">
      <formula>NOT(ISERROR(SEARCH("Functioning",A182)))</formula>
    </cfRule>
  </conditionalFormatting>
  <conditionalFormatting sqref="H182:I182">
    <cfRule type="beginsWith" dxfId="491" priority="559" stopIfTrue="1" operator="beginsWith" text="Functioning At Risk">
      <formula>LEFT(H182,LEN("Functioning At Risk"))="Functioning At Risk"</formula>
    </cfRule>
    <cfRule type="beginsWith" dxfId="490" priority="560" stopIfTrue="1" operator="beginsWith" text="Not Functioning">
      <formula>LEFT(H182,LEN("Not Functioning"))="Not Functioning"</formula>
    </cfRule>
    <cfRule type="containsText" dxfId="489" priority="561" operator="containsText" text="Functioning">
      <formula>NOT(ISERROR(SEARCH("Functioning",H182)))</formula>
    </cfRule>
  </conditionalFormatting>
  <conditionalFormatting sqref="C226">
    <cfRule type="beginsWith" dxfId="488" priority="478" stopIfTrue="1" operator="beginsWith" text="Functioning At Risk">
      <formula>LEFT(C226,LEN("Functioning At Risk"))="Functioning At Risk"</formula>
    </cfRule>
    <cfRule type="beginsWith" dxfId="487" priority="479" stopIfTrue="1" operator="beginsWith" text="Not Functioning">
      <formula>LEFT(C226,LEN("Not Functioning"))="Not Functioning"</formula>
    </cfRule>
    <cfRule type="containsText" dxfId="486" priority="480" operator="containsText" text="Functioning">
      <formula>NOT(ISERROR(SEARCH("Functioning",C226)))</formula>
    </cfRule>
  </conditionalFormatting>
  <conditionalFormatting sqref="H218:I219 A218:D218 A219 C219:D219">
    <cfRule type="beginsWith" dxfId="485" priority="493" stopIfTrue="1" operator="beginsWith" text="Functioning At Risk">
      <formula>LEFT(A218,LEN("Functioning At Risk"))="Functioning At Risk"</formula>
    </cfRule>
    <cfRule type="beginsWith" dxfId="484" priority="494" stopIfTrue="1" operator="beginsWith" text="Not Functioning">
      <formula>LEFT(A218,LEN("Not Functioning"))="Not Functioning"</formula>
    </cfRule>
    <cfRule type="containsText" dxfId="483" priority="495" operator="containsText" text="Functioning">
      <formula>NOT(ISERROR(SEARCH("Functioning",A218)))</formula>
    </cfRule>
  </conditionalFormatting>
  <conditionalFormatting sqref="D233:D234">
    <cfRule type="beginsWith" dxfId="482" priority="472" stopIfTrue="1" operator="beginsWith" text="Functioning At Risk">
      <formula>LEFT(D233,LEN("Functioning At Risk"))="Functioning At Risk"</formula>
    </cfRule>
    <cfRule type="beginsWith" dxfId="481" priority="473" stopIfTrue="1" operator="beginsWith" text="Not Functioning">
      <formula>LEFT(D233,LEN("Not Functioning"))="Not Functioning"</formula>
    </cfRule>
    <cfRule type="containsText" dxfId="480" priority="474" operator="containsText" text="Functioning">
      <formula>NOT(ISERROR(SEARCH("Functioning",D233)))</formula>
    </cfRule>
  </conditionalFormatting>
  <conditionalFormatting sqref="D221 C220:D220">
    <cfRule type="beginsWith" dxfId="479" priority="490" stopIfTrue="1" operator="beginsWith" text="Functioning At Risk">
      <formula>LEFT(C220,LEN("Functioning At Risk"))="Functioning At Risk"</formula>
    </cfRule>
    <cfRule type="beginsWith" dxfId="478" priority="491" stopIfTrue="1" operator="beginsWith" text="Not Functioning">
      <formula>LEFT(C220,LEN("Not Functioning"))="Not Functioning"</formula>
    </cfRule>
    <cfRule type="containsText" dxfId="477" priority="492" operator="containsText" text="Functioning">
      <formula>NOT(ISERROR(SEARCH("Functioning",C220)))</formula>
    </cfRule>
  </conditionalFormatting>
  <conditionalFormatting sqref="A232">
    <cfRule type="beginsWith" dxfId="476" priority="466" stopIfTrue="1" operator="beginsWith" text="Functioning At Risk">
      <formula>LEFT(A232,LEN("Functioning At Risk"))="Functioning At Risk"</formula>
    </cfRule>
    <cfRule type="beginsWith" dxfId="475" priority="467" stopIfTrue="1" operator="beginsWith" text="Not Functioning">
      <formula>LEFT(A232,LEN("Not Functioning"))="Not Functioning"</formula>
    </cfRule>
    <cfRule type="containsText" dxfId="474" priority="468" operator="containsText" text="Functioning">
      <formula>NOT(ISERROR(SEARCH("Functioning",A232)))</formula>
    </cfRule>
  </conditionalFormatting>
  <conditionalFormatting sqref="B228">
    <cfRule type="beginsWith" dxfId="473" priority="484" stopIfTrue="1" operator="beginsWith" text="Functioning At Risk">
      <formula>LEFT(B228,LEN("Functioning At Risk"))="Functioning At Risk"</formula>
    </cfRule>
    <cfRule type="beginsWith" dxfId="472" priority="485" stopIfTrue="1" operator="beginsWith" text="Not Functioning">
      <formula>LEFT(B228,LEN("Not Functioning"))="Not Functioning"</formula>
    </cfRule>
    <cfRule type="containsText" dxfId="471" priority="486" operator="containsText" text="Functioning">
      <formula>NOT(ISERROR(SEARCH("Functioning",B228)))</formula>
    </cfRule>
  </conditionalFormatting>
  <conditionalFormatting sqref="B224:D224 C225:D225 D226:D227">
    <cfRule type="beginsWith" dxfId="470" priority="481" stopIfTrue="1" operator="beginsWith" text="Functioning At Risk">
      <formula>LEFT(B224,LEN("Functioning At Risk"))="Functioning At Risk"</formula>
    </cfRule>
    <cfRule type="beginsWith" dxfId="469" priority="482" stopIfTrue="1" operator="beginsWith" text="Not Functioning">
      <formula>LEFT(B224,LEN("Not Functioning"))="Not Functioning"</formula>
    </cfRule>
    <cfRule type="containsText" dxfId="468" priority="483" operator="containsText" text="Functioning">
      <formula>NOT(ISERROR(SEARCH("Functioning",B224)))</formula>
    </cfRule>
  </conditionalFormatting>
  <conditionalFormatting sqref="C223:D223">
    <cfRule type="beginsWith" dxfId="467" priority="487" stopIfTrue="1" operator="beginsWith" text="Functioning At Risk">
      <formula>LEFT(C223,LEN("Functioning At Risk"))="Functioning At Risk"</formula>
    </cfRule>
    <cfRule type="beginsWith" dxfId="466" priority="488" stopIfTrue="1" operator="beginsWith" text="Not Functioning">
      <formula>LEFT(C223,LEN("Not Functioning"))="Not Functioning"</formula>
    </cfRule>
    <cfRule type="containsText" dxfId="465" priority="489" operator="containsText" text="Functioning">
      <formula>NOT(ISERROR(SEARCH("Functioning",C223)))</formula>
    </cfRule>
  </conditionalFormatting>
  <conditionalFormatting sqref="C227">
    <cfRule type="beginsWith" dxfId="464" priority="475" stopIfTrue="1" operator="beginsWith" text="Functioning At Risk">
      <formula>LEFT(C227,LEN("Functioning At Risk"))="Functioning At Risk"</formula>
    </cfRule>
    <cfRule type="beginsWith" dxfId="463" priority="476" stopIfTrue="1" operator="beginsWith" text="Not Functioning">
      <formula>LEFT(C227,LEN("Not Functioning"))="Not Functioning"</formula>
    </cfRule>
    <cfRule type="containsText" dxfId="462" priority="477" operator="containsText" text="Functioning">
      <formula>NOT(ISERROR(SEARCH("Functioning",C227)))</formula>
    </cfRule>
  </conditionalFormatting>
  <conditionalFormatting sqref="H232">
    <cfRule type="beginsWith" dxfId="461" priority="469" stopIfTrue="1" operator="beginsWith" text="Functioning At Risk">
      <formula>LEFT(H232,LEN("Functioning At Risk"))="Functioning At Risk"</formula>
    </cfRule>
    <cfRule type="beginsWith" dxfId="460" priority="470" stopIfTrue="1" operator="beginsWith" text="Not Functioning">
      <formula>LEFT(H232,LEN("Not Functioning"))="Not Functioning"</formula>
    </cfRule>
    <cfRule type="containsText" dxfId="459" priority="471" operator="containsText" text="Functioning">
      <formula>NOT(ISERROR(SEARCH("Functioning",H232)))</formula>
    </cfRule>
  </conditionalFormatting>
  <conditionalFormatting sqref="I235:I236 A235:A236">
    <cfRule type="beginsWith" dxfId="458" priority="463" stopIfTrue="1" operator="beginsWith" text="Functioning At Risk">
      <formula>LEFT(A235,LEN("Functioning At Risk"))="Functioning At Risk"</formula>
    </cfRule>
    <cfRule type="beginsWith" dxfId="457" priority="464" stopIfTrue="1" operator="beginsWith" text="Not Functioning">
      <formula>LEFT(A235,LEN("Not Functioning"))="Not Functioning"</formula>
    </cfRule>
    <cfRule type="containsText" dxfId="456" priority="465" operator="containsText" text="Functioning">
      <formula>NOT(ISERROR(SEARCH("Functioning",A235)))</formula>
    </cfRule>
  </conditionalFormatting>
  <conditionalFormatting sqref="D235">
    <cfRule type="beginsWith" dxfId="455" priority="460" stopIfTrue="1" operator="beginsWith" text="Functioning At Risk">
      <formula>LEFT(D235,LEN("Functioning At Risk"))="Functioning At Risk"</formula>
    </cfRule>
    <cfRule type="beginsWith" dxfId="454" priority="461" stopIfTrue="1" operator="beginsWith" text="Not Functioning">
      <formula>LEFT(D235,LEN("Not Functioning"))="Not Functioning"</formula>
    </cfRule>
    <cfRule type="containsText" dxfId="453" priority="462" operator="containsText" text="Functioning">
      <formula>NOT(ISERROR(SEARCH("Functioning",D235)))</formula>
    </cfRule>
  </conditionalFormatting>
  <conditionalFormatting sqref="D236">
    <cfRule type="beginsWith" dxfId="452" priority="457" stopIfTrue="1" operator="beginsWith" text="Functioning At Risk">
      <formula>LEFT(D236,LEN("Functioning At Risk"))="Functioning At Risk"</formula>
    </cfRule>
    <cfRule type="beginsWith" dxfId="451" priority="458" stopIfTrue="1" operator="beginsWith" text="Not Functioning">
      <formula>LEFT(D236,LEN("Not Functioning"))="Not Functioning"</formula>
    </cfRule>
    <cfRule type="containsText" dxfId="450" priority="459" operator="containsText" text="Functioning">
      <formula>NOT(ISERROR(SEARCH("Functioning",D236)))</formula>
    </cfRule>
  </conditionalFormatting>
  <conditionalFormatting sqref="B236">
    <cfRule type="beginsWith" dxfId="449" priority="454" stopIfTrue="1" operator="beginsWith" text="Functioning At Risk">
      <formula>LEFT(B236,LEN("Functioning At Risk"))="Functioning At Risk"</formula>
    </cfRule>
    <cfRule type="beginsWith" dxfId="448" priority="455" stopIfTrue="1" operator="beginsWith" text="Not Functioning">
      <formula>LEFT(B236,LEN("Not Functioning"))="Not Functioning"</formula>
    </cfRule>
    <cfRule type="containsText" dxfId="447" priority="456" operator="containsText" text="Functioning">
      <formula>NOT(ISERROR(SEARCH("Functioning",B236)))</formula>
    </cfRule>
  </conditionalFormatting>
  <conditionalFormatting sqref="B235">
    <cfRule type="beginsWith" dxfId="446" priority="451" stopIfTrue="1" operator="beginsWith" text="Functioning At Risk">
      <formula>LEFT(B235,LEN("Functioning At Risk"))="Functioning At Risk"</formula>
    </cfRule>
    <cfRule type="beginsWith" dxfId="445" priority="452" stopIfTrue="1" operator="beginsWith" text="Not Functioning">
      <formula>LEFT(B235,LEN("Not Functioning"))="Not Functioning"</formula>
    </cfRule>
    <cfRule type="containsText" dxfId="444" priority="453" operator="containsText" text="Functioning">
      <formula>NOT(ISERROR(SEARCH("Functioning",B235)))</formula>
    </cfRule>
  </conditionalFormatting>
  <conditionalFormatting sqref="J213:J215">
    <cfRule type="beginsWith" dxfId="443" priority="511" stopIfTrue="1" operator="beginsWith" text="Functioning At Risk">
      <formula>LEFT(J213,LEN("Functioning At Risk"))="Functioning At Risk"</formula>
    </cfRule>
    <cfRule type="beginsWith" dxfId="442" priority="512" stopIfTrue="1" operator="beginsWith" text="Not Functioning">
      <formula>LEFT(J213,LEN("Not Functioning"))="Not Functioning"</formula>
    </cfRule>
    <cfRule type="containsText" dxfId="441" priority="513" operator="containsText" text="Functioning">
      <formula>NOT(ISERROR(SEARCH("Functioning",J213)))</formula>
    </cfRule>
  </conditionalFormatting>
  <conditionalFormatting sqref="I232">
    <cfRule type="beginsWith" dxfId="440" priority="508" stopIfTrue="1" operator="beginsWith" text="Functioning At Risk">
      <formula>LEFT(I232,LEN("Functioning At Risk"))="Functioning At Risk"</formula>
    </cfRule>
    <cfRule type="beginsWith" dxfId="439" priority="509" stopIfTrue="1" operator="beginsWith" text="Not Functioning">
      <formula>LEFT(I232,LEN("Not Functioning"))="Not Functioning"</formula>
    </cfRule>
    <cfRule type="containsText" dxfId="438" priority="510" operator="containsText" text="Functioning">
      <formula>NOT(ISERROR(SEARCH("Functioning",I232)))</formula>
    </cfRule>
  </conditionalFormatting>
  <conditionalFormatting sqref="H213:H214">
    <cfRule type="beginsWith" dxfId="437" priority="505" stopIfTrue="1" operator="beginsWith" text="Functioning At Risk">
      <formula>LEFT(H213,LEN("Functioning At Risk"))="Functioning At Risk"</formula>
    </cfRule>
    <cfRule type="beginsWith" dxfId="436" priority="506" stopIfTrue="1" operator="beginsWith" text="Not Functioning">
      <formula>LEFT(H213,LEN("Not Functioning"))="Not Functioning"</formula>
    </cfRule>
    <cfRule type="containsText" dxfId="435" priority="507" operator="containsText" text="Functioning">
      <formula>NOT(ISERROR(SEARCH("Functioning",H213)))</formula>
    </cfRule>
  </conditionalFormatting>
  <conditionalFormatting sqref="I213:I215">
    <cfRule type="beginsWith" dxfId="434" priority="502" stopIfTrue="1" operator="beginsWith" text="Functioning At Risk">
      <formula>LEFT(I213,LEN("Functioning At Risk"))="Functioning At Risk"</formula>
    </cfRule>
    <cfRule type="beginsWith" dxfId="433" priority="503" stopIfTrue="1" operator="beginsWith" text="Not Functioning">
      <formula>LEFT(I213,LEN("Not Functioning"))="Not Functioning"</formula>
    </cfRule>
    <cfRule type="containsText" dxfId="432" priority="504" operator="containsText" text="Functioning">
      <formula>NOT(ISERROR(SEARCH("Functioning",I213)))</formula>
    </cfRule>
  </conditionalFormatting>
  <conditionalFormatting sqref="A216:D216 C217:D217">
    <cfRule type="beginsWith" dxfId="431" priority="499" stopIfTrue="1" operator="beginsWith" text="Functioning At Risk">
      <formula>LEFT(A216,LEN("Functioning At Risk"))="Functioning At Risk"</formula>
    </cfRule>
    <cfRule type="beginsWith" dxfId="430" priority="500" stopIfTrue="1" operator="beginsWith" text="Not Functioning">
      <formula>LEFT(A216,LEN("Not Functioning"))="Not Functioning"</formula>
    </cfRule>
    <cfRule type="containsText" dxfId="429" priority="501" operator="containsText" text="Functioning">
      <formula>NOT(ISERROR(SEARCH("Functioning",A216)))</formula>
    </cfRule>
  </conditionalFormatting>
  <conditionalFormatting sqref="H216:I216">
    <cfRule type="beginsWith" dxfId="428" priority="496" stopIfTrue="1" operator="beginsWith" text="Functioning At Risk">
      <formula>LEFT(H216,LEN("Functioning At Risk"))="Functioning At Risk"</formula>
    </cfRule>
    <cfRule type="beginsWith" dxfId="427" priority="497" stopIfTrue="1" operator="beginsWith" text="Not Functioning">
      <formula>LEFT(H216,LEN("Not Functioning"))="Not Functioning"</formula>
    </cfRule>
    <cfRule type="containsText" dxfId="426" priority="498" operator="containsText" text="Functioning">
      <formula>NOT(ISERROR(SEARCH("Functioning",H216)))</formula>
    </cfRule>
  </conditionalFormatting>
  <conditionalFormatting sqref="B262">
    <cfRule type="beginsWith" dxfId="425" priority="421" stopIfTrue="1" operator="beginsWith" text="Functioning At Risk">
      <formula>LEFT(B262,LEN("Functioning At Risk"))="Functioning At Risk"</formula>
    </cfRule>
    <cfRule type="beginsWith" dxfId="424" priority="422" stopIfTrue="1" operator="beginsWith" text="Not Functioning">
      <formula>LEFT(B262,LEN("Not Functioning"))="Not Functioning"</formula>
    </cfRule>
    <cfRule type="containsText" dxfId="423" priority="423" operator="containsText" text="Functioning">
      <formula>NOT(ISERROR(SEARCH("Functioning",B262)))</formula>
    </cfRule>
  </conditionalFormatting>
  <conditionalFormatting sqref="H252:I253 A252:D252 A253 C253:D253">
    <cfRule type="beginsWith" dxfId="422" priority="430" stopIfTrue="1" operator="beginsWith" text="Functioning At Risk">
      <formula>LEFT(A252,LEN("Functioning At Risk"))="Functioning At Risk"</formula>
    </cfRule>
    <cfRule type="beginsWith" dxfId="421" priority="431" stopIfTrue="1" operator="beginsWith" text="Not Functioning">
      <formula>LEFT(A252,LEN("Not Functioning"))="Not Functioning"</formula>
    </cfRule>
    <cfRule type="containsText" dxfId="420" priority="432" operator="containsText" text="Functioning">
      <formula>NOT(ISERROR(SEARCH("Functioning",A252)))</formula>
    </cfRule>
  </conditionalFormatting>
  <conditionalFormatting sqref="C260">
    <cfRule type="beginsWith" dxfId="419" priority="415" stopIfTrue="1" operator="beginsWith" text="Functioning At Risk">
      <formula>LEFT(C260,LEN("Functioning At Risk"))="Functioning At Risk"</formula>
    </cfRule>
    <cfRule type="beginsWith" dxfId="418" priority="416" stopIfTrue="1" operator="beginsWith" text="Not Functioning">
      <formula>LEFT(C260,LEN("Not Functioning"))="Not Functioning"</formula>
    </cfRule>
    <cfRule type="containsText" dxfId="417" priority="417" operator="containsText" text="Functioning">
      <formula>NOT(ISERROR(SEARCH("Functioning",C260)))</formula>
    </cfRule>
  </conditionalFormatting>
  <conditionalFormatting sqref="D255 C254:D254">
    <cfRule type="beginsWith" dxfId="416" priority="427" stopIfTrue="1" operator="beginsWith" text="Functioning At Risk">
      <formula>LEFT(C254,LEN("Functioning At Risk"))="Functioning At Risk"</formula>
    </cfRule>
    <cfRule type="beginsWith" dxfId="415" priority="428" stopIfTrue="1" operator="beginsWith" text="Not Functioning">
      <formula>LEFT(C254,LEN("Not Functioning"))="Not Functioning"</formula>
    </cfRule>
    <cfRule type="containsText" dxfId="414" priority="429" operator="containsText" text="Functioning">
      <formula>NOT(ISERROR(SEARCH("Functioning",C254)))</formula>
    </cfRule>
  </conditionalFormatting>
  <conditionalFormatting sqref="D267:D268">
    <cfRule type="beginsWith" dxfId="413" priority="409" stopIfTrue="1" operator="beginsWith" text="Functioning At Risk">
      <formula>LEFT(D267,LEN("Functioning At Risk"))="Functioning At Risk"</formula>
    </cfRule>
    <cfRule type="beginsWith" dxfId="412" priority="410" stopIfTrue="1" operator="beginsWith" text="Not Functioning">
      <formula>LEFT(D267,LEN("Not Functioning"))="Not Functioning"</formula>
    </cfRule>
    <cfRule type="containsText" dxfId="411" priority="411" operator="containsText" text="Functioning">
      <formula>NOT(ISERROR(SEARCH("Functioning",D267)))</formula>
    </cfRule>
  </conditionalFormatting>
  <conditionalFormatting sqref="B258:D258 C259:D259 D260:D261">
    <cfRule type="beginsWith" dxfId="410" priority="418" stopIfTrue="1" operator="beginsWith" text="Functioning At Risk">
      <formula>LEFT(B258,LEN("Functioning At Risk"))="Functioning At Risk"</formula>
    </cfRule>
    <cfRule type="beginsWith" dxfId="409" priority="419" stopIfTrue="1" operator="beginsWith" text="Not Functioning">
      <formula>LEFT(B258,LEN("Not Functioning"))="Not Functioning"</formula>
    </cfRule>
    <cfRule type="containsText" dxfId="408" priority="420" operator="containsText" text="Functioning">
      <formula>NOT(ISERROR(SEARCH("Functioning",B258)))</formula>
    </cfRule>
  </conditionalFormatting>
  <conditionalFormatting sqref="C257:D257">
    <cfRule type="beginsWith" dxfId="407" priority="424" stopIfTrue="1" operator="beginsWith" text="Functioning At Risk">
      <formula>LEFT(C257,LEN("Functioning At Risk"))="Functioning At Risk"</formula>
    </cfRule>
    <cfRule type="beginsWith" dxfId="406" priority="425" stopIfTrue="1" operator="beginsWith" text="Not Functioning">
      <formula>LEFT(C257,LEN("Not Functioning"))="Not Functioning"</formula>
    </cfRule>
    <cfRule type="containsText" dxfId="405" priority="426" operator="containsText" text="Functioning">
      <formula>NOT(ISERROR(SEARCH("Functioning",C257)))</formula>
    </cfRule>
  </conditionalFormatting>
  <conditionalFormatting sqref="C261">
    <cfRule type="beginsWith" dxfId="404" priority="412" stopIfTrue="1" operator="beginsWith" text="Functioning At Risk">
      <formula>LEFT(C261,LEN("Functioning At Risk"))="Functioning At Risk"</formula>
    </cfRule>
    <cfRule type="beginsWith" dxfId="403" priority="413" stopIfTrue="1" operator="beginsWith" text="Not Functioning">
      <formula>LEFT(C261,LEN("Not Functioning"))="Not Functioning"</formula>
    </cfRule>
    <cfRule type="containsText" dxfId="402" priority="414" operator="containsText" text="Functioning">
      <formula>NOT(ISERROR(SEARCH("Functioning",C261)))</formula>
    </cfRule>
  </conditionalFormatting>
  <conditionalFormatting sqref="H266">
    <cfRule type="beginsWith" dxfId="401" priority="406" stopIfTrue="1" operator="beginsWith" text="Functioning At Risk">
      <formula>LEFT(H266,LEN("Functioning At Risk"))="Functioning At Risk"</formula>
    </cfRule>
    <cfRule type="beginsWith" dxfId="400" priority="407" stopIfTrue="1" operator="beginsWith" text="Not Functioning">
      <formula>LEFT(H266,LEN("Not Functioning"))="Not Functioning"</formula>
    </cfRule>
    <cfRule type="containsText" dxfId="399" priority="408" operator="containsText" text="Functioning">
      <formula>NOT(ISERROR(SEARCH("Functioning",H266)))</formula>
    </cfRule>
  </conditionalFormatting>
  <conditionalFormatting sqref="A266">
    <cfRule type="beginsWith" dxfId="398" priority="403" stopIfTrue="1" operator="beginsWith" text="Functioning At Risk">
      <formula>LEFT(A266,LEN("Functioning At Risk"))="Functioning At Risk"</formula>
    </cfRule>
    <cfRule type="beginsWith" dxfId="397" priority="404" stopIfTrue="1" operator="beginsWith" text="Not Functioning">
      <formula>LEFT(A266,LEN("Not Functioning"))="Not Functioning"</formula>
    </cfRule>
    <cfRule type="containsText" dxfId="396" priority="405" operator="containsText" text="Functioning">
      <formula>NOT(ISERROR(SEARCH("Functioning",A266)))</formula>
    </cfRule>
  </conditionalFormatting>
  <conditionalFormatting sqref="I269:I270 A269:A270">
    <cfRule type="beginsWith" dxfId="395" priority="400" stopIfTrue="1" operator="beginsWith" text="Functioning At Risk">
      <formula>LEFT(A269,LEN("Functioning At Risk"))="Functioning At Risk"</formula>
    </cfRule>
    <cfRule type="beginsWith" dxfId="394" priority="401" stopIfTrue="1" operator="beginsWith" text="Not Functioning">
      <formula>LEFT(A269,LEN("Not Functioning"))="Not Functioning"</formula>
    </cfRule>
    <cfRule type="containsText" dxfId="393" priority="402" operator="containsText" text="Functioning">
      <formula>NOT(ISERROR(SEARCH("Functioning",A269)))</formula>
    </cfRule>
  </conditionalFormatting>
  <conditionalFormatting sqref="D269">
    <cfRule type="beginsWith" dxfId="392" priority="397" stopIfTrue="1" operator="beginsWith" text="Functioning At Risk">
      <formula>LEFT(D269,LEN("Functioning At Risk"))="Functioning At Risk"</formula>
    </cfRule>
    <cfRule type="beginsWith" dxfId="391" priority="398" stopIfTrue="1" operator="beginsWith" text="Not Functioning">
      <formula>LEFT(D269,LEN("Not Functioning"))="Not Functioning"</formula>
    </cfRule>
    <cfRule type="containsText" dxfId="390" priority="399" operator="containsText" text="Functioning">
      <formula>NOT(ISERROR(SEARCH("Functioning",D269)))</formula>
    </cfRule>
  </conditionalFormatting>
  <conditionalFormatting sqref="D270">
    <cfRule type="beginsWith" dxfId="389" priority="394" stopIfTrue="1" operator="beginsWith" text="Functioning At Risk">
      <formula>LEFT(D270,LEN("Functioning At Risk"))="Functioning At Risk"</formula>
    </cfRule>
    <cfRule type="beginsWith" dxfId="388" priority="395" stopIfTrue="1" operator="beginsWith" text="Not Functioning">
      <formula>LEFT(D270,LEN("Not Functioning"))="Not Functioning"</formula>
    </cfRule>
    <cfRule type="containsText" dxfId="387" priority="396" operator="containsText" text="Functioning">
      <formula>NOT(ISERROR(SEARCH("Functioning",D270)))</formula>
    </cfRule>
  </conditionalFormatting>
  <conditionalFormatting sqref="B270">
    <cfRule type="beginsWith" dxfId="386" priority="391" stopIfTrue="1" operator="beginsWith" text="Functioning At Risk">
      <formula>LEFT(B270,LEN("Functioning At Risk"))="Functioning At Risk"</formula>
    </cfRule>
    <cfRule type="beginsWith" dxfId="385" priority="392" stopIfTrue="1" operator="beginsWith" text="Not Functioning">
      <formula>LEFT(B270,LEN("Not Functioning"))="Not Functioning"</formula>
    </cfRule>
    <cfRule type="containsText" dxfId="384" priority="393" operator="containsText" text="Functioning">
      <formula>NOT(ISERROR(SEARCH("Functioning",B270)))</formula>
    </cfRule>
  </conditionalFormatting>
  <conditionalFormatting sqref="B269">
    <cfRule type="beginsWith" dxfId="383" priority="388" stopIfTrue="1" operator="beginsWith" text="Functioning At Risk">
      <formula>LEFT(B269,LEN("Functioning At Risk"))="Functioning At Risk"</formula>
    </cfRule>
    <cfRule type="beginsWith" dxfId="382" priority="389" stopIfTrue="1" operator="beginsWith" text="Not Functioning">
      <formula>LEFT(B269,LEN("Not Functioning"))="Not Functioning"</formula>
    </cfRule>
    <cfRule type="containsText" dxfId="381" priority="390" operator="containsText" text="Functioning">
      <formula>NOT(ISERROR(SEARCH("Functioning",B269)))</formula>
    </cfRule>
  </conditionalFormatting>
  <conditionalFormatting sqref="J247:J249">
    <cfRule type="beginsWith" dxfId="380" priority="448" stopIfTrue="1" operator="beginsWith" text="Functioning At Risk">
      <formula>LEFT(J247,LEN("Functioning At Risk"))="Functioning At Risk"</formula>
    </cfRule>
    <cfRule type="beginsWith" dxfId="379" priority="449" stopIfTrue="1" operator="beginsWith" text="Not Functioning">
      <formula>LEFT(J247,LEN("Not Functioning"))="Not Functioning"</formula>
    </cfRule>
    <cfRule type="containsText" dxfId="378" priority="450" operator="containsText" text="Functioning">
      <formula>NOT(ISERROR(SEARCH("Functioning",J247)))</formula>
    </cfRule>
  </conditionalFormatting>
  <conditionalFormatting sqref="I266">
    <cfRule type="beginsWith" dxfId="377" priority="445" stopIfTrue="1" operator="beginsWith" text="Functioning At Risk">
      <formula>LEFT(I266,LEN("Functioning At Risk"))="Functioning At Risk"</formula>
    </cfRule>
    <cfRule type="beginsWith" dxfId="376" priority="446" stopIfTrue="1" operator="beginsWith" text="Not Functioning">
      <formula>LEFT(I266,LEN("Not Functioning"))="Not Functioning"</formula>
    </cfRule>
    <cfRule type="containsText" dxfId="375" priority="447" operator="containsText" text="Functioning">
      <formula>NOT(ISERROR(SEARCH("Functioning",I266)))</formula>
    </cfRule>
  </conditionalFormatting>
  <conditionalFormatting sqref="H247:H248">
    <cfRule type="beginsWith" dxfId="374" priority="442" stopIfTrue="1" operator="beginsWith" text="Functioning At Risk">
      <formula>LEFT(H247,LEN("Functioning At Risk"))="Functioning At Risk"</formula>
    </cfRule>
    <cfRule type="beginsWith" dxfId="373" priority="443" stopIfTrue="1" operator="beginsWith" text="Not Functioning">
      <formula>LEFT(H247,LEN("Not Functioning"))="Not Functioning"</formula>
    </cfRule>
    <cfRule type="containsText" dxfId="372" priority="444" operator="containsText" text="Functioning">
      <formula>NOT(ISERROR(SEARCH("Functioning",H247)))</formula>
    </cfRule>
  </conditionalFormatting>
  <conditionalFormatting sqref="I247:I249">
    <cfRule type="beginsWith" dxfId="371" priority="439" stopIfTrue="1" operator="beginsWith" text="Functioning At Risk">
      <formula>LEFT(I247,LEN("Functioning At Risk"))="Functioning At Risk"</formula>
    </cfRule>
    <cfRule type="beginsWith" dxfId="370" priority="440" stopIfTrue="1" operator="beginsWith" text="Not Functioning">
      <formula>LEFT(I247,LEN("Not Functioning"))="Not Functioning"</formula>
    </cfRule>
    <cfRule type="containsText" dxfId="369" priority="441" operator="containsText" text="Functioning">
      <formula>NOT(ISERROR(SEARCH("Functioning",I247)))</formula>
    </cfRule>
  </conditionalFormatting>
  <conditionalFormatting sqref="A250:D250 C251:D251">
    <cfRule type="beginsWith" dxfId="368" priority="436" stopIfTrue="1" operator="beginsWith" text="Functioning At Risk">
      <formula>LEFT(A250,LEN("Functioning At Risk"))="Functioning At Risk"</formula>
    </cfRule>
    <cfRule type="beginsWith" dxfId="367" priority="437" stopIfTrue="1" operator="beginsWith" text="Not Functioning">
      <formula>LEFT(A250,LEN("Not Functioning"))="Not Functioning"</formula>
    </cfRule>
    <cfRule type="containsText" dxfId="366" priority="438" operator="containsText" text="Functioning">
      <formula>NOT(ISERROR(SEARCH("Functioning",A250)))</formula>
    </cfRule>
  </conditionalFormatting>
  <conditionalFormatting sqref="H250:I250">
    <cfRule type="beginsWith" dxfId="365" priority="433" stopIfTrue="1" operator="beginsWith" text="Functioning At Risk">
      <formula>LEFT(H250,LEN("Functioning At Risk"))="Functioning At Risk"</formula>
    </cfRule>
    <cfRule type="beginsWith" dxfId="364" priority="434" stopIfTrue="1" operator="beginsWith" text="Not Functioning">
      <formula>LEFT(H250,LEN("Not Functioning"))="Not Functioning"</formula>
    </cfRule>
    <cfRule type="containsText" dxfId="363" priority="435" operator="containsText" text="Functioning">
      <formula>NOT(ISERROR(SEARCH("Functioning",H250)))</formula>
    </cfRule>
  </conditionalFormatting>
  <conditionalFormatting sqref="H286:I287 A286:D286 A287 C287:D287">
    <cfRule type="beginsWith" dxfId="362" priority="367" stopIfTrue="1" operator="beginsWith" text="Functioning At Risk">
      <formula>LEFT(A286,LEN("Functioning At Risk"))="Functioning At Risk"</formula>
    </cfRule>
    <cfRule type="beginsWith" dxfId="361" priority="368" stopIfTrue="1" operator="beginsWith" text="Not Functioning">
      <formula>LEFT(A286,LEN("Not Functioning"))="Not Functioning"</formula>
    </cfRule>
    <cfRule type="containsText" dxfId="360" priority="369" operator="containsText" text="Functioning">
      <formula>NOT(ISERROR(SEARCH("Functioning",A286)))</formula>
    </cfRule>
  </conditionalFormatting>
  <conditionalFormatting sqref="B296">
    <cfRule type="beginsWith" dxfId="359" priority="358" stopIfTrue="1" operator="beginsWith" text="Functioning At Risk">
      <formula>LEFT(B296,LEN("Functioning At Risk"))="Functioning At Risk"</formula>
    </cfRule>
    <cfRule type="beginsWith" dxfId="358" priority="359" stopIfTrue="1" operator="beginsWith" text="Not Functioning">
      <formula>LEFT(B296,LEN("Not Functioning"))="Not Functioning"</formula>
    </cfRule>
    <cfRule type="containsText" dxfId="357" priority="360" operator="containsText" text="Functioning">
      <formula>NOT(ISERROR(SEARCH("Functioning",B296)))</formula>
    </cfRule>
  </conditionalFormatting>
  <conditionalFormatting sqref="D289 C288:D288">
    <cfRule type="beginsWith" dxfId="356" priority="364" stopIfTrue="1" operator="beginsWith" text="Functioning At Risk">
      <formula>LEFT(C288,LEN("Functioning At Risk"))="Functioning At Risk"</formula>
    </cfRule>
    <cfRule type="beginsWith" dxfId="355" priority="365" stopIfTrue="1" operator="beginsWith" text="Not Functioning">
      <formula>LEFT(C288,LEN("Not Functioning"))="Not Functioning"</formula>
    </cfRule>
    <cfRule type="containsText" dxfId="354" priority="366" operator="containsText" text="Functioning">
      <formula>NOT(ISERROR(SEARCH("Functioning",C288)))</formula>
    </cfRule>
  </conditionalFormatting>
  <conditionalFormatting sqref="C294">
    <cfRule type="beginsWith" dxfId="353" priority="352" stopIfTrue="1" operator="beginsWith" text="Functioning At Risk">
      <formula>LEFT(C294,LEN("Functioning At Risk"))="Functioning At Risk"</formula>
    </cfRule>
    <cfRule type="beginsWith" dxfId="352" priority="353" stopIfTrue="1" operator="beginsWith" text="Not Functioning">
      <formula>LEFT(C294,LEN("Not Functioning"))="Not Functioning"</formula>
    </cfRule>
    <cfRule type="containsText" dxfId="351" priority="354" operator="containsText" text="Functioning">
      <formula>NOT(ISERROR(SEARCH("Functioning",C294)))</formula>
    </cfRule>
  </conditionalFormatting>
  <conditionalFormatting sqref="B292:D292 C293:D293 D294:D295">
    <cfRule type="beginsWith" dxfId="350" priority="355" stopIfTrue="1" operator="beginsWith" text="Functioning At Risk">
      <formula>LEFT(B292,LEN("Functioning At Risk"))="Functioning At Risk"</formula>
    </cfRule>
    <cfRule type="beginsWith" dxfId="349" priority="356" stopIfTrue="1" operator="beginsWith" text="Not Functioning">
      <formula>LEFT(B292,LEN("Not Functioning"))="Not Functioning"</formula>
    </cfRule>
    <cfRule type="containsText" dxfId="348" priority="357" operator="containsText" text="Functioning">
      <formula>NOT(ISERROR(SEARCH("Functioning",B292)))</formula>
    </cfRule>
  </conditionalFormatting>
  <conditionalFormatting sqref="C291:D291">
    <cfRule type="beginsWith" dxfId="347" priority="361" stopIfTrue="1" operator="beginsWith" text="Functioning At Risk">
      <formula>LEFT(C291,LEN("Functioning At Risk"))="Functioning At Risk"</formula>
    </cfRule>
    <cfRule type="beginsWith" dxfId="346" priority="362" stopIfTrue="1" operator="beginsWith" text="Not Functioning">
      <formula>LEFT(C291,LEN("Not Functioning"))="Not Functioning"</formula>
    </cfRule>
    <cfRule type="containsText" dxfId="345" priority="363" operator="containsText" text="Functioning">
      <formula>NOT(ISERROR(SEARCH("Functioning",C291)))</formula>
    </cfRule>
  </conditionalFormatting>
  <conditionalFormatting sqref="C295">
    <cfRule type="beginsWith" dxfId="344" priority="349" stopIfTrue="1" operator="beginsWith" text="Functioning At Risk">
      <formula>LEFT(C295,LEN("Functioning At Risk"))="Functioning At Risk"</formula>
    </cfRule>
    <cfRule type="beginsWith" dxfId="343" priority="350" stopIfTrue="1" operator="beginsWith" text="Not Functioning">
      <formula>LEFT(C295,LEN("Not Functioning"))="Not Functioning"</formula>
    </cfRule>
    <cfRule type="containsText" dxfId="342" priority="351" operator="containsText" text="Functioning">
      <formula>NOT(ISERROR(SEARCH("Functioning",C295)))</formula>
    </cfRule>
  </conditionalFormatting>
  <conditionalFormatting sqref="D301:D302">
    <cfRule type="beginsWith" dxfId="341" priority="346" stopIfTrue="1" operator="beginsWith" text="Functioning At Risk">
      <formula>LEFT(D301,LEN("Functioning At Risk"))="Functioning At Risk"</formula>
    </cfRule>
    <cfRule type="beginsWith" dxfId="340" priority="347" stopIfTrue="1" operator="beginsWith" text="Not Functioning">
      <formula>LEFT(D301,LEN("Not Functioning"))="Not Functioning"</formula>
    </cfRule>
    <cfRule type="containsText" dxfId="339" priority="348" operator="containsText" text="Functioning">
      <formula>NOT(ISERROR(SEARCH("Functioning",D301)))</formula>
    </cfRule>
  </conditionalFormatting>
  <conditionalFormatting sqref="H300">
    <cfRule type="beginsWith" dxfId="338" priority="343" stopIfTrue="1" operator="beginsWith" text="Functioning At Risk">
      <formula>LEFT(H300,LEN("Functioning At Risk"))="Functioning At Risk"</formula>
    </cfRule>
    <cfRule type="beginsWith" dxfId="337" priority="344" stopIfTrue="1" operator="beginsWith" text="Not Functioning">
      <formula>LEFT(H300,LEN("Not Functioning"))="Not Functioning"</formula>
    </cfRule>
    <cfRule type="containsText" dxfId="336" priority="345" operator="containsText" text="Functioning">
      <formula>NOT(ISERROR(SEARCH("Functioning",H300)))</formula>
    </cfRule>
  </conditionalFormatting>
  <conditionalFormatting sqref="A300">
    <cfRule type="beginsWith" dxfId="335" priority="340" stopIfTrue="1" operator="beginsWith" text="Functioning At Risk">
      <formula>LEFT(A300,LEN("Functioning At Risk"))="Functioning At Risk"</formula>
    </cfRule>
    <cfRule type="beginsWith" dxfId="334" priority="341" stopIfTrue="1" operator="beginsWith" text="Not Functioning">
      <formula>LEFT(A300,LEN("Not Functioning"))="Not Functioning"</formula>
    </cfRule>
    <cfRule type="containsText" dxfId="333" priority="342" operator="containsText" text="Functioning">
      <formula>NOT(ISERROR(SEARCH("Functioning",A300)))</formula>
    </cfRule>
  </conditionalFormatting>
  <conditionalFormatting sqref="I303:I304 A303:A304">
    <cfRule type="beginsWith" dxfId="332" priority="337" stopIfTrue="1" operator="beginsWith" text="Functioning At Risk">
      <formula>LEFT(A303,LEN("Functioning At Risk"))="Functioning At Risk"</formula>
    </cfRule>
    <cfRule type="beginsWith" dxfId="331" priority="338" stopIfTrue="1" operator="beginsWith" text="Not Functioning">
      <formula>LEFT(A303,LEN("Not Functioning"))="Not Functioning"</formula>
    </cfRule>
    <cfRule type="containsText" dxfId="330" priority="339" operator="containsText" text="Functioning">
      <formula>NOT(ISERROR(SEARCH("Functioning",A303)))</formula>
    </cfRule>
  </conditionalFormatting>
  <conditionalFormatting sqref="D303">
    <cfRule type="beginsWith" dxfId="329" priority="334" stopIfTrue="1" operator="beginsWith" text="Functioning At Risk">
      <formula>LEFT(D303,LEN("Functioning At Risk"))="Functioning At Risk"</formula>
    </cfRule>
    <cfRule type="beginsWith" dxfId="328" priority="335" stopIfTrue="1" operator="beginsWith" text="Not Functioning">
      <formula>LEFT(D303,LEN("Not Functioning"))="Not Functioning"</formula>
    </cfRule>
    <cfRule type="containsText" dxfId="327" priority="336" operator="containsText" text="Functioning">
      <formula>NOT(ISERROR(SEARCH("Functioning",D303)))</formula>
    </cfRule>
  </conditionalFormatting>
  <conditionalFormatting sqref="D304">
    <cfRule type="beginsWith" dxfId="326" priority="331" stopIfTrue="1" operator="beginsWith" text="Functioning At Risk">
      <formula>LEFT(D304,LEN("Functioning At Risk"))="Functioning At Risk"</formula>
    </cfRule>
    <cfRule type="beginsWith" dxfId="325" priority="332" stopIfTrue="1" operator="beginsWith" text="Not Functioning">
      <formula>LEFT(D304,LEN("Not Functioning"))="Not Functioning"</formula>
    </cfRule>
    <cfRule type="containsText" dxfId="324" priority="333" operator="containsText" text="Functioning">
      <formula>NOT(ISERROR(SEARCH("Functioning",D304)))</formula>
    </cfRule>
  </conditionalFormatting>
  <conditionalFormatting sqref="B304">
    <cfRule type="beginsWith" dxfId="323" priority="328" stopIfTrue="1" operator="beginsWith" text="Functioning At Risk">
      <formula>LEFT(B304,LEN("Functioning At Risk"))="Functioning At Risk"</formula>
    </cfRule>
    <cfRule type="beginsWith" dxfId="322" priority="329" stopIfTrue="1" operator="beginsWith" text="Not Functioning">
      <formula>LEFT(B304,LEN("Not Functioning"))="Not Functioning"</formula>
    </cfRule>
    <cfRule type="containsText" dxfId="321" priority="330" operator="containsText" text="Functioning">
      <formula>NOT(ISERROR(SEARCH("Functioning",B304)))</formula>
    </cfRule>
  </conditionalFormatting>
  <conditionalFormatting sqref="B303">
    <cfRule type="beginsWith" dxfId="320" priority="325" stopIfTrue="1" operator="beginsWith" text="Functioning At Risk">
      <formula>LEFT(B303,LEN("Functioning At Risk"))="Functioning At Risk"</formula>
    </cfRule>
    <cfRule type="beginsWith" dxfId="319" priority="326" stopIfTrue="1" operator="beginsWith" text="Not Functioning">
      <formula>LEFT(B303,LEN("Not Functioning"))="Not Functioning"</formula>
    </cfRule>
    <cfRule type="containsText" dxfId="318" priority="327" operator="containsText" text="Functioning">
      <formula>NOT(ISERROR(SEARCH("Functioning",B303)))</formula>
    </cfRule>
  </conditionalFormatting>
  <conditionalFormatting sqref="J281:J283">
    <cfRule type="beginsWith" dxfId="317" priority="385" stopIfTrue="1" operator="beginsWith" text="Functioning At Risk">
      <formula>LEFT(J281,LEN("Functioning At Risk"))="Functioning At Risk"</formula>
    </cfRule>
    <cfRule type="beginsWith" dxfId="316" priority="386" stopIfTrue="1" operator="beginsWith" text="Not Functioning">
      <formula>LEFT(J281,LEN("Not Functioning"))="Not Functioning"</formula>
    </cfRule>
    <cfRule type="containsText" dxfId="315" priority="387" operator="containsText" text="Functioning">
      <formula>NOT(ISERROR(SEARCH("Functioning",J281)))</formula>
    </cfRule>
  </conditionalFormatting>
  <conditionalFormatting sqref="I300">
    <cfRule type="beginsWith" dxfId="314" priority="382" stopIfTrue="1" operator="beginsWith" text="Functioning At Risk">
      <formula>LEFT(I300,LEN("Functioning At Risk"))="Functioning At Risk"</formula>
    </cfRule>
    <cfRule type="beginsWith" dxfId="313" priority="383" stopIfTrue="1" operator="beginsWith" text="Not Functioning">
      <formula>LEFT(I300,LEN("Not Functioning"))="Not Functioning"</formula>
    </cfRule>
    <cfRule type="containsText" dxfId="312" priority="384" operator="containsText" text="Functioning">
      <formula>NOT(ISERROR(SEARCH("Functioning",I300)))</formula>
    </cfRule>
  </conditionalFormatting>
  <conditionalFormatting sqref="H281:H282">
    <cfRule type="beginsWith" dxfId="311" priority="379" stopIfTrue="1" operator="beginsWith" text="Functioning At Risk">
      <formula>LEFT(H281,LEN("Functioning At Risk"))="Functioning At Risk"</formula>
    </cfRule>
    <cfRule type="beginsWith" dxfId="310" priority="380" stopIfTrue="1" operator="beginsWith" text="Not Functioning">
      <formula>LEFT(H281,LEN("Not Functioning"))="Not Functioning"</formula>
    </cfRule>
    <cfRule type="containsText" dxfId="309" priority="381" operator="containsText" text="Functioning">
      <formula>NOT(ISERROR(SEARCH("Functioning",H281)))</formula>
    </cfRule>
  </conditionalFormatting>
  <conditionalFormatting sqref="I281:I283">
    <cfRule type="beginsWith" dxfId="308" priority="376" stopIfTrue="1" operator="beginsWith" text="Functioning At Risk">
      <formula>LEFT(I281,LEN("Functioning At Risk"))="Functioning At Risk"</formula>
    </cfRule>
    <cfRule type="beginsWith" dxfId="307" priority="377" stopIfTrue="1" operator="beginsWith" text="Not Functioning">
      <formula>LEFT(I281,LEN("Not Functioning"))="Not Functioning"</formula>
    </cfRule>
    <cfRule type="containsText" dxfId="306" priority="378" operator="containsText" text="Functioning">
      <formula>NOT(ISERROR(SEARCH("Functioning",I281)))</formula>
    </cfRule>
  </conditionalFormatting>
  <conditionalFormatting sqref="A284:D284 C285:D285">
    <cfRule type="beginsWith" dxfId="305" priority="373" stopIfTrue="1" operator="beginsWith" text="Functioning At Risk">
      <formula>LEFT(A284,LEN("Functioning At Risk"))="Functioning At Risk"</formula>
    </cfRule>
    <cfRule type="beginsWith" dxfId="304" priority="374" stopIfTrue="1" operator="beginsWith" text="Not Functioning">
      <formula>LEFT(A284,LEN("Not Functioning"))="Not Functioning"</formula>
    </cfRule>
    <cfRule type="containsText" dxfId="303" priority="375" operator="containsText" text="Functioning">
      <formula>NOT(ISERROR(SEARCH("Functioning",A284)))</formula>
    </cfRule>
  </conditionalFormatting>
  <conditionalFormatting sqref="H284:I284">
    <cfRule type="beginsWith" dxfId="302" priority="370" stopIfTrue="1" operator="beginsWith" text="Functioning At Risk">
      <formula>LEFT(H284,LEN("Functioning At Risk"))="Functioning At Risk"</formula>
    </cfRule>
    <cfRule type="beginsWith" dxfId="301" priority="371" stopIfTrue="1" operator="beginsWith" text="Not Functioning">
      <formula>LEFT(H284,LEN("Not Functioning"))="Not Functioning"</formula>
    </cfRule>
    <cfRule type="containsText" dxfId="300" priority="372" operator="containsText" text="Functioning">
      <formula>NOT(ISERROR(SEARCH("Functioning",H284)))</formula>
    </cfRule>
  </conditionalFormatting>
  <conditionalFormatting sqref="H320:I321 A320:D320 A321 C321:D321">
    <cfRule type="beginsWith" dxfId="299" priority="304" stopIfTrue="1" operator="beginsWith" text="Functioning At Risk">
      <formula>LEFT(A320,LEN("Functioning At Risk"))="Functioning At Risk"</formula>
    </cfRule>
    <cfRule type="beginsWith" dxfId="298" priority="305" stopIfTrue="1" operator="beginsWith" text="Not Functioning">
      <formula>LEFT(A320,LEN("Not Functioning"))="Not Functioning"</formula>
    </cfRule>
    <cfRule type="containsText" dxfId="297" priority="306" operator="containsText" text="Functioning">
      <formula>NOT(ISERROR(SEARCH("Functioning",A320)))</formula>
    </cfRule>
  </conditionalFormatting>
  <conditionalFormatting sqref="D323 C322:D322">
    <cfRule type="beginsWith" dxfId="296" priority="301" stopIfTrue="1" operator="beginsWith" text="Functioning At Risk">
      <formula>LEFT(C322,LEN("Functioning At Risk"))="Functioning At Risk"</formula>
    </cfRule>
    <cfRule type="beginsWith" dxfId="295" priority="302" stopIfTrue="1" operator="beginsWith" text="Not Functioning">
      <formula>LEFT(C322,LEN("Not Functioning"))="Not Functioning"</formula>
    </cfRule>
    <cfRule type="containsText" dxfId="294" priority="303" operator="containsText" text="Functioning">
      <formula>NOT(ISERROR(SEARCH("Functioning",C322)))</formula>
    </cfRule>
  </conditionalFormatting>
  <conditionalFormatting sqref="B330">
    <cfRule type="beginsWith" dxfId="293" priority="295" stopIfTrue="1" operator="beginsWith" text="Functioning At Risk">
      <formula>LEFT(B330,LEN("Functioning At Risk"))="Functioning At Risk"</formula>
    </cfRule>
    <cfRule type="beginsWith" dxfId="292" priority="296" stopIfTrue="1" operator="beginsWith" text="Not Functioning">
      <formula>LEFT(B330,LEN("Not Functioning"))="Not Functioning"</formula>
    </cfRule>
    <cfRule type="containsText" dxfId="291" priority="297" operator="containsText" text="Functioning">
      <formula>NOT(ISERROR(SEARCH("Functioning",B330)))</formula>
    </cfRule>
  </conditionalFormatting>
  <conditionalFormatting sqref="B326:D326 C327:D327 D328:D329">
    <cfRule type="beginsWith" dxfId="290" priority="292" stopIfTrue="1" operator="beginsWith" text="Functioning At Risk">
      <formula>LEFT(B326,LEN("Functioning At Risk"))="Functioning At Risk"</formula>
    </cfRule>
    <cfRule type="beginsWith" dxfId="289" priority="293" stopIfTrue="1" operator="beginsWith" text="Not Functioning">
      <formula>LEFT(B326,LEN("Not Functioning"))="Not Functioning"</formula>
    </cfRule>
    <cfRule type="containsText" dxfId="288" priority="294" operator="containsText" text="Functioning">
      <formula>NOT(ISERROR(SEARCH("Functioning",B326)))</formula>
    </cfRule>
  </conditionalFormatting>
  <conditionalFormatting sqref="C328">
    <cfRule type="beginsWith" dxfId="287" priority="289" stopIfTrue="1" operator="beginsWith" text="Functioning At Risk">
      <formula>LEFT(C328,LEN("Functioning At Risk"))="Functioning At Risk"</formula>
    </cfRule>
    <cfRule type="beginsWith" dxfId="286" priority="290" stopIfTrue="1" operator="beginsWith" text="Not Functioning">
      <formula>LEFT(C328,LEN("Not Functioning"))="Not Functioning"</formula>
    </cfRule>
    <cfRule type="containsText" dxfId="285" priority="291" operator="containsText" text="Functioning">
      <formula>NOT(ISERROR(SEARCH("Functioning",C328)))</formula>
    </cfRule>
  </conditionalFormatting>
  <conditionalFormatting sqref="C325:D325">
    <cfRule type="beginsWith" dxfId="284" priority="298" stopIfTrue="1" operator="beginsWith" text="Functioning At Risk">
      <formula>LEFT(C325,LEN("Functioning At Risk"))="Functioning At Risk"</formula>
    </cfRule>
    <cfRule type="beginsWith" dxfId="283" priority="299" stopIfTrue="1" operator="beginsWith" text="Not Functioning">
      <formula>LEFT(C325,LEN("Not Functioning"))="Not Functioning"</formula>
    </cfRule>
    <cfRule type="containsText" dxfId="282" priority="300" operator="containsText" text="Functioning">
      <formula>NOT(ISERROR(SEARCH("Functioning",C325)))</formula>
    </cfRule>
  </conditionalFormatting>
  <conditionalFormatting sqref="C329">
    <cfRule type="beginsWith" dxfId="281" priority="286" stopIfTrue="1" operator="beginsWith" text="Functioning At Risk">
      <formula>LEFT(C329,LEN("Functioning At Risk"))="Functioning At Risk"</formula>
    </cfRule>
    <cfRule type="beginsWith" dxfId="280" priority="287" stopIfTrue="1" operator="beginsWith" text="Not Functioning">
      <formula>LEFT(C329,LEN("Not Functioning"))="Not Functioning"</formula>
    </cfRule>
    <cfRule type="containsText" dxfId="279" priority="288" operator="containsText" text="Functioning">
      <formula>NOT(ISERROR(SEARCH("Functioning",C329)))</formula>
    </cfRule>
  </conditionalFormatting>
  <conditionalFormatting sqref="D335:D336">
    <cfRule type="beginsWith" dxfId="278" priority="283" stopIfTrue="1" operator="beginsWith" text="Functioning At Risk">
      <formula>LEFT(D335,LEN("Functioning At Risk"))="Functioning At Risk"</formula>
    </cfRule>
    <cfRule type="beginsWith" dxfId="277" priority="284" stopIfTrue="1" operator="beginsWith" text="Not Functioning">
      <formula>LEFT(D335,LEN("Not Functioning"))="Not Functioning"</formula>
    </cfRule>
    <cfRule type="containsText" dxfId="276" priority="285" operator="containsText" text="Functioning">
      <formula>NOT(ISERROR(SEARCH("Functioning",D335)))</formula>
    </cfRule>
  </conditionalFormatting>
  <conditionalFormatting sqref="H334">
    <cfRule type="beginsWith" dxfId="275" priority="280" stopIfTrue="1" operator="beginsWith" text="Functioning At Risk">
      <formula>LEFT(H334,LEN("Functioning At Risk"))="Functioning At Risk"</formula>
    </cfRule>
    <cfRule type="beginsWith" dxfId="274" priority="281" stopIfTrue="1" operator="beginsWith" text="Not Functioning">
      <formula>LEFT(H334,LEN("Not Functioning"))="Not Functioning"</formula>
    </cfRule>
    <cfRule type="containsText" dxfId="273" priority="282" operator="containsText" text="Functioning">
      <formula>NOT(ISERROR(SEARCH("Functioning",H334)))</formula>
    </cfRule>
  </conditionalFormatting>
  <conditionalFormatting sqref="A334">
    <cfRule type="beginsWith" dxfId="272" priority="277" stopIfTrue="1" operator="beginsWith" text="Functioning At Risk">
      <formula>LEFT(A334,LEN("Functioning At Risk"))="Functioning At Risk"</formula>
    </cfRule>
    <cfRule type="beginsWith" dxfId="271" priority="278" stopIfTrue="1" operator="beginsWith" text="Not Functioning">
      <formula>LEFT(A334,LEN("Not Functioning"))="Not Functioning"</formula>
    </cfRule>
    <cfRule type="containsText" dxfId="270" priority="279" operator="containsText" text="Functioning">
      <formula>NOT(ISERROR(SEARCH("Functioning",A334)))</formula>
    </cfRule>
  </conditionalFormatting>
  <conditionalFormatting sqref="I337:I338 A337:A338">
    <cfRule type="beginsWith" dxfId="269" priority="274" stopIfTrue="1" operator="beginsWith" text="Functioning At Risk">
      <formula>LEFT(A337,LEN("Functioning At Risk"))="Functioning At Risk"</formula>
    </cfRule>
    <cfRule type="beginsWith" dxfId="268" priority="275" stopIfTrue="1" operator="beginsWith" text="Not Functioning">
      <formula>LEFT(A337,LEN("Not Functioning"))="Not Functioning"</formula>
    </cfRule>
    <cfRule type="containsText" dxfId="267" priority="276" operator="containsText" text="Functioning">
      <formula>NOT(ISERROR(SEARCH("Functioning",A337)))</formula>
    </cfRule>
  </conditionalFormatting>
  <conditionalFormatting sqref="D337">
    <cfRule type="beginsWith" dxfId="266" priority="271" stopIfTrue="1" operator="beginsWith" text="Functioning At Risk">
      <formula>LEFT(D337,LEN("Functioning At Risk"))="Functioning At Risk"</formula>
    </cfRule>
    <cfRule type="beginsWith" dxfId="265" priority="272" stopIfTrue="1" operator="beginsWith" text="Not Functioning">
      <formula>LEFT(D337,LEN("Not Functioning"))="Not Functioning"</formula>
    </cfRule>
    <cfRule type="containsText" dxfId="264" priority="273" operator="containsText" text="Functioning">
      <formula>NOT(ISERROR(SEARCH("Functioning",D337)))</formula>
    </cfRule>
  </conditionalFormatting>
  <conditionalFormatting sqref="D338">
    <cfRule type="beginsWith" dxfId="263" priority="268" stopIfTrue="1" operator="beginsWith" text="Functioning At Risk">
      <formula>LEFT(D338,LEN("Functioning At Risk"))="Functioning At Risk"</formula>
    </cfRule>
    <cfRule type="beginsWith" dxfId="262" priority="269" stopIfTrue="1" operator="beginsWith" text="Not Functioning">
      <formula>LEFT(D338,LEN("Not Functioning"))="Not Functioning"</formula>
    </cfRule>
    <cfRule type="containsText" dxfId="261" priority="270" operator="containsText" text="Functioning">
      <formula>NOT(ISERROR(SEARCH("Functioning",D338)))</formula>
    </cfRule>
  </conditionalFormatting>
  <conditionalFormatting sqref="B338">
    <cfRule type="beginsWith" dxfId="260" priority="265" stopIfTrue="1" operator="beginsWith" text="Functioning At Risk">
      <formula>LEFT(B338,LEN("Functioning At Risk"))="Functioning At Risk"</formula>
    </cfRule>
    <cfRule type="beginsWith" dxfId="259" priority="266" stopIfTrue="1" operator="beginsWith" text="Not Functioning">
      <formula>LEFT(B338,LEN("Not Functioning"))="Not Functioning"</formula>
    </cfRule>
    <cfRule type="containsText" dxfId="258" priority="267" operator="containsText" text="Functioning">
      <formula>NOT(ISERROR(SEARCH("Functioning",B338)))</formula>
    </cfRule>
  </conditionalFormatting>
  <conditionalFormatting sqref="B337">
    <cfRule type="beginsWith" dxfId="257" priority="262" stopIfTrue="1" operator="beginsWith" text="Functioning At Risk">
      <formula>LEFT(B337,LEN("Functioning At Risk"))="Functioning At Risk"</formula>
    </cfRule>
    <cfRule type="beginsWith" dxfId="256" priority="263" stopIfTrue="1" operator="beginsWith" text="Not Functioning">
      <formula>LEFT(B337,LEN("Not Functioning"))="Not Functioning"</formula>
    </cfRule>
    <cfRule type="containsText" dxfId="255" priority="264" operator="containsText" text="Functioning">
      <formula>NOT(ISERROR(SEARCH("Functioning",B337)))</formula>
    </cfRule>
  </conditionalFormatting>
  <conditionalFormatting sqref="J315:J317">
    <cfRule type="beginsWith" dxfId="254" priority="322" stopIfTrue="1" operator="beginsWith" text="Functioning At Risk">
      <formula>LEFT(J315,LEN("Functioning At Risk"))="Functioning At Risk"</formula>
    </cfRule>
    <cfRule type="beginsWith" dxfId="253" priority="323" stopIfTrue="1" operator="beginsWith" text="Not Functioning">
      <formula>LEFT(J315,LEN("Not Functioning"))="Not Functioning"</formula>
    </cfRule>
    <cfRule type="containsText" dxfId="252" priority="324" operator="containsText" text="Functioning">
      <formula>NOT(ISERROR(SEARCH("Functioning",J315)))</formula>
    </cfRule>
  </conditionalFormatting>
  <conditionalFormatting sqref="I334">
    <cfRule type="beginsWith" dxfId="251" priority="319" stopIfTrue="1" operator="beginsWith" text="Functioning At Risk">
      <formula>LEFT(I334,LEN("Functioning At Risk"))="Functioning At Risk"</formula>
    </cfRule>
    <cfRule type="beginsWith" dxfId="250" priority="320" stopIfTrue="1" operator="beginsWith" text="Not Functioning">
      <formula>LEFT(I334,LEN("Not Functioning"))="Not Functioning"</formula>
    </cfRule>
    <cfRule type="containsText" dxfId="249" priority="321" operator="containsText" text="Functioning">
      <formula>NOT(ISERROR(SEARCH("Functioning",I334)))</formula>
    </cfRule>
  </conditionalFormatting>
  <conditionalFormatting sqref="H315:H316">
    <cfRule type="beginsWith" dxfId="248" priority="316" stopIfTrue="1" operator="beginsWith" text="Functioning At Risk">
      <formula>LEFT(H315,LEN("Functioning At Risk"))="Functioning At Risk"</formula>
    </cfRule>
    <cfRule type="beginsWith" dxfId="247" priority="317" stopIfTrue="1" operator="beginsWith" text="Not Functioning">
      <formula>LEFT(H315,LEN("Not Functioning"))="Not Functioning"</formula>
    </cfRule>
    <cfRule type="containsText" dxfId="246" priority="318" operator="containsText" text="Functioning">
      <formula>NOT(ISERROR(SEARCH("Functioning",H315)))</formula>
    </cfRule>
  </conditionalFormatting>
  <conditionalFormatting sqref="I315:I317">
    <cfRule type="beginsWith" dxfId="245" priority="313" stopIfTrue="1" operator="beginsWith" text="Functioning At Risk">
      <formula>LEFT(I315,LEN("Functioning At Risk"))="Functioning At Risk"</formula>
    </cfRule>
    <cfRule type="beginsWith" dxfId="244" priority="314" stopIfTrue="1" operator="beginsWith" text="Not Functioning">
      <formula>LEFT(I315,LEN("Not Functioning"))="Not Functioning"</formula>
    </cfRule>
    <cfRule type="containsText" dxfId="243" priority="315" operator="containsText" text="Functioning">
      <formula>NOT(ISERROR(SEARCH("Functioning",I315)))</formula>
    </cfRule>
  </conditionalFormatting>
  <conditionalFormatting sqref="A318:D318 C319:D319">
    <cfRule type="beginsWith" dxfId="242" priority="310" stopIfTrue="1" operator="beginsWith" text="Functioning At Risk">
      <formula>LEFT(A318,LEN("Functioning At Risk"))="Functioning At Risk"</formula>
    </cfRule>
    <cfRule type="beginsWith" dxfId="241" priority="311" stopIfTrue="1" operator="beginsWith" text="Not Functioning">
      <formula>LEFT(A318,LEN("Not Functioning"))="Not Functioning"</formula>
    </cfRule>
    <cfRule type="containsText" dxfId="240" priority="312" operator="containsText" text="Functioning">
      <formula>NOT(ISERROR(SEARCH("Functioning",A318)))</formula>
    </cfRule>
  </conditionalFormatting>
  <conditionalFormatting sqref="H318:I318">
    <cfRule type="beginsWith" dxfId="239" priority="307" stopIfTrue="1" operator="beginsWith" text="Functioning At Risk">
      <formula>LEFT(H318,LEN("Functioning At Risk"))="Functioning At Risk"</formula>
    </cfRule>
    <cfRule type="beginsWith" dxfId="238" priority="308" stopIfTrue="1" operator="beginsWith" text="Not Functioning">
      <formula>LEFT(H318,LEN("Not Functioning"))="Not Functioning"</formula>
    </cfRule>
    <cfRule type="containsText" dxfId="237" priority="309" operator="containsText" text="Functioning">
      <formula>NOT(ISERROR(SEARCH("Functioning",H318)))</formula>
    </cfRule>
  </conditionalFormatting>
  <conditionalFormatting sqref="G4">
    <cfRule type="beginsWith" dxfId="236" priority="259" stopIfTrue="1" operator="beginsWith" text="Functioning At Risk">
      <formula>LEFT(G4,LEN("Functioning At Risk"))="Functioning At Risk"</formula>
    </cfRule>
    <cfRule type="beginsWith" dxfId="235" priority="260" stopIfTrue="1" operator="beginsWith" text="Not Functioning">
      <formula>LEFT(G4,LEN("Not Functioning"))="Not Functioning"</formula>
    </cfRule>
    <cfRule type="containsText" dxfId="234" priority="261" operator="containsText" text="Functioning">
      <formula>NOT(ISERROR(SEARCH("Functioning",G4)))</formula>
    </cfRule>
  </conditionalFormatting>
  <conditionalFormatting sqref="G4">
    <cfRule type="beginsWith" dxfId="233" priority="256" stopIfTrue="1" operator="beginsWith" text="Functioning At Risk">
      <formula>LEFT(G4,LEN("Functioning At Risk"))="Functioning At Risk"</formula>
    </cfRule>
    <cfRule type="beginsWith" dxfId="232" priority="257" stopIfTrue="1" operator="beginsWith" text="Not Functioning">
      <formula>LEFT(G4,LEN("Not Functioning"))="Not Functioning"</formula>
    </cfRule>
    <cfRule type="containsText" dxfId="231" priority="258" operator="containsText" text="Functioning">
      <formula>NOT(ISERROR(SEARCH("Functioning",G4)))</formula>
    </cfRule>
  </conditionalFormatting>
  <conditionalFormatting sqref="G38">
    <cfRule type="beginsWith" dxfId="230" priority="253" stopIfTrue="1" operator="beginsWith" text="Functioning At Risk">
      <formula>LEFT(G38,LEN("Functioning At Risk"))="Functioning At Risk"</formula>
    </cfRule>
    <cfRule type="beginsWith" dxfId="229" priority="254" stopIfTrue="1" operator="beginsWith" text="Not Functioning">
      <formula>LEFT(G38,LEN("Not Functioning"))="Not Functioning"</formula>
    </cfRule>
    <cfRule type="containsText" dxfId="228" priority="255" operator="containsText" text="Functioning">
      <formula>NOT(ISERROR(SEARCH("Functioning",G38)))</formula>
    </cfRule>
  </conditionalFormatting>
  <conditionalFormatting sqref="G38">
    <cfRule type="beginsWith" dxfId="227" priority="250" stopIfTrue="1" operator="beginsWith" text="Functioning At Risk">
      <formula>LEFT(G38,LEN("Functioning At Risk"))="Functioning At Risk"</formula>
    </cfRule>
    <cfRule type="beginsWith" dxfId="226" priority="251" stopIfTrue="1" operator="beginsWith" text="Not Functioning">
      <formula>LEFT(G38,LEN("Not Functioning"))="Not Functioning"</formula>
    </cfRule>
    <cfRule type="containsText" dxfId="225" priority="252" operator="containsText" text="Functioning">
      <formula>NOT(ISERROR(SEARCH("Functioning",G38)))</formula>
    </cfRule>
  </conditionalFormatting>
  <conditionalFormatting sqref="G72">
    <cfRule type="beginsWith" dxfId="224" priority="247" stopIfTrue="1" operator="beginsWith" text="Functioning At Risk">
      <formula>LEFT(G72,LEN("Functioning At Risk"))="Functioning At Risk"</formula>
    </cfRule>
    <cfRule type="beginsWith" dxfId="223" priority="248" stopIfTrue="1" operator="beginsWith" text="Not Functioning">
      <formula>LEFT(G72,LEN("Not Functioning"))="Not Functioning"</formula>
    </cfRule>
    <cfRule type="containsText" dxfId="222" priority="249" operator="containsText" text="Functioning">
      <formula>NOT(ISERROR(SEARCH("Functioning",G72)))</formula>
    </cfRule>
  </conditionalFormatting>
  <conditionalFormatting sqref="G72">
    <cfRule type="beginsWith" dxfId="221" priority="244" stopIfTrue="1" operator="beginsWith" text="Functioning At Risk">
      <formula>LEFT(G72,LEN("Functioning At Risk"))="Functioning At Risk"</formula>
    </cfRule>
    <cfRule type="beginsWith" dxfId="220" priority="245" stopIfTrue="1" operator="beginsWith" text="Not Functioning">
      <formula>LEFT(G72,LEN("Not Functioning"))="Not Functioning"</formula>
    </cfRule>
    <cfRule type="containsText" dxfId="219" priority="246" operator="containsText" text="Functioning">
      <formula>NOT(ISERROR(SEARCH("Functioning",G72)))</formula>
    </cfRule>
  </conditionalFormatting>
  <conditionalFormatting sqref="G106">
    <cfRule type="beginsWith" dxfId="218" priority="241" stopIfTrue="1" operator="beginsWith" text="Functioning At Risk">
      <formula>LEFT(G106,LEN("Functioning At Risk"))="Functioning At Risk"</formula>
    </cfRule>
    <cfRule type="beginsWith" dxfId="217" priority="242" stopIfTrue="1" operator="beginsWith" text="Not Functioning">
      <formula>LEFT(G106,LEN("Not Functioning"))="Not Functioning"</formula>
    </cfRule>
    <cfRule type="containsText" dxfId="216" priority="243" operator="containsText" text="Functioning">
      <formula>NOT(ISERROR(SEARCH("Functioning",G106)))</formula>
    </cfRule>
  </conditionalFormatting>
  <conditionalFormatting sqref="G106">
    <cfRule type="beginsWith" dxfId="215" priority="238" stopIfTrue="1" operator="beginsWith" text="Functioning At Risk">
      <formula>LEFT(G106,LEN("Functioning At Risk"))="Functioning At Risk"</formula>
    </cfRule>
    <cfRule type="beginsWith" dxfId="214" priority="239" stopIfTrue="1" operator="beginsWith" text="Not Functioning">
      <formula>LEFT(G106,LEN("Not Functioning"))="Not Functioning"</formula>
    </cfRule>
    <cfRule type="containsText" dxfId="213" priority="240" operator="containsText" text="Functioning">
      <formula>NOT(ISERROR(SEARCH("Functioning",G106)))</formula>
    </cfRule>
  </conditionalFormatting>
  <conditionalFormatting sqref="G140">
    <cfRule type="beginsWith" dxfId="212" priority="235" stopIfTrue="1" operator="beginsWith" text="Functioning At Risk">
      <formula>LEFT(G140,LEN("Functioning At Risk"))="Functioning At Risk"</formula>
    </cfRule>
    <cfRule type="beginsWith" dxfId="211" priority="236" stopIfTrue="1" operator="beginsWith" text="Not Functioning">
      <formula>LEFT(G140,LEN("Not Functioning"))="Not Functioning"</formula>
    </cfRule>
    <cfRule type="containsText" dxfId="210" priority="237" operator="containsText" text="Functioning">
      <formula>NOT(ISERROR(SEARCH("Functioning",G140)))</formula>
    </cfRule>
  </conditionalFormatting>
  <conditionalFormatting sqref="G140">
    <cfRule type="beginsWith" dxfId="209" priority="232" stopIfTrue="1" operator="beginsWith" text="Functioning At Risk">
      <formula>LEFT(G140,LEN("Functioning At Risk"))="Functioning At Risk"</formula>
    </cfRule>
    <cfRule type="beginsWith" dxfId="208" priority="233" stopIfTrue="1" operator="beginsWith" text="Not Functioning">
      <formula>LEFT(G140,LEN("Not Functioning"))="Not Functioning"</formula>
    </cfRule>
    <cfRule type="containsText" dxfId="207" priority="234" operator="containsText" text="Functioning">
      <formula>NOT(ISERROR(SEARCH("Functioning",G140)))</formula>
    </cfRule>
  </conditionalFormatting>
  <conditionalFormatting sqref="G174">
    <cfRule type="beginsWith" dxfId="206" priority="229" stopIfTrue="1" operator="beginsWith" text="Functioning At Risk">
      <formula>LEFT(G174,LEN("Functioning At Risk"))="Functioning At Risk"</formula>
    </cfRule>
    <cfRule type="beginsWith" dxfId="205" priority="230" stopIfTrue="1" operator="beginsWith" text="Not Functioning">
      <formula>LEFT(G174,LEN("Not Functioning"))="Not Functioning"</formula>
    </cfRule>
    <cfRule type="containsText" dxfId="204" priority="231" operator="containsText" text="Functioning">
      <formula>NOT(ISERROR(SEARCH("Functioning",G174)))</formula>
    </cfRule>
  </conditionalFormatting>
  <conditionalFormatting sqref="G174">
    <cfRule type="beginsWith" dxfId="203" priority="226" stopIfTrue="1" operator="beginsWith" text="Functioning At Risk">
      <formula>LEFT(G174,LEN("Functioning At Risk"))="Functioning At Risk"</formula>
    </cfRule>
    <cfRule type="beginsWith" dxfId="202" priority="227" stopIfTrue="1" operator="beginsWith" text="Not Functioning">
      <formula>LEFT(G174,LEN("Not Functioning"))="Not Functioning"</formula>
    </cfRule>
    <cfRule type="containsText" dxfId="201" priority="228" operator="containsText" text="Functioning">
      <formula>NOT(ISERROR(SEARCH("Functioning",G174)))</formula>
    </cfRule>
  </conditionalFormatting>
  <conditionalFormatting sqref="G208">
    <cfRule type="beginsWith" dxfId="200" priority="223" stopIfTrue="1" operator="beginsWith" text="Functioning At Risk">
      <formula>LEFT(G208,LEN("Functioning At Risk"))="Functioning At Risk"</formula>
    </cfRule>
    <cfRule type="beginsWith" dxfId="199" priority="224" stopIfTrue="1" operator="beginsWith" text="Not Functioning">
      <formula>LEFT(G208,LEN("Not Functioning"))="Not Functioning"</formula>
    </cfRule>
    <cfRule type="containsText" dxfId="198" priority="225" operator="containsText" text="Functioning">
      <formula>NOT(ISERROR(SEARCH("Functioning",G208)))</formula>
    </cfRule>
  </conditionalFormatting>
  <conditionalFormatting sqref="G208">
    <cfRule type="beginsWith" dxfId="197" priority="220" stopIfTrue="1" operator="beginsWith" text="Functioning At Risk">
      <formula>LEFT(G208,LEN("Functioning At Risk"))="Functioning At Risk"</formula>
    </cfRule>
    <cfRule type="beginsWith" dxfId="196" priority="221" stopIfTrue="1" operator="beginsWith" text="Not Functioning">
      <formula>LEFT(G208,LEN("Not Functioning"))="Not Functioning"</formula>
    </cfRule>
    <cfRule type="containsText" dxfId="195" priority="222" operator="containsText" text="Functioning">
      <formula>NOT(ISERROR(SEARCH("Functioning",G208)))</formula>
    </cfRule>
  </conditionalFormatting>
  <conditionalFormatting sqref="G242">
    <cfRule type="beginsWith" dxfId="194" priority="217" stopIfTrue="1" operator="beginsWith" text="Functioning At Risk">
      <formula>LEFT(G242,LEN("Functioning At Risk"))="Functioning At Risk"</formula>
    </cfRule>
    <cfRule type="beginsWith" dxfId="193" priority="218" stopIfTrue="1" operator="beginsWith" text="Not Functioning">
      <formula>LEFT(G242,LEN("Not Functioning"))="Not Functioning"</formula>
    </cfRule>
    <cfRule type="containsText" dxfId="192" priority="219" operator="containsText" text="Functioning">
      <formula>NOT(ISERROR(SEARCH("Functioning",G242)))</formula>
    </cfRule>
  </conditionalFormatting>
  <conditionalFormatting sqref="G242">
    <cfRule type="beginsWith" dxfId="191" priority="214" stopIfTrue="1" operator="beginsWith" text="Functioning At Risk">
      <formula>LEFT(G242,LEN("Functioning At Risk"))="Functioning At Risk"</formula>
    </cfRule>
    <cfRule type="beginsWith" dxfId="190" priority="215" stopIfTrue="1" operator="beginsWith" text="Not Functioning">
      <formula>LEFT(G242,LEN("Not Functioning"))="Not Functioning"</formula>
    </cfRule>
    <cfRule type="containsText" dxfId="189" priority="216" operator="containsText" text="Functioning">
      <formula>NOT(ISERROR(SEARCH("Functioning",G242)))</formula>
    </cfRule>
  </conditionalFormatting>
  <conditionalFormatting sqref="G276">
    <cfRule type="beginsWith" dxfId="188" priority="211" stopIfTrue="1" operator="beginsWith" text="Functioning At Risk">
      <formula>LEFT(G276,LEN("Functioning At Risk"))="Functioning At Risk"</formula>
    </cfRule>
    <cfRule type="beginsWith" dxfId="187" priority="212" stopIfTrue="1" operator="beginsWith" text="Not Functioning">
      <formula>LEFT(G276,LEN("Not Functioning"))="Not Functioning"</formula>
    </cfRule>
    <cfRule type="containsText" dxfId="186" priority="213" operator="containsText" text="Functioning">
      <formula>NOT(ISERROR(SEARCH("Functioning",G276)))</formula>
    </cfRule>
  </conditionalFormatting>
  <conditionalFormatting sqref="G276">
    <cfRule type="beginsWith" dxfId="185" priority="208" stopIfTrue="1" operator="beginsWith" text="Functioning At Risk">
      <formula>LEFT(G276,LEN("Functioning At Risk"))="Functioning At Risk"</formula>
    </cfRule>
    <cfRule type="beginsWith" dxfId="184" priority="209" stopIfTrue="1" operator="beginsWith" text="Not Functioning">
      <formula>LEFT(G276,LEN("Not Functioning"))="Not Functioning"</formula>
    </cfRule>
    <cfRule type="containsText" dxfId="183" priority="210" operator="containsText" text="Functioning">
      <formula>NOT(ISERROR(SEARCH("Functioning",G276)))</formula>
    </cfRule>
  </conditionalFormatting>
  <conditionalFormatting sqref="G310">
    <cfRule type="beginsWith" dxfId="182" priority="205" stopIfTrue="1" operator="beginsWith" text="Functioning At Risk">
      <formula>LEFT(G310,LEN("Functioning At Risk"))="Functioning At Risk"</formula>
    </cfRule>
    <cfRule type="beginsWith" dxfId="181" priority="206" stopIfTrue="1" operator="beginsWith" text="Not Functioning">
      <formula>LEFT(G310,LEN("Not Functioning"))="Not Functioning"</formula>
    </cfRule>
    <cfRule type="containsText" dxfId="180" priority="207" operator="containsText" text="Functioning">
      <formula>NOT(ISERROR(SEARCH("Functioning",G310)))</formula>
    </cfRule>
  </conditionalFormatting>
  <conditionalFormatting sqref="G310">
    <cfRule type="beginsWith" dxfId="179" priority="202" stopIfTrue="1" operator="beginsWith" text="Functioning At Risk">
      <formula>LEFT(G310,LEN("Functioning At Risk"))="Functioning At Risk"</formula>
    </cfRule>
    <cfRule type="beginsWith" dxfId="178" priority="203" stopIfTrue="1" operator="beginsWith" text="Not Functioning">
      <formula>LEFT(G310,LEN("Not Functioning"))="Not Functioning"</formula>
    </cfRule>
    <cfRule type="containsText" dxfId="177" priority="204" operator="containsText" text="Functioning">
      <formula>NOT(ISERROR(SEARCH("Functioning",G310)))</formula>
    </cfRule>
  </conditionalFormatting>
  <conditionalFormatting sqref="F50 F46:F47">
    <cfRule type="beginsWith" dxfId="176" priority="199" stopIfTrue="1" operator="beginsWith" text="Functioning At Risk">
      <formula>LEFT(F46,LEN("Functioning At Risk"))="Functioning At Risk"</formula>
    </cfRule>
    <cfRule type="beginsWith" dxfId="175" priority="200" stopIfTrue="1" operator="beginsWith" text="Not Functioning">
      <formula>LEFT(F46,LEN("Not Functioning"))="Not Functioning"</formula>
    </cfRule>
    <cfRule type="containsText" dxfId="174" priority="201" operator="containsText" text="Functioning">
      <formula>NOT(ISERROR(SEARCH("Functioning",F46)))</formula>
    </cfRule>
  </conditionalFormatting>
  <conditionalFormatting sqref="F84 F80:F81">
    <cfRule type="beginsWith" dxfId="173" priority="193" stopIfTrue="1" operator="beginsWith" text="Functioning At Risk">
      <formula>LEFT(F80,LEN("Functioning At Risk"))="Functioning At Risk"</formula>
    </cfRule>
    <cfRule type="beginsWith" dxfId="172" priority="194" stopIfTrue="1" operator="beginsWith" text="Not Functioning">
      <formula>LEFT(F80,LEN("Not Functioning"))="Not Functioning"</formula>
    </cfRule>
    <cfRule type="containsText" dxfId="171" priority="195" operator="containsText" text="Functioning">
      <formula>NOT(ISERROR(SEARCH("Functioning",F80)))</formula>
    </cfRule>
  </conditionalFormatting>
  <conditionalFormatting sqref="F118 F114:F115">
    <cfRule type="beginsWith" dxfId="170" priority="187" stopIfTrue="1" operator="beginsWith" text="Functioning At Risk">
      <formula>LEFT(F114,LEN("Functioning At Risk"))="Functioning At Risk"</formula>
    </cfRule>
    <cfRule type="beginsWith" dxfId="169" priority="188" stopIfTrue="1" operator="beginsWith" text="Not Functioning">
      <formula>LEFT(F114,LEN("Not Functioning"))="Not Functioning"</formula>
    </cfRule>
    <cfRule type="containsText" dxfId="168" priority="189" operator="containsText" text="Functioning">
      <formula>NOT(ISERROR(SEARCH("Functioning",F114)))</formula>
    </cfRule>
  </conditionalFormatting>
  <conditionalFormatting sqref="F152 F148:F149">
    <cfRule type="beginsWith" dxfId="167" priority="181" stopIfTrue="1" operator="beginsWith" text="Functioning At Risk">
      <formula>LEFT(F148,LEN("Functioning At Risk"))="Functioning At Risk"</formula>
    </cfRule>
    <cfRule type="beginsWith" dxfId="166" priority="182" stopIfTrue="1" operator="beginsWith" text="Not Functioning">
      <formula>LEFT(F148,LEN("Not Functioning"))="Not Functioning"</formula>
    </cfRule>
    <cfRule type="containsText" dxfId="165" priority="183" operator="containsText" text="Functioning">
      <formula>NOT(ISERROR(SEARCH("Functioning",F148)))</formula>
    </cfRule>
  </conditionalFormatting>
  <conditionalFormatting sqref="F186 F182:F183">
    <cfRule type="beginsWith" dxfId="164" priority="175" stopIfTrue="1" operator="beginsWith" text="Functioning At Risk">
      <formula>LEFT(F182,LEN("Functioning At Risk"))="Functioning At Risk"</formula>
    </cfRule>
    <cfRule type="beginsWith" dxfId="163" priority="176" stopIfTrue="1" operator="beginsWith" text="Not Functioning">
      <formula>LEFT(F182,LEN("Not Functioning"))="Not Functioning"</formula>
    </cfRule>
    <cfRule type="containsText" dxfId="162" priority="177" operator="containsText" text="Functioning">
      <formula>NOT(ISERROR(SEARCH("Functioning",F182)))</formula>
    </cfRule>
  </conditionalFormatting>
  <conditionalFormatting sqref="F220 F216:F217">
    <cfRule type="beginsWith" dxfId="161" priority="169" stopIfTrue="1" operator="beginsWith" text="Functioning At Risk">
      <formula>LEFT(F216,LEN("Functioning At Risk"))="Functioning At Risk"</formula>
    </cfRule>
    <cfRule type="beginsWith" dxfId="160" priority="170" stopIfTrue="1" operator="beginsWith" text="Not Functioning">
      <formula>LEFT(F216,LEN("Not Functioning"))="Not Functioning"</formula>
    </cfRule>
    <cfRule type="containsText" dxfId="159" priority="171" operator="containsText" text="Functioning">
      <formula>NOT(ISERROR(SEARCH("Functioning",F216)))</formula>
    </cfRule>
  </conditionalFormatting>
  <conditionalFormatting sqref="F254 F250:F251">
    <cfRule type="beginsWith" dxfId="158" priority="163" stopIfTrue="1" operator="beginsWith" text="Functioning At Risk">
      <formula>LEFT(F250,LEN("Functioning At Risk"))="Functioning At Risk"</formula>
    </cfRule>
    <cfRule type="beginsWith" dxfId="157" priority="164" stopIfTrue="1" operator="beginsWith" text="Not Functioning">
      <formula>LEFT(F250,LEN("Not Functioning"))="Not Functioning"</formula>
    </cfRule>
    <cfRule type="containsText" dxfId="156" priority="165" operator="containsText" text="Functioning">
      <formula>NOT(ISERROR(SEARCH("Functioning",F250)))</formula>
    </cfRule>
  </conditionalFormatting>
  <conditionalFormatting sqref="F288 F284:F285">
    <cfRule type="beginsWith" dxfId="155" priority="157" stopIfTrue="1" operator="beginsWith" text="Functioning At Risk">
      <formula>LEFT(F284,LEN("Functioning At Risk"))="Functioning At Risk"</formula>
    </cfRule>
    <cfRule type="beginsWith" dxfId="154" priority="158" stopIfTrue="1" operator="beginsWith" text="Not Functioning">
      <formula>LEFT(F284,LEN("Not Functioning"))="Not Functioning"</formula>
    </cfRule>
    <cfRule type="containsText" dxfId="153" priority="159" operator="containsText" text="Functioning">
      <formula>NOT(ISERROR(SEARCH("Functioning",F284)))</formula>
    </cfRule>
  </conditionalFormatting>
  <conditionalFormatting sqref="F322 F318:F319">
    <cfRule type="beginsWith" dxfId="152" priority="151" stopIfTrue="1" operator="beginsWith" text="Functioning At Risk">
      <formula>LEFT(F318,LEN("Functioning At Risk"))="Functioning At Risk"</formula>
    </cfRule>
    <cfRule type="beginsWith" dxfId="151" priority="152" stopIfTrue="1" operator="beginsWith" text="Not Functioning">
      <formula>LEFT(F318,LEN("Not Functioning"))="Not Functioning"</formula>
    </cfRule>
    <cfRule type="containsText" dxfId="150" priority="153" operator="containsText" text="Functioning">
      <formula>NOT(ISERROR(SEARCH("Functioning",F318)))</formula>
    </cfRule>
  </conditionalFormatting>
  <conditionalFormatting sqref="J280">
    <cfRule type="beginsWith" dxfId="149" priority="145" stopIfTrue="1" operator="beginsWith" text="Functioning At Risk">
      <formula>LEFT(J280,LEN("Functioning At Risk"))="Functioning At Risk"</formula>
    </cfRule>
    <cfRule type="beginsWith" dxfId="148" priority="146" stopIfTrue="1" operator="beginsWith" text="Not Functioning">
      <formula>LEFT(J280,LEN("Not Functioning"))="Not Functioning"</formula>
    </cfRule>
    <cfRule type="containsText" dxfId="147" priority="147" operator="containsText" text="Functioning">
      <formula>NOT(ISERROR(SEARCH("Functioning",J280)))</formula>
    </cfRule>
  </conditionalFormatting>
  <conditionalFormatting sqref="J246">
    <cfRule type="beginsWith" dxfId="146" priority="142" stopIfTrue="1" operator="beginsWith" text="Functioning At Risk">
      <formula>LEFT(J246,LEN("Functioning At Risk"))="Functioning At Risk"</formula>
    </cfRule>
    <cfRule type="beginsWith" dxfId="145" priority="143" stopIfTrue="1" operator="beginsWith" text="Not Functioning">
      <formula>LEFT(J246,LEN("Not Functioning"))="Not Functioning"</formula>
    </cfRule>
    <cfRule type="containsText" dxfId="144" priority="144" operator="containsText" text="Functioning">
      <formula>NOT(ISERROR(SEARCH("Functioning",J246)))</formula>
    </cfRule>
  </conditionalFormatting>
  <conditionalFormatting sqref="J212">
    <cfRule type="beginsWith" dxfId="143" priority="139" stopIfTrue="1" operator="beginsWith" text="Functioning At Risk">
      <formula>LEFT(J212,LEN("Functioning At Risk"))="Functioning At Risk"</formula>
    </cfRule>
    <cfRule type="beginsWith" dxfId="142" priority="140" stopIfTrue="1" operator="beginsWith" text="Not Functioning">
      <formula>LEFT(J212,LEN("Not Functioning"))="Not Functioning"</formula>
    </cfRule>
    <cfRule type="containsText" dxfId="141" priority="141" operator="containsText" text="Functioning">
      <formula>NOT(ISERROR(SEARCH("Functioning",J212)))</formula>
    </cfRule>
  </conditionalFormatting>
  <conditionalFormatting sqref="J178">
    <cfRule type="beginsWith" dxfId="140" priority="136" stopIfTrue="1" operator="beginsWith" text="Functioning At Risk">
      <formula>LEFT(J178,LEN("Functioning At Risk"))="Functioning At Risk"</formula>
    </cfRule>
    <cfRule type="beginsWith" dxfId="139" priority="137" stopIfTrue="1" operator="beginsWith" text="Not Functioning">
      <formula>LEFT(J178,LEN("Not Functioning"))="Not Functioning"</formula>
    </cfRule>
    <cfRule type="containsText" dxfId="138" priority="138" operator="containsText" text="Functioning">
      <formula>NOT(ISERROR(SEARCH("Functioning",J178)))</formula>
    </cfRule>
  </conditionalFormatting>
  <conditionalFormatting sqref="J144">
    <cfRule type="beginsWith" dxfId="137" priority="133" stopIfTrue="1" operator="beginsWith" text="Functioning At Risk">
      <formula>LEFT(J144,LEN("Functioning At Risk"))="Functioning At Risk"</formula>
    </cfRule>
    <cfRule type="beginsWith" dxfId="136" priority="134" stopIfTrue="1" operator="beginsWith" text="Not Functioning">
      <formula>LEFT(J144,LEN("Not Functioning"))="Not Functioning"</formula>
    </cfRule>
    <cfRule type="containsText" dxfId="135" priority="135" operator="containsText" text="Functioning">
      <formula>NOT(ISERROR(SEARCH("Functioning",J144)))</formula>
    </cfRule>
  </conditionalFormatting>
  <conditionalFormatting sqref="J110">
    <cfRule type="beginsWith" dxfId="134" priority="130" stopIfTrue="1" operator="beginsWith" text="Functioning At Risk">
      <formula>LEFT(J110,LEN("Functioning At Risk"))="Functioning At Risk"</formula>
    </cfRule>
    <cfRule type="beginsWith" dxfId="133" priority="131" stopIfTrue="1" operator="beginsWith" text="Not Functioning">
      <formula>LEFT(J110,LEN("Not Functioning"))="Not Functioning"</formula>
    </cfRule>
    <cfRule type="containsText" dxfId="132" priority="132" operator="containsText" text="Functioning">
      <formula>NOT(ISERROR(SEARCH("Functioning",J110)))</formula>
    </cfRule>
  </conditionalFormatting>
  <conditionalFormatting sqref="J76">
    <cfRule type="beginsWith" dxfId="131" priority="127" stopIfTrue="1" operator="beginsWith" text="Functioning At Risk">
      <formula>LEFT(J76,LEN("Functioning At Risk"))="Functioning At Risk"</formula>
    </cfRule>
    <cfRule type="beginsWith" dxfId="130" priority="128" stopIfTrue="1" operator="beginsWith" text="Not Functioning">
      <formula>LEFT(J76,LEN("Not Functioning"))="Not Functioning"</formula>
    </cfRule>
    <cfRule type="containsText" dxfId="129" priority="129" operator="containsText" text="Functioning">
      <formula>NOT(ISERROR(SEARCH("Functioning",J76)))</formula>
    </cfRule>
  </conditionalFormatting>
  <conditionalFormatting sqref="J42">
    <cfRule type="beginsWith" dxfId="128" priority="124" stopIfTrue="1" operator="beginsWith" text="Functioning At Risk">
      <formula>LEFT(J42,LEN("Functioning At Risk"))="Functioning At Risk"</formula>
    </cfRule>
    <cfRule type="beginsWith" dxfId="127" priority="125" stopIfTrue="1" operator="beginsWith" text="Not Functioning">
      <formula>LEFT(J42,LEN("Not Functioning"))="Not Functioning"</formula>
    </cfRule>
    <cfRule type="containsText" dxfId="126" priority="126" operator="containsText" text="Functioning">
      <formula>NOT(ISERROR(SEARCH("Functioning",J42)))</formula>
    </cfRule>
  </conditionalFormatting>
  <conditionalFormatting sqref="J8">
    <cfRule type="beginsWith" dxfId="125" priority="121" stopIfTrue="1" operator="beginsWith" text="Functioning At Risk">
      <formula>LEFT(J8,LEN("Functioning At Risk"))="Functioning At Risk"</formula>
    </cfRule>
    <cfRule type="beginsWith" dxfId="124" priority="122" stopIfTrue="1" operator="beginsWith" text="Not Functioning">
      <formula>LEFT(J8,LEN("Not Functioning"))="Not Functioning"</formula>
    </cfRule>
    <cfRule type="containsText" dxfId="123" priority="123" operator="containsText" text="Functioning">
      <formula>NOT(ISERROR(SEARCH("Functioning",J8)))</formula>
    </cfRule>
  </conditionalFormatting>
  <conditionalFormatting sqref="B2">
    <cfRule type="beginsWith" dxfId="122" priority="118" stopIfTrue="1" operator="beginsWith" text="Functioning At Risk">
      <formula>LEFT(B2,LEN("Functioning At Risk"))="Functioning At Risk"</formula>
    </cfRule>
    <cfRule type="beginsWith" dxfId="121" priority="119" stopIfTrue="1" operator="beginsWith" text="Not Functioning">
      <formula>LEFT(B2,LEN("Not Functioning"))="Not Functioning"</formula>
    </cfRule>
    <cfRule type="containsText" dxfId="120" priority="120" operator="containsText" text="Functioning">
      <formula>NOT(ISERROR(SEARCH("Functioning",B2)))</formula>
    </cfRule>
  </conditionalFormatting>
  <conditionalFormatting sqref="B36">
    <cfRule type="beginsWith" dxfId="119" priority="115" stopIfTrue="1" operator="beginsWith" text="Functioning At Risk">
      <formula>LEFT(B36,LEN("Functioning At Risk"))="Functioning At Risk"</formula>
    </cfRule>
    <cfRule type="beginsWith" dxfId="118" priority="116" stopIfTrue="1" operator="beginsWith" text="Not Functioning">
      <formula>LEFT(B36,LEN("Not Functioning"))="Not Functioning"</formula>
    </cfRule>
    <cfRule type="containsText" dxfId="117" priority="117" operator="containsText" text="Functioning">
      <formula>NOT(ISERROR(SEARCH("Functioning",B36)))</formula>
    </cfRule>
  </conditionalFormatting>
  <conditionalFormatting sqref="A1">
    <cfRule type="beginsWith" dxfId="116" priority="112" stopIfTrue="1" operator="beginsWith" text="Functioning At Risk">
      <formula>LEFT(A1,LEN("Functioning At Risk"))="Functioning At Risk"</formula>
    </cfRule>
    <cfRule type="beginsWith" dxfId="115" priority="113" stopIfTrue="1" operator="beginsWith" text="Not Functioning">
      <formula>LEFT(A1,LEN("Not Functioning"))="Not Functioning"</formula>
    </cfRule>
    <cfRule type="containsText" dxfId="114" priority="114" operator="containsText" text="Functioning">
      <formula>NOT(ISERROR(SEARCH("Functioning",A1)))</formula>
    </cfRule>
  </conditionalFormatting>
  <conditionalFormatting sqref="A35">
    <cfRule type="beginsWith" dxfId="113" priority="109" stopIfTrue="1" operator="beginsWith" text="Functioning At Risk">
      <formula>LEFT(A35,LEN("Functioning At Risk"))="Functioning At Risk"</formula>
    </cfRule>
    <cfRule type="beginsWith" dxfId="112" priority="110" stopIfTrue="1" operator="beginsWith" text="Not Functioning">
      <formula>LEFT(A35,LEN("Not Functioning"))="Not Functioning"</formula>
    </cfRule>
    <cfRule type="containsText" dxfId="111" priority="111" operator="containsText" text="Functioning">
      <formula>NOT(ISERROR(SEARCH("Functioning",A35)))</formula>
    </cfRule>
  </conditionalFormatting>
  <conditionalFormatting sqref="A69">
    <cfRule type="beginsWith" dxfId="110" priority="106" stopIfTrue="1" operator="beginsWith" text="Functioning At Risk">
      <formula>LEFT(A69,LEN("Functioning At Risk"))="Functioning At Risk"</formula>
    </cfRule>
    <cfRule type="beginsWith" dxfId="109" priority="107" stopIfTrue="1" operator="beginsWith" text="Not Functioning">
      <formula>LEFT(A69,LEN("Not Functioning"))="Not Functioning"</formula>
    </cfRule>
    <cfRule type="containsText" dxfId="108" priority="108" operator="containsText" text="Functioning">
      <formula>NOT(ISERROR(SEARCH("Functioning",A69)))</formula>
    </cfRule>
  </conditionalFormatting>
  <conditionalFormatting sqref="A103">
    <cfRule type="beginsWith" dxfId="107" priority="103" stopIfTrue="1" operator="beginsWith" text="Functioning At Risk">
      <formula>LEFT(A103,LEN("Functioning At Risk"))="Functioning At Risk"</formula>
    </cfRule>
    <cfRule type="beginsWith" dxfId="106" priority="104" stopIfTrue="1" operator="beginsWith" text="Not Functioning">
      <formula>LEFT(A103,LEN("Not Functioning"))="Not Functioning"</formula>
    </cfRule>
    <cfRule type="containsText" dxfId="105" priority="105" operator="containsText" text="Functioning">
      <formula>NOT(ISERROR(SEARCH("Functioning",A103)))</formula>
    </cfRule>
  </conditionalFormatting>
  <conditionalFormatting sqref="A137">
    <cfRule type="beginsWith" dxfId="104" priority="100" stopIfTrue="1" operator="beginsWith" text="Functioning At Risk">
      <formula>LEFT(A137,LEN("Functioning At Risk"))="Functioning At Risk"</formula>
    </cfRule>
    <cfRule type="beginsWith" dxfId="103" priority="101" stopIfTrue="1" operator="beginsWith" text="Not Functioning">
      <formula>LEFT(A137,LEN("Not Functioning"))="Not Functioning"</formula>
    </cfRule>
    <cfRule type="containsText" dxfId="102" priority="102" operator="containsText" text="Functioning">
      <formula>NOT(ISERROR(SEARCH("Functioning",A137)))</formula>
    </cfRule>
  </conditionalFormatting>
  <conditionalFormatting sqref="A171">
    <cfRule type="beginsWith" dxfId="101" priority="97" stopIfTrue="1" operator="beginsWith" text="Functioning At Risk">
      <formula>LEFT(A171,LEN("Functioning At Risk"))="Functioning At Risk"</formula>
    </cfRule>
    <cfRule type="beginsWith" dxfId="100" priority="98" stopIfTrue="1" operator="beginsWith" text="Not Functioning">
      <formula>LEFT(A171,LEN("Not Functioning"))="Not Functioning"</formula>
    </cfRule>
    <cfRule type="containsText" dxfId="99" priority="99" operator="containsText" text="Functioning">
      <formula>NOT(ISERROR(SEARCH("Functioning",A171)))</formula>
    </cfRule>
  </conditionalFormatting>
  <conditionalFormatting sqref="A205">
    <cfRule type="beginsWith" dxfId="98" priority="94" stopIfTrue="1" operator="beginsWith" text="Functioning At Risk">
      <formula>LEFT(A205,LEN("Functioning At Risk"))="Functioning At Risk"</formula>
    </cfRule>
    <cfRule type="beginsWith" dxfId="97" priority="95" stopIfTrue="1" operator="beginsWith" text="Not Functioning">
      <formula>LEFT(A205,LEN("Not Functioning"))="Not Functioning"</formula>
    </cfRule>
    <cfRule type="containsText" dxfId="96" priority="96" operator="containsText" text="Functioning">
      <formula>NOT(ISERROR(SEARCH("Functioning",A205)))</formula>
    </cfRule>
  </conditionalFormatting>
  <conditionalFormatting sqref="A239">
    <cfRule type="beginsWith" dxfId="95" priority="91" stopIfTrue="1" operator="beginsWith" text="Functioning At Risk">
      <formula>LEFT(A239,LEN("Functioning At Risk"))="Functioning At Risk"</formula>
    </cfRule>
    <cfRule type="beginsWith" dxfId="94" priority="92" stopIfTrue="1" operator="beginsWith" text="Not Functioning">
      <formula>LEFT(A239,LEN("Not Functioning"))="Not Functioning"</formula>
    </cfRule>
    <cfRule type="containsText" dxfId="93" priority="93" operator="containsText" text="Functioning">
      <formula>NOT(ISERROR(SEARCH("Functioning",A239)))</formula>
    </cfRule>
  </conditionalFormatting>
  <conditionalFormatting sqref="A273">
    <cfRule type="beginsWith" dxfId="92" priority="88" stopIfTrue="1" operator="beginsWith" text="Functioning At Risk">
      <formula>LEFT(A273,LEN("Functioning At Risk"))="Functioning At Risk"</formula>
    </cfRule>
    <cfRule type="beginsWith" dxfId="91" priority="89" stopIfTrue="1" operator="beginsWith" text="Not Functioning">
      <formula>LEFT(A273,LEN("Not Functioning"))="Not Functioning"</formula>
    </cfRule>
    <cfRule type="containsText" dxfId="90" priority="90" operator="containsText" text="Functioning">
      <formula>NOT(ISERROR(SEARCH("Functioning",A273)))</formula>
    </cfRule>
  </conditionalFormatting>
  <conditionalFormatting sqref="A307">
    <cfRule type="beginsWith" dxfId="89" priority="85" stopIfTrue="1" operator="beginsWith" text="Functioning At Risk">
      <formula>LEFT(A307,LEN("Functioning At Risk"))="Functioning At Risk"</formula>
    </cfRule>
    <cfRule type="beginsWith" dxfId="88" priority="86" stopIfTrue="1" operator="beginsWith" text="Not Functioning">
      <formula>LEFT(A307,LEN("Not Functioning"))="Not Functioning"</formula>
    </cfRule>
    <cfRule type="containsText" dxfId="87" priority="87" operator="containsText" text="Functioning">
      <formula>NOT(ISERROR(SEARCH("Functioning",A307)))</formula>
    </cfRule>
  </conditionalFormatting>
  <conditionalFormatting sqref="F49">
    <cfRule type="beginsWith" dxfId="86" priority="82" stopIfTrue="1" operator="beginsWith" text="Functioning At Risk">
      <formula>LEFT(F49,LEN("Functioning At Risk"))="Functioning At Risk"</formula>
    </cfRule>
    <cfRule type="beginsWith" dxfId="85" priority="83" stopIfTrue="1" operator="beginsWith" text="Not Functioning">
      <formula>LEFT(F49,LEN("Not Functioning"))="Not Functioning"</formula>
    </cfRule>
    <cfRule type="containsText" dxfId="84" priority="84" operator="containsText" text="Functioning">
      <formula>NOT(ISERROR(SEARCH("Functioning",F49)))</formula>
    </cfRule>
  </conditionalFormatting>
  <conditionalFormatting sqref="F83">
    <cfRule type="beginsWith" dxfId="83" priority="79" stopIfTrue="1" operator="beginsWith" text="Functioning At Risk">
      <formula>LEFT(F83,LEN("Functioning At Risk"))="Functioning At Risk"</formula>
    </cfRule>
    <cfRule type="beginsWith" dxfId="82" priority="80" stopIfTrue="1" operator="beginsWith" text="Not Functioning">
      <formula>LEFT(F83,LEN("Not Functioning"))="Not Functioning"</formula>
    </cfRule>
    <cfRule type="containsText" dxfId="81" priority="81" operator="containsText" text="Functioning">
      <formula>NOT(ISERROR(SEARCH("Functioning",F83)))</formula>
    </cfRule>
  </conditionalFormatting>
  <conditionalFormatting sqref="F117">
    <cfRule type="beginsWith" dxfId="80" priority="76" stopIfTrue="1" operator="beginsWith" text="Functioning At Risk">
      <formula>LEFT(F117,LEN("Functioning At Risk"))="Functioning At Risk"</formula>
    </cfRule>
    <cfRule type="beginsWith" dxfId="79" priority="77" stopIfTrue="1" operator="beginsWith" text="Not Functioning">
      <formula>LEFT(F117,LEN("Not Functioning"))="Not Functioning"</formula>
    </cfRule>
    <cfRule type="containsText" dxfId="78" priority="78" operator="containsText" text="Functioning">
      <formula>NOT(ISERROR(SEARCH("Functioning",F117)))</formula>
    </cfRule>
  </conditionalFormatting>
  <conditionalFormatting sqref="F151">
    <cfRule type="beginsWith" dxfId="77" priority="73" stopIfTrue="1" operator="beginsWith" text="Functioning At Risk">
      <formula>LEFT(F151,LEN("Functioning At Risk"))="Functioning At Risk"</formula>
    </cfRule>
    <cfRule type="beginsWith" dxfId="76" priority="74" stopIfTrue="1" operator="beginsWith" text="Not Functioning">
      <formula>LEFT(F151,LEN("Not Functioning"))="Not Functioning"</formula>
    </cfRule>
    <cfRule type="containsText" dxfId="75" priority="75" operator="containsText" text="Functioning">
      <formula>NOT(ISERROR(SEARCH("Functioning",F151)))</formula>
    </cfRule>
  </conditionalFormatting>
  <conditionalFormatting sqref="F185">
    <cfRule type="beginsWith" dxfId="74" priority="70" stopIfTrue="1" operator="beginsWith" text="Functioning At Risk">
      <formula>LEFT(F185,LEN("Functioning At Risk"))="Functioning At Risk"</formula>
    </cfRule>
    <cfRule type="beginsWith" dxfId="73" priority="71" stopIfTrue="1" operator="beginsWith" text="Not Functioning">
      <formula>LEFT(F185,LEN("Not Functioning"))="Not Functioning"</formula>
    </cfRule>
    <cfRule type="containsText" dxfId="72" priority="72" operator="containsText" text="Functioning">
      <formula>NOT(ISERROR(SEARCH("Functioning",F185)))</formula>
    </cfRule>
  </conditionalFormatting>
  <conditionalFormatting sqref="F321">
    <cfRule type="beginsWith" dxfId="71" priority="64" stopIfTrue="1" operator="beginsWith" text="Functioning At Risk">
      <formula>LEFT(F321,LEN("Functioning At Risk"))="Functioning At Risk"</formula>
    </cfRule>
    <cfRule type="beginsWith" dxfId="70" priority="65" stopIfTrue="1" operator="beginsWith" text="Not Functioning">
      <formula>LEFT(F321,LEN("Not Functioning"))="Not Functioning"</formula>
    </cfRule>
    <cfRule type="containsText" dxfId="69" priority="66" operator="containsText" text="Functioning">
      <formula>NOT(ISERROR(SEARCH("Functioning",F321)))</formula>
    </cfRule>
  </conditionalFormatting>
  <conditionalFormatting sqref="F287">
    <cfRule type="beginsWith" dxfId="68" priority="61" stopIfTrue="1" operator="beginsWith" text="Functioning At Risk">
      <formula>LEFT(F287,LEN("Functioning At Risk"))="Functioning At Risk"</formula>
    </cfRule>
    <cfRule type="beginsWith" dxfId="67" priority="62" stopIfTrue="1" operator="beginsWith" text="Not Functioning">
      <formula>LEFT(F287,LEN("Not Functioning"))="Not Functioning"</formula>
    </cfRule>
    <cfRule type="containsText" dxfId="66" priority="63" operator="containsText" text="Functioning">
      <formula>NOT(ISERROR(SEARCH("Functioning",F287)))</formula>
    </cfRule>
  </conditionalFormatting>
  <conditionalFormatting sqref="F253">
    <cfRule type="beginsWith" dxfId="65" priority="58" stopIfTrue="1" operator="beginsWith" text="Functioning At Risk">
      <formula>LEFT(F253,LEN("Functioning At Risk"))="Functioning At Risk"</formula>
    </cfRule>
    <cfRule type="beginsWith" dxfId="64" priority="59" stopIfTrue="1" operator="beginsWith" text="Not Functioning">
      <formula>LEFT(F253,LEN("Not Functioning"))="Not Functioning"</formula>
    </cfRule>
    <cfRule type="containsText" dxfId="63" priority="60" operator="containsText" text="Functioning">
      <formula>NOT(ISERROR(SEARCH("Functioning",F253)))</formula>
    </cfRule>
  </conditionalFormatting>
  <conditionalFormatting sqref="F219">
    <cfRule type="beginsWith" dxfId="62" priority="55" stopIfTrue="1" operator="beginsWith" text="Functioning At Risk">
      <formula>LEFT(F219,LEN("Functioning At Risk"))="Functioning At Risk"</formula>
    </cfRule>
    <cfRule type="beginsWith" dxfId="61" priority="56" stopIfTrue="1" operator="beginsWith" text="Not Functioning">
      <formula>LEFT(F219,LEN("Not Functioning"))="Not Functioning"</formula>
    </cfRule>
    <cfRule type="containsText" dxfId="60" priority="57" operator="containsText" text="Functioning">
      <formula>NOT(ISERROR(SEARCH("Functioning",F219)))</formula>
    </cfRule>
  </conditionalFormatting>
  <conditionalFormatting sqref="D39">
    <cfRule type="beginsWith" dxfId="59" priority="52" stopIfTrue="1" operator="beginsWith" text="Functioning At Risk">
      <formula>LEFT(D39,LEN("Functioning At Risk"))="Functioning At Risk"</formula>
    </cfRule>
    <cfRule type="beginsWith" dxfId="58" priority="53" stopIfTrue="1" operator="beginsWith" text="Not Functioning">
      <formula>LEFT(D39,LEN("Not Functioning"))="Not Functioning"</formula>
    </cfRule>
    <cfRule type="containsText" dxfId="57" priority="54" operator="containsText" text="Functioning">
      <formula>NOT(ISERROR(SEARCH("Functioning",D39)))</formula>
    </cfRule>
  </conditionalFormatting>
  <conditionalFormatting sqref="D39">
    <cfRule type="beginsWith" dxfId="56" priority="49" stopIfTrue="1" operator="beginsWith" text="Functioning At Risk">
      <formula>LEFT(D39,LEN("Functioning At Risk"))="Functioning At Risk"</formula>
    </cfRule>
    <cfRule type="beginsWith" dxfId="55" priority="50" stopIfTrue="1" operator="beginsWith" text="Not Functioning">
      <formula>LEFT(D39,LEN("Not Functioning"))="Not Functioning"</formula>
    </cfRule>
    <cfRule type="containsText" dxfId="54" priority="51" operator="containsText" text="Functioning">
      <formula>NOT(ISERROR(SEARCH("Functioning",D39)))</formula>
    </cfRule>
  </conditionalFormatting>
  <conditionalFormatting sqref="D73">
    <cfRule type="beginsWith" dxfId="53" priority="46" stopIfTrue="1" operator="beginsWith" text="Functioning At Risk">
      <formula>LEFT(D73,LEN("Functioning At Risk"))="Functioning At Risk"</formula>
    </cfRule>
    <cfRule type="beginsWith" dxfId="52" priority="47" stopIfTrue="1" operator="beginsWith" text="Not Functioning">
      <formula>LEFT(D73,LEN("Not Functioning"))="Not Functioning"</formula>
    </cfRule>
    <cfRule type="containsText" dxfId="51" priority="48" operator="containsText" text="Functioning">
      <formula>NOT(ISERROR(SEARCH("Functioning",D73)))</formula>
    </cfRule>
  </conditionalFormatting>
  <conditionalFormatting sqref="D73">
    <cfRule type="beginsWith" dxfId="50" priority="43" stopIfTrue="1" operator="beginsWith" text="Functioning At Risk">
      <formula>LEFT(D73,LEN("Functioning At Risk"))="Functioning At Risk"</formula>
    </cfRule>
    <cfRule type="beginsWith" dxfId="49" priority="44" stopIfTrue="1" operator="beginsWith" text="Not Functioning">
      <formula>LEFT(D73,LEN("Not Functioning"))="Not Functioning"</formula>
    </cfRule>
    <cfRule type="containsText" dxfId="48" priority="45" operator="containsText" text="Functioning">
      <formula>NOT(ISERROR(SEARCH("Functioning",D73)))</formula>
    </cfRule>
  </conditionalFormatting>
  <conditionalFormatting sqref="D107">
    <cfRule type="beginsWith" dxfId="47" priority="40" stopIfTrue="1" operator="beginsWith" text="Functioning At Risk">
      <formula>LEFT(D107,LEN("Functioning At Risk"))="Functioning At Risk"</formula>
    </cfRule>
    <cfRule type="beginsWith" dxfId="46" priority="41" stopIfTrue="1" operator="beginsWith" text="Not Functioning">
      <formula>LEFT(D107,LEN("Not Functioning"))="Not Functioning"</formula>
    </cfRule>
    <cfRule type="containsText" dxfId="45" priority="42" operator="containsText" text="Functioning">
      <formula>NOT(ISERROR(SEARCH("Functioning",D107)))</formula>
    </cfRule>
  </conditionalFormatting>
  <conditionalFormatting sqref="D107">
    <cfRule type="beginsWith" dxfId="44" priority="37" stopIfTrue="1" operator="beginsWith" text="Functioning At Risk">
      <formula>LEFT(D107,LEN("Functioning At Risk"))="Functioning At Risk"</formula>
    </cfRule>
    <cfRule type="beginsWith" dxfId="43" priority="38" stopIfTrue="1" operator="beginsWith" text="Not Functioning">
      <formula>LEFT(D107,LEN("Not Functioning"))="Not Functioning"</formula>
    </cfRule>
    <cfRule type="containsText" dxfId="42" priority="39" operator="containsText" text="Functioning">
      <formula>NOT(ISERROR(SEARCH("Functioning",D107)))</formula>
    </cfRule>
  </conditionalFormatting>
  <conditionalFormatting sqref="D141">
    <cfRule type="beginsWith" dxfId="41" priority="34" stopIfTrue="1" operator="beginsWith" text="Functioning At Risk">
      <formula>LEFT(D141,LEN("Functioning At Risk"))="Functioning At Risk"</formula>
    </cfRule>
    <cfRule type="beginsWith" dxfId="40" priority="35" stopIfTrue="1" operator="beginsWith" text="Not Functioning">
      <formula>LEFT(D141,LEN("Not Functioning"))="Not Functioning"</formula>
    </cfRule>
    <cfRule type="containsText" dxfId="39" priority="36" operator="containsText" text="Functioning">
      <formula>NOT(ISERROR(SEARCH("Functioning",D141)))</formula>
    </cfRule>
  </conditionalFormatting>
  <conditionalFormatting sqref="D141">
    <cfRule type="beginsWith" dxfId="38" priority="31" stopIfTrue="1" operator="beginsWith" text="Functioning At Risk">
      <formula>LEFT(D141,LEN("Functioning At Risk"))="Functioning At Risk"</formula>
    </cfRule>
    <cfRule type="beginsWith" dxfId="37" priority="32" stopIfTrue="1" operator="beginsWith" text="Not Functioning">
      <formula>LEFT(D141,LEN("Not Functioning"))="Not Functioning"</formula>
    </cfRule>
    <cfRule type="containsText" dxfId="36" priority="33" operator="containsText" text="Functioning">
      <formula>NOT(ISERROR(SEARCH("Functioning",D141)))</formula>
    </cfRule>
  </conditionalFormatting>
  <conditionalFormatting sqref="D175">
    <cfRule type="beginsWith" dxfId="35" priority="28" stopIfTrue="1" operator="beginsWith" text="Functioning At Risk">
      <formula>LEFT(D175,LEN("Functioning At Risk"))="Functioning At Risk"</formula>
    </cfRule>
    <cfRule type="beginsWith" dxfId="34" priority="29" stopIfTrue="1" operator="beginsWith" text="Not Functioning">
      <formula>LEFT(D175,LEN("Not Functioning"))="Not Functioning"</formula>
    </cfRule>
    <cfRule type="containsText" dxfId="33" priority="30" operator="containsText" text="Functioning">
      <formula>NOT(ISERROR(SEARCH("Functioning",D175)))</formula>
    </cfRule>
  </conditionalFormatting>
  <conditionalFormatting sqref="D175">
    <cfRule type="beginsWith" dxfId="32" priority="25" stopIfTrue="1" operator="beginsWith" text="Functioning At Risk">
      <formula>LEFT(D175,LEN("Functioning At Risk"))="Functioning At Risk"</formula>
    </cfRule>
    <cfRule type="beginsWith" dxfId="31" priority="26" stopIfTrue="1" operator="beginsWith" text="Not Functioning">
      <formula>LEFT(D175,LEN("Not Functioning"))="Not Functioning"</formula>
    </cfRule>
    <cfRule type="containsText" dxfId="30" priority="27" operator="containsText" text="Functioning">
      <formula>NOT(ISERROR(SEARCH("Functioning",D175)))</formula>
    </cfRule>
  </conditionalFormatting>
  <conditionalFormatting sqref="D209">
    <cfRule type="beginsWith" dxfId="29" priority="22" stopIfTrue="1" operator="beginsWith" text="Functioning At Risk">
      <formula>LEFT(D209,LEN("Functioning At Risk"))="Functioning At Risk"</formula>
    </cfRule>
    <cfRule type="beginsWith" dxfId="28" priority="23" stopIfTrue="1" operator="beginsWith" text="Not Functioning">
      <formula>LEFT(D209,LEN("Not Functioning"))="Not Functioning"</formula>
    </cfRule>
    <cfRule type="containsText" dxfId="27" priority="24" operator="containsText" text="Functioning">
      <formula>NOT(ISERROR(SEARCH("Functioning",D209)))</formula>
    </cfRule>
  </conditionalFormatting>
  <conditionalFormatting sqref="D209">
    <cfRule type="beginsWith" dxfId="26" priority="19" stopIfTrue="1" operator="beginsWith" text="Functioning At Risk">
      <formula>LEFT(D209,LEN("Functioning At Risk"))="Functioning At Risk"</formula>
    </cfRule>
    <cfRule type="beginsWith" dxfId="25" priority="20" stopIfTrue="1" operator="beginsWith" text="Not Functioning">
      <formula>LEFT(D209,LEN("Not Functioning"))="Not Functioning"</formula>
    </cfRule>
    <cfRule type="containsText" dxfId="24" priority="21" operator="containsText" text="Functioning">
      <formula>NOT(ISERROR(SEARCH("Functioning",D209)))</formula>
    </cfRule>
  </conditionalFormatting>
  <conditionalFormatting sqref="D243">
    <cfRule type="beginsWith" dxfId="23" priority="16" stopIfTrue="1" operator="beginsWith" text="Functioning At Risk">
      <formula>LEFT(D243,LEN("Functioning At Risk"))="Functioning At Risk"</formula>
    </cfRule>
    <cfRule type="beginsWith" dxfId="22" priority="17" stopIfTrue="1" operator="beginsWith" text="Not Functioning">
      <formula>LEFT(D243,LEN("Not Functioning"))="Not Functioning"</formula>
    </cfRule>
    <cfRule type="containsText" dxfId="21" priority="18" operator="containsText" text="Functioning">
      <formula>NOT(ISERROR(SEARCH("Functioning",D243)))</formula>
    </cfRule>
  </conditionalFormatting>
  <conditionalFormatting sqref="D243">
    <cfRule type="beginsWith" dxfId="20" priority="13" stopIfTrue="1" operator="beginsWith" text="Functioning At Risk">
      <formula>LEFT(D243,LEN("Functioning At Risk"))="Functioning At Risk"</formula>
    </cfRule>
    <cfRule type="beginsWith" dxfId="19" priority="14" stopIfTrue="1" operator="beginsWith" text="Not Functioning">
      <formula>LEFT(D243,LEN("Not Functioning"))="Not Functioning"</formula>
    </cfRule>
    <cfRule type="containsText" dxfId="18" priority="15" operator="containsText" text="Functioning">
      <formula>NOT(ISERROR(SEARCH("Functioning",D243)))</formula>
    </cfRule>
  </conditionalFormatting>
  <conditionalFormatting sqref="D277">
    <cfRule type="beginsWith" dxfId="17" priority="10" stopIfTrue="1" operator="beginsWith" text="Functioning At Risk">
      <formula>LEFT(D277,LEN("Functioning At Risk"))="Functioning At Risk"</formula>
    </cfRule>
    <cfRule type="beginsWith" dxfId="16" priority="11" stopIfTrue="1" operator="beginsWith" text="Not Functioning">
      <formula>LEFT(D277,LEN("Not Functioning"))="Not Functioning"</formula>
    </cfRule>
    <cfRule type="containsText" dxfId="15" priority="12" operator="containsText" text="Functioning">
      <formula>NOT(ISERROR(SEARCH("Functioning",D277)))</formula>
    </cfRule>
  </conditionalFormatting>
  <conditionalFormatting sqref="D277">
    <cfRule type="beginsWith" dxfId="14" priority="7" stopIfTrue="1" operator="beginsWith" text="Functioning At Risk">
      <formula>LEFT(D277,LEN("Functioning At Risk"))="Functioning At Risk"</formula>
    </cfRule>
    <cfRule type="beginsWith" dxfId="13" priority="8" stopIfTrue="1" operator="beginsWith" text="Not Functioning">
      <formula>LEFT(D277,LEN("Not Functioning"))="Not Functioning"</formula>
    </cfRule>
    <cfRule type="containsText" dxfId="12" priority="9" operator="containsText" text="Functioning">
      <formula>NOT(ISERROR(SEARCH("Functioning",D277)))</formula>
    </cfRule>
  </conditionalFormatting>
  <conditionalFormatting sqref="D311">
    <cfRule type="beginsWith" dxfId="11" priority="4" stopIfTrue="1" operator="beginsWith" text="Functioning At Risk">
      <formula>LEFT(D311,LEN("Functioning At Risk"))="Functioning At Risk"</formula>
    </cfRule>
    <cfRule type="beginsWith" dxfId="10" priority="5" stopIfTrue="1" operator="beginsWith" text="Not Functioning">
      <formula>LEFT(D311,LEN("Not Functioning"))="Not Functioning"</formula>
    </cfRule>
    <cfRule type="containsText" dxfId="9" priority="6" operator="containsText" text="Functioning">
      <formula>NOT(ISERROR(SEARCH("Functioning",D311)))</formula>
    </cfRule>
  </conditionalFormatting>
  <conditionalFormatting sqref="D311">
    <cfRule type="beginsWith" dxfId="8" priority="1" stopIfTrue="1" operator="beginsWith" text="Functioning At Risk">
      <formula>LEFT(D311,LEN("Functioning At Risk"))="Functioning At Risk"</formula>
    </cfRule>
    <cfRule type="beginsWith" dxfId="7" priority="2" stopIfTrue="1" operator="beginsWith" text="Not Functioning">
      <formula>LEFT(D311,LEN("Not Functioning"))="Not Functioning"</formula>
    </cfRule>
    <cfRule type="containsText" dxfId="6" priority="3" operator="containsText" text="Functioning">
      <formula>NOT(ISERROR(SEARCH("Functioning",D311)))</formula>
    </cfRule>
  </conditionalFormatting>
  <dataValidations count="6">
    <dataValidation allowBlank="1" showErrorMessage="1" prompt="This measurement method should be used in combination with either Erosion Rate or Dominant BEHI/NBS." sqref="E255:E256 E17:E18 E51:E52 E289:E290 E85:E86 E119:E120 E153:E154 E187:E188 E221:E222 E323:E324" xr:uid="{7816E81C-3B4A-4F6B-BE61-12E53E0818AB}"/>
    <dataValidation type="decimal" allowBlank="1" showErrorMessage="1" prompt="The user should input a value for either basal area or density, not both. " sqref="E26:E27 E60:E61 E298:E299 E94:E95 E128:E129 E162:E163 E196:E197 E230:E231 E264:E265 E332:E333" xr:uid="{89320C17-7AF6-437B-AF17-D383116E06AD}">
      <formula1>0</formula1>
      <formula2>5280</formula2>
    </dataValidation>
    <dataValidation type="list" allowBlank="1" showErrorMessage="1" sqref="B3:B4 B207:B208 B241:B242 B275:B276 B37:B38 B71:B72 B105:B106 B139:B140 B173:B174 B309:B310" xr:uid="{691D0696-3589-457E-B72C-22EBFC6EB565}">
      <formula1>StreamType</formula1>
    </dataValidation>
    <dataValidation type="decimal" allowBlank="1" showInputMessage="1" showErrorMessage="1" sqref="E58:E59 E24:E25 E296:E297 E92:E93 E126:E127 E160:E161 E194:E195 E228:E229 E262:E263 E330:E331" xr:uid="{7A560AF3-AA83-40CF-9A26-145F4061FDB7}">
      <formula1>0</formula1>
      <formula2>5280</formula2>
    </dataValidation>
    <dataValidation allowBlank="1" showErrorMessage="1" prompt="Select catchment conditon level from the completed catchment assessment form. " sqref="E247 E179 E213 E11 E43 E281 E77 E111 E145 E9 E45 E283 E79 E113 E147 E181 E215 E249 E315 E317" xr:uid="{A5E21F68-256C-4871-BB80-523C5723181B}"/>
    <dataValidation allowBlank="1" showErrorMessage="1" sqref="E19 E53 E291 E87 E121 E155 E189 E223 E257 E325" xr:uid="{3DF8F8C1-A48B-400A-AB60-9C3065E4E4C9}"/>
  </dataValidations>
  <pageMargins left="0.25" right="0.25" top="0.75" bottom="0.75" header="0.3" footer="0.3"/>
  <pageSetup paperSize="3" scale="95" fitToWidth="0" fitToHeight="0" orientation="landscape" r:id="rId1"/>
  <rowBreaks count="9" manualBreakCount="9">
    <brk id="33" max="16383" man="1"/>
    <brk id="67" max="16383" man="1"/>
    <brk id="101" max="16383" man="1"/>
    <brk id="135" max="16383" man="1"/>
    <brk id="169" max="16383" man="1"/>
    <brk id="203" max="16383" man="1"/>
    <brk id="237" max="16383" man="1"/>
    <brk id="271" max="16383" man="1"/>
    <brk id="305" max="16383" man="1"/>
  </rowBreaks>
  <extLst>
    <ext xmlns:x14="http://schemas.microsoft.com/office/spreadsheetml/2009/9/main" uri="{CCE6A557-97BC-4b89-ADB6-D9C93CAAB3DF}">
      <x14:dataValidations xmlns:xm="http://schemas.microsoft.com/office/excel/2006/main" count="10">
        <x14:dataValidation type="list" allowBlank="1" showErrorMessage="1" prompt="Select the dominant BEHI/NBS.  _x000a_If erosion rate was measured select blank. The user should only input a value for either BEHI/NBS or Erosion Rate, not both. " xr:uid="{EF60384B-88AA-401A-A281-BC1B8D321D0A}">
          <x14:formula1>
            <xm:f>'Pull Down Notes'!$B$22:$B$57</xm:f>
          </x14:formula1>
          <xm:sqref>E16 E50 E288 E84 E118 E152 E186 E220 E254 E322</xm:sqref>
        </x14:dataValidation>
        <x14:dataValidation type="list" allowBlank="1" showInputMessage="1" showErrorMessage="1" xr:uid="{A8FE7041-A3AA-41A2-AC8F-4C03A908DABF}">
          <x14:formula1>
            <xm:f>'Pull Down Notes'!$B$59:$B$61</xm:f>
          </x14:formula1>
          <xm:sqref>G4:G5 G38:G39 G72:G73 G106:G107 G140:G141 G174:G175 G208:G209 G242:G243 G276:G277 G310:G311</xm:sqref>
        </x14:dataValidation>
        <x14:dataValidation type="list" allowBlank="1" showInputMessage="1" showErrorMessage="1" xr:uid="{51DC4F31-911B-4A65-B55E-1FA635849339}">
          <x14:formula1>
            <xm:f>'Pull Down Notes'!$B$91:$B$100</xm:f>
          </x14:formula1>
          <xm:sqref>G2 G36 G70 G104 G138 G172 G206 G240 G274 G308</xm:sqref>
        </x14:dataValidation>
        <x14:dataValidation type="list" allowBlank="1" showErrorMessage="1" xr:uid="{5C55D72A-9402-4F89-AF76-84FD41628DF0}">
          <x14:formula1>
            <xm:f>'Pull Down Notes'!$B$80:$B$89</xm:f>
          </x14:formula1>
          <xm:sqref>D277 D5 D39 D73 D107 D141 D175 D209 D243 D311</xm:sqref>
        </x14:dataValidation>
        <x14:dataValidation type="list" allowBlank="1" showInputMessage="1" showErrorMessage="1" xr:uid="{11172FF8-9022-47D6-8F9E-0382ABC84866}">
          <x14:formula1>
            <xm:f>'Pull Down Notes'!$B$13:$B$19</xm:f>
          </x14:formula1>
          <xm:sqref>D4 D38 D72 D106 D140 D174 D208 D242 D276 D310</xm:sqref>
        </x14:dataValidation>
        <x14:dataValidation type="list" allowBlank="1" showErrorMessage="1" xr:uid="{AE2E4D06-C5A4-45D0-BDAA-9C454EE7E1A5}">
          <x14:formula1>
            <xm:f>'Pull Down Notes'!$B$68:$B$73</xm:f>
          </x14:formula1>
          <xm:sqref>D2 D36 D70 D104 D138 D172 D206 D240 D274 D308</xm:sqref>
        </x14:dataValidation>
        <x14:dataValidation type="list" allowBlank="1" showErrorMessage="1" xr:uid="{192DEA87-6EE0-4CB5-9D1D-EB46CD9D60D1}">
          <x14:formula1>
            <xm:f>'Pull Down Notes'!$B$75:$B$78</xm:f>
          </x14:formula1>
          <xm:sqref>D3 D37 D71 D105 D139 D173 D207 D241 D275 D309</xm:sqref>
        </x14:dataValidation>
        <x14:dataValidation type="list" allowBlank="1" showErrorMessage="1" xr:uid="{F6894887-BE89-4B02-A7A0-F5385DB48A75}">
          <x14:formula1>
            <xm:f>'Pull Down Notes'!$B$59:$B$61</xm:f>
          </x14:formula1>
          <xm:sqref>B5 G4:G5 B39 G38:G39 B73 G72:G73 B107 G106:G107 B141 G140:G141 B175 G174:G175 B209 G208:G209 B243 G242:G243 B277 G276:G277 B311 G310:G311</xm:sqref>
        </x14:dataValidation>
        <x14:dataValidation type="list" allowBlank="1" showInputMessage="1" showErrorMessage="1" xr:uid="{E127E123-B6C2-4058-83AB-8242C62CAD1D}">
          <x14:formula1>
            <xm:f>'Pull Down Notes'!$B$63:$B$66</xm:f>
          </x14:formula1>
          <xm:sqref>G207 G275 G241 G173 G139 G105 G71 G37 G3 G309</xm:sqref>
        </x14:dataValidation>
        <x14:dataValidation type="list" allowBlank="1" showInputMessage="1" showErrorMessage="1" xr:uid="{D733AF0C-FCAB-4BF8-9AB4-C9C0813E3D66}">
          <x14:formula1>
            <xm:f>'Pull Down Notes'!$B$80:$B$89</xm:f>
          </x14:formula1>
          <xm:sqref>D5 D39 D73 D107 D141 D175 D209 D243 D277 D311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536"/>
  <sheetViews>
    <sheetView workbookViewId="0"/>
  </sheetViews>
  <sheetFormatPr defaultColWidth="9.140625" defaultRowHeight="15" x14ac:dyDescent="0.25"/>
  <cols>
    <col min="1" max="1" width="5.5703125" style="5" customWidth="1"/>
    <col min="2" max="3" width="11.7109375" style="5" customWidth="1"/>
    <col min="4" max="4" width="11.7109375" style="59" customWidth="1"/>
    <col min="5" max="5" width="7" style="5" customWidth="1"/>
    <col min="6" max="6" width="11.42578125" style="5" customWidth="1"/>
    <col min="7" max="7" width="24.7109375" style="59" customWidth="1"/>
    <col min="8" max="8" width="11.7109375" style="5" customWidth="1"/>
    <col min="9" max="9" width="32.85546875" style="5" bestFit="1" customWidth="1"/>
    <col min="10" max="10" width="32.85546875" style="11" bestFit="1" customWidth="1"/>
    <col min="11" max="11" width="11.7109375" style="60" customWidth="1"/>
    <col min="12" max="12" width="11.7109375" style="5" customWidth="1"/>
    <col min="13" max="13" width="17.28515625" style="5" bestFit="1" customWidth="1"/>
    <col min="14" max="14" width="18.5703125" style="5" bestFit="1" customWidth="1"/>
    <col min="15" max="15" width="16.7109375" style="59" customWidth="1"/>
    <col min="16" max="16" width="11.7109375" style="11" customWidth="1"/>
    <col min="17" max="23" width="11.7109375" style="5" customWidth="1"/>
    <col min="24" max="24" width="11.7109375" style="11" customWidth="1"/>
    <col min="25" max="27" width="11.7109375" style="5" customWidth="1"/>
    <col min="28" max="28" width="11.7109375" style="59" customWidth="1"/>
    <col min="29" max="30" width="11.7109375" style="5" customWidth="1"/>
    <col min="31" max="16384" width="9.140625" style="5"/>
  </cols>
  <sheetData>
    <row r="1" spans="1:28" ht="15.75" x14ac:dyDescent="0.25">
      <c r="A1" s="88" t="s">
        <v>227</v>
      </c>
      <c r="E1" s="6" t="s">
        <v>0</v>
      </c>
      <c r="H1" s="6" t="s">
        <v>20</v>
      </c>
      <c r="K1" s="219" t="s">
        <v>246</v>
      </c>
      <c r="P1" s="6" t="s">
        <v>253</v>
      </c>
    </row>
    <row r="2" spans="1:28" ht="15" customHeight="1" x14ac:dyDescent="0.25">
      <c r="A2" s="31" t="s">
        <v>85</v>
      </c>
      <c r="B2" s="78"/>
      <c r="C2" s="133"/>
      <c r="D2" s="132"/>
      <c r="E2" s="5" t="s">
        <v>228</v>
      </c>
      <c r="F2" s="185"/>
      <c r="G2" s="89"/>
      <c r="H2" s="39" t="s">
        <v>85</v>
      </c>
      <c r="J2" s="39"/>
      <c r="K2" s="62" t="s">
        <v>85</v>
      </c>
      <c r="P2" s="43" t="s">
        <v>85</v>
      </c>
      <c r="R2" s="43"/>
    </row>
    <row r="3" spans="1:28" ht="15" customHeight="1" x14ac:dyDescent="0.25">
      <c r="B3" s="131" t="s">
        <v>76</v>
      </c>
      <c r="C3" s="131" t="s">
        <v>55</v>
      </c>
      <c r="D3" s="132"/>
      <c r="E3" s="133" t="s">
        <v>71</v>
      </c>
      <c r="F3" s="192">
        <v>-1.3947000000000001</v>
      </c>
      <c r="G3" s="89"/>
      <c r="H3" s="11"/>
      <c r="I3" s="9" t="s">
        <v>76</v>
      </c>
      <c r="J3" s="131" t="s">
        <v>55</v>
      </c>
      <c r="L3" s="133" t="s">
        <v>73</v>
      </c>
      <c r="M3" s="133" t="s">
        <v>87</v>
      </c>
      <c r="N3" s="133" t="s">
        <v>55</v>
      </c>
      <c r="P3" s="1"/>
      <c r="Q3" s="454" t="s">
        <v>209</v>
      </c>
      <c r="R3" s="454"/>
      <c r="S3" s="454"/>
      <c r="T3" s="454" t="s">
        <v>210</v>
      </c>
      <c r="U3" s="454"/>
      <c r="V3" s="454"/>
      <c r="W3" s="454" t="s">
        <v>211</v>
      </c>
      <c r="X3" s="454"/>
      <c r="Y3" s="454"/>
      <c r="Z3" s="454" t="s">
        <v>212</v>
      </c>
      <c r="AA3" s="454"/>
      <c r="AB3" s="454"/>
    </row>
    <row r="4" spans="1:28" x14ac:dyDescent="0.25">
      <c r="A4" s="78" t="s">
        <v>71</v>
      </c>
      <c r="B4" s="196">
        <v>-5.8333000000000003E-2</v>
      </c>
      <c r="C4" s="192">
        <v>-1.0699999999999999E-2</v>
      </c>
      <c r="D4" s="187"/>
      <c r="E4" s="133" t="s">
        <v>72</v>
      </c>
      <c r="F4" s="193">
        <v>2.3868</v>
      </c>
      <c r="G4" s="89"/>
      <c r="H4" s="9" t="s">
        <v>71</v>
      </c>
      <c r="I4" s="185">
        <f>1.6*10^-3</f>
        <v>1.6000000000000001E-3</v>
      </c>
      <c r="J4" s="200">
        <v>1.2999999999999999E-3</v>
      </c>
      <c r="K4" s="127" t="s">
        <v>71</v>
      </c>
      <c r="L4" s="190">
        <v>-4.2900000000000001E-2</v>
      </c>
      <c r="M4" s="212">
        <v>-6.6667000000000004E-2</v>
      </c>
      <c r="N4" s="213">
        <v>-0.15</v>
      </c>
      <c r="P4" s="71"/>
      <c r="Q4" s="133" t="s">
        <v>73</v>
      </c>
      <c r="R4" s="133" t="s">
        <v>87</v>
      </c>
      <c r="S4" s="133" t="s">
        <v>55</v>
      </c>
      <c r="T4" s="133" t="s">
        <v>73</v>
      </c>
      <c r="U4" s="133" t="s">
        <v>87</v>
      </c>
      <c r="V4" s="133" t="s">
        <v>55</v>
      </c>
      <c r="W4" s="160" t="s">
        <v>73</v>
      </c>
      <c r="X4" s="160" t="s">
        <v>87</v>
      </c>
      <c r="Y4" s="160" t="s">
        <v>55</v>
      </c>
      <c r="Z4" s="160" t="s">
        <v>73</v>
      </c>
      <c r="AA4" s="160" t="s">
        <v>87</v>
      </c>
      <c r="AB4" s="160" t="s">
        <v>55</v>
      </c>
    </row>
    <row r="5" spans="1:28" x14ac:dyDescent="0.25">
      <c r="A5" s="80" t="s">
        <v>72</v>
      </c>
      <c r="B5" s="197">
        <v>4.6666999999999996</v>
      </c>
      <c r="C5" s="198">
        <v>1.4286000000000001</v>
      </c>
      <c r="E5" s="35" t="s">
        <v>263</v>
      </c>
      <c r="F5" s="87"/>
      <c r="G5" s="90"/>
      <c r="H5" s="9" t="s">
        <v>72</v>
      </c>
      <c r="I5" s="190">
        <v>0</v>
      </c>
      <c r="J5" s="201">
        <v>0.1391</v>
      </c>
      <c r="K5" s="127" t="s">
        <v>72</v>
      </c>
      <c r="L5" s="190">
        <v>1.0713999999999999</v>
      </c>
      <c r="M5" s="212">
        <v>1.5</v>
      </c>
      <c r="N5" s="213">
        <v>2.5</v>
      </c>
      <c r="P5" s="79" t="s">
        <v>71</v>
      </c>
      <c r="Q5" s="222">
        <v>2.7779999999999999E-2</v>
      </c>
      <c r="R5" s="223">
        <v>3.703704E-2</v>
      </c>
      <c r="S5" s="223">
        <v>1.7440000000000001E-2</v>
      </c>
      <c r="T5" s="47">
        <f xml:space="preserve"> 0.02380952</f>
        <v>2.3809520000000001E-2</v>
      </c>
      <c r="U5" s="47">
        <v>3.1746031700000003E-2</v>
      </c>
      <c r="V5" s="47">
        <v>1.8292682899999999E-2</v>
      </c>
      <c r="W5" s="47">
        <v>2.1430000000000001E-2</v>
      </c>
      <c r="X5" s="47">
        <v>2.9409999999999999E-2</v>
      </c>
      <c r="Y5" s="47">
        <v>2.6315789499999999E-2</v>
      </c>
      <c r="Z5" s="47">
        <v>2.419E-2</v>
      </c>
      <c r="AA5" s="47">
        <v>3.2259999999999997E-2</v>
      </c>
      <c r="AB5" s="47">
        <v>3.9469999999999998E-2</v>
      </c>
    </row>
    <row r="6" spans="1:28" x14ac:dyDescent="0.25">
      <c r="A6" s="6"/>
      <c r="B6" s="4"/>
      <c r="C6" s="4"/>
      <c r="D6" s="61"/>
      <c r="E6" s="30" t="s">
        <v>85</v>
      </c>
      <c r="F6" s="31"/>
      <c r="G6" s="91"/>
      <c r="H6" s="6" t="s">
        <v>98</v>
      </c>
      <c r="K6" s="219" t="s">
        <v>245</v>
      </c>
      <c r="P6" s="71" t="s">
        <v>72</v>
      </c>
      <c r="Q6" s="222">
        <v>-1.06111</v>
      </c>
      <c r="R6" s="47">
        <v>-1.5148148100000001</v>
      </c>
      <c r="S6" s="223">
        <v>-0.34301999999999999</v>
      </c>
      <c r="T6" s="47">
        <v>-0.96190476000000003</v>
      </c>
      <c r="U6" s="47">
        <v>-1.3825396825</v>
      </c>
      <c r="V6" s="47">
        <v>-0.5</v>
      </c>
      <c r="W6" s="47">
        <v>-0.79286000000000001</v>
      </c>
      <c r="X6" s="47">
        <v>-1.2</v>
      </c>
      <c r="Y6" s="47">
        <v>-1</v>
      </c>
      <c r="Z6" s="47">
        <v>-0.47419</v>
      </c>
      <c r="AA6" s="47">
        <v>-0.73226000000000002</v>
      </c>
      <c r="AB6" s="47">
        <v>-1.05263</v>
      </c>
    </row>
    <row r="7" spans="1:28" x14ac:dyDescent="0.25">
      <c r="A7" s="6" t="s">
        <v>164</v>
      </c>
      <c r="F7" s="133" t="s">
        <v>55</v>
      </c>
      <c r="G7" s="132" t="s">
        <v>77</v>
      </c>
      <c r="H7" s="39" t="s">
        <v>85</v>
      </c>
      <c r="J7" s="13"/>
      <c r="K7" s="62" t="s">
        <v>85</v>
      </c>
      <c r="O7" s="64"/>
      <c r="P7" s="6" t="s">
        <v>254</v>
      </c>
      <c r="Q7" s="4"/>
      <c r="R7" s="4"/>
      <c r="S7" s="7"/>
    </row>
    <row r="8" spans="1:28" x14ac:dyDescent="0.25">
      <c r="A8" s="5" t="s">
        <v>228</v>
      </c>
      <c r="E8" s="3" t="s">
        <v>71</v>
      </c>
      <c r="F8" s="194">
        <v>0.1154</v>
      </c>
      <c r="G8" s="195">
        <v>1</v>
      </c>
      <c r="H8" s="11"/>
      <c r="I8" s="9" t="s">
        <v>76</v>
      </c>
      <c r="J8" s="131" t="s">
        <v>55</v>
      </c>
      <c r="L8" s="131" t="s">
        <v>197</v>
      </c>
      <c r="M8" s="131" t="s">
        <v>247</v>
      </c>
      <c r="N8" s="131">
        <v>7</v>
      </c>
      <c r="O8" s="64"/>
      <c r="P8" s="185" t="s">
        <v>124</v>
      </c>
      <c r="R8" s="31"/>
    </row>
    <row r="9" spans="1:28" x14ac:dyDescent="0.25">
      <c r="B9" s="133" t="s">
        <v>73</v>
      </c>
      <c r="C9" s="133" t="s">
        <v>87</v>
      </c>
      <c r="D9" s="132" t="s">
        <v>55</v>
      </c>
      <c r="E9" s="3" t="s">
        <v>72</v>
      </c>
      <c r="F9" s="194">
        <v>0.42309999999999998</v>
      </c>
      <c r="G9" s="195">
        <v>-1.7</v>
      </c>
      <c r="H9" s="9" t="s">
        <v>71</v>
      </c>
      <c r="I9" s="191">
        <v>5.3800000000000001E-2</v>
      </c>
      <c r="J9" s="202">
        <v>0.02</v>
      </c>
      <c r="K9" s="127" t="s">
        <v>71</v>
      </c>
      <c r="L9" s="208">
        <v>0.28570000000000001</v>
      </c>
      <c r="M9" s="190">
        <v>0.4</v>
      </c>
      <c r="N9" s="190">
        <v>2</v>
      </c>
      <c r="Q9" s="455" t="s">
        <v>213</v>
      </c>
      <c r="R9" s="455"/>
      <c r="S9" s="455"/>
      <c r="T9" s="455" t="s">
        <v>214</v>
      </c>
      <c r="U9" s="455"/>
      <c r="V9" s="455"/>
      <c r="W9" s="454" t="s">
        <v>215</v>
      </c>
      <c r="X9" s="454"/>
      <c r="Y9" s="454"/>
    </row>
    <row r="10" spans="1:28" x14ac:dyDescent="0.25">
      <c r="A10" s="133" t="s">
        <v>71</v>
      </c>
      <c r="B10" s="198">
        <v>-0.42857099999999998</v>
      </c>
      <c r="C10" s="198">
        <v>-2</v>
      </c>
      <c r="D10" s="188">
        <v>-10</v>
      </c>
      <c r="E10" s="35" t="s">
        <v>262</v>
      </c>
      <c r="F10" s="31"/>
      <c r="G10" s="91"/>
      <c r="H10" s="9" t="s">
        <v>72</v>
      </c>
      <c r="I10" s="191">
        <v>0</v>
      </c>
      <c r="J10" s="202">
        <v>0.44</v>
      </c>
      <c r="K10" s="127" t="s">
        <v>72</v>
      </c>
      <c r="L10" s="190">
        <v>-1.5</v>
      </c>
      <c r="M10" s="190">
        <v>-1.5</v>
      </c>
      <c r="N10" s="190">
        <v>-1.5</v>
      </c>
      <c r="O10" s="61"/>
      <c r="P10" s="71"/>
      <c r="Q10" s="232" t="s">
        <v>73</v>
      </c>
      <c r="R10" s="232" t="s">
        <v>87</v>
      </c>
      <c r="S10" s="232" t="s">
        <v>55</v>
      </c>
      <c r="T10" s="232" t="s">
        <v>73</v>
      </c>
      <c r="U10" s="232" t="s">
        <v>87</v>
      </c>
      <c r="V10" s="232" t="s">
        <v>55</v>
      </c>
      <c r="W10" s="133" t="s">
        <v>73</v>
      </c>
      <c r="X10" s="133" t="s">
        <v>87</v>
      </c>
      <c r="Y10" s="133" t="s">
        <v>55</v>
      </c>
    </row>
    <row r="11" spans="1:28" x14ac:dyDescent="0.25">
      <c r="A11" s="133" t="s">
        <v>72</v>
      </c>
      <c r="B11" s="198">
        <v>0.40714299999999998</v>
      </c>
      <c r="C11" s="198">
        <v>0.8</v>
      </c>
      <c r="D11" s="187">
        <v>1.2</v>
      </c>
      <c r="E11" s="87" t="s">
        <v>85</v>
      </c>
      <c r="F11" s="87"/>
      <c r="G11" s="91"/>
      <c r="H11" s="6" t="s">
        <v>57</v>
      </c>
      <c r="K11" s="127"/>
      <c r="L11" s="4"/>
      <c r="M11" s="4"/>
      <c r="P11" s="204" t="s">
        <v>71</v>
      </c>
      <c r="Q11" s="233">
        <v>2.308E-2</v>
      </c>
      <c r="R11" s="233">
        <v>3.175E-2</v>
      </c>
      <c r="S11" s="234">
        <v>2.4199999999999999E-2</v>
      </c>
      <c r="T11" s="233">
        <v>2.206E-2</v>
      </c>
      <c r="U11" s="233">
        <v>2.9409999999999999E-2</v>
      </c>
      <c r="V11" s="234">
        <v>3.5709999999999999E-2</v>
      </c>
      <c r="W11" s="47">
        <v>2.1739999999999999E-2</v>
      </c>
      <c r="X11" s="47">
        <v>2.8989999999999998E-2</v>
      </c>
      <c r="Y11" s="47">
        <v>1.9740000000000001E-2</v>
      </c>
    </row>
    <row r="12" spans="1:28" x14ac:dyDescent="0.25">
      <c r="E12" s="4"/>
      <c r="F12" s="80" t="s">
        <v>76</v>
      </c>
      <c r="G12" s="203" t="s">
        <v>55</v>
      </c>
      <c r="H12" s="5" t="s">
        <v>230</v>
      </c>
      <c r="K12" s="219" t="s">
        <v>248</v>
      </c>
      <c r="P12" s="204" t="s">
        <v>72</v>
      </c>
      <c r="Q12" s="233">
        <v>-0.55384999999999995</v>
      </c>
      <c r="R12" s="233">
        <v>-0.87460000000000004</v>
      </c>
      <c r="S12" s="234">
        <v>-0.5</v>
      </c>
      <c r="T12" s="233">
        <v>-0.64853000000000005</v>
      </c>
      <c r="U12" s="233">
        <v>-0.96470999999999996</v>
      </c>
      <c r="V12" s="234">
        <v>-1.3214300000000001</v>
      </c>
      <c r="W12" s="47">
        <v>-0.63478000000000001</v>
      </c>
      <c r="X12" s="47">
        <v>-0.94638</v>
      </c>
      <c r="Y12" s="47">
        <v>-0.42104999999999998</v>
      </c>
    </row>
    <row r="13" spans="1:28" x14ac:dyDescent="0.25">
      <c r="A13" s="6" t="s">
        <v>229</v>
      </c>
      <c r="E13" s="3" t="s">
        <v>71</v>
      </c>
      <c r="F13" s="194">
        <v>2</v>
      </c>
      <c r="G13" s="195">
        <v>0.375</v>
      </c>
      <c r="H13" s="34" t="s">
        <v>71</v>
      </c>
      <c r="I13" s="133" t="s">
        <v>231</v>
      </c>
      <c r="J13" s="214" t="s">
        <v>55</v>
      </c>
      <c r="K13" s="62" t="s">
        <v>85</v>
      </c>
      <c r="L13" s="11"/>
      <c r="M13" s="1"/>
      <c r="N13" s="11"/>
      <c r="O13" s="75"/>
      <c r="P13" s="6" t="s">
        <v>255</v>
      </c>
    </row>
    <row r="14" spans="1:28" x14ac:dyDescent="0.25">
      <c r="A14" s="5" t="s">
        <v>228</v>
      </c>
      <c r="B14" s="186"/>
      <c r="E14" s="3" t="s">
        <v>72</v>
      </c>
      <c r="F14" s="194">
        <v>-2.1</v>
      </c>
      <c r="G14" s="195">
        <v>0.17499999999999999</v>
      </c>
      <c r="H14" s="79" t="s">
        <v>71</v>
      </c>
      <c r="I14" s="185">
        <v>-1.0800000000000001E-2</v>
      </c>
      <c r="J14" s="215">
        <v>-0.06</v>
      </c>
      <c r="K14" s="58"/>
      <c r="L14" s="33" t="s">
        <v>249</v>
      </c>
      <c r="M14" s="33" t="s">
        <v>250</v>
      </c>
      <c r="N14" s="33" t="s">
        <v>251</v>
      </c>
      <c r="O14" s="63" t="s">
        <v>252</v>
      </c>
      <c r="P14" s="185" t="s">
        <v>124</v>
      </c>
      <c r="R14" s="4"/>
    </row>
    <row r="15" spans="1:28" x14ac:dyDescent="0.25">
      <c r="A15" s="133" t="s">
        <v>71</v>
      </c>
      <c r="B15" s="199">
        <v>-0.31</v>
      </c>
      <c r="C15" s="31"/>
      <c r="H15" s="79" t="s">
        <v>72</v>
      </c>
      <c r="I15" s="185">
        <v>0.80769999999999997</v>
      </c>
      <c r="J15" s="201">
        <v>1.3</v>
      </c>
      <c r="K15" s="127" t="s">
        <v>71</v>
      </c>
      <c r="L15" s="190">
        <v>-0.2</v>
      </c>
      <c r="M15" s="190">
        <v>-0.13332311999999999</v>
      </c>
      <c r="N15" s="190">
        <v>-6.6666669999999997E-2</v>
      </c>
      <c r="O15" s="221">
        <v>-3.0769109999999999E-2</v>
      </c>
      <c r="Q15" s="454" t="s">
        <v>216</v>
      </c>
      <c r="R15" s="454"/>
      <c r="S15" s="454"/>
      <c r="T15" s="454" t="s">
        <v>256</v>
      </c>
      <c r="U15" s="454"/>
      <c r="V15" s="454"/>
    </row>
    <row r="16" spans="1:28" x14ac:dyDescent="0.25">
      <c r="A16" s="133" t="s">
        <v>72</v>
      </c>
      <c r="B16" s="197">
        <v>1</v>
      </c>
      <c r="C16" s="31"/>
      <c r="H16" s="6" t="s">
        <v>125</v>
      </c>
      <c r="I16" s="4"/>
      <c r="J16" s="8"/>
      <c r="K16" s="127" t="s">
        <v>72</v>
      </c>
      <c r="L16" s="213">
        <v>2.5</v>
      </c>
      <c r="M16" s="190">
        <v>2.5031798300000001</v>
      </c>
      <c r="N16" s="216">
        <v>2.5</v>
      </c>
      <c r="O16" s="188">
        <v>2.4992226099999999</v>
      </c>
      <c r="P16" s="9"/>
      <c r="Q16" s="133" t="s">
        <v>73</v>
      </c>
      <c r="R16" s="133" t="s">
        <v>87</v>
      </c>
      <c r="S16" s="133" t="s">
        <v>55</v>
      </c>
      <c r="T16" s="133" t="s">
        <v>73</v>
      </c>
      <c r="U16" s="133" t="s">
        <v>87</v>
      </c>
      <c r="V16" s="133" t="s">
        <v>55</v>
      </c>
    </row>
    <row r="17" spans="8:28" x14ac:dyDescent="0.25">
      <c r="H17" s="43" t="s">
        <v>124</v>
      </c>
      <c r="I17" s="4"/>
      <c r="J17" s="8"/>
      <c r="K17" s="127"/>
      <c r="L17" s="1"/>
      <c r="M17" s="1"/>
      <c r="N17" s="11"/>
      <c r="O17" s="61"/>
      <c r="P17" s="204" t="s">
        <v>71</v>
      </c>
      <c r="Q17" s="224">
        <v>2.7779999999999999E-2</v>
      </c>
      <c r="R17" s="224">
        <v>3.7039999999999997E-2</v>
      </c>
      <c r="S17" s="224">
        <v>1.485E-2</v>
      </c>
      <c r="T17" s="224">
        <v>2.206E-2</v>
      </c>
      <c r="U17" s="224">
        <v>2.9409999999999999E-2</v>
      </c>
      <c r="V17" s="5">
        <v>2.0830000000000001E-2</v>
      </c>
    </row>
    <row r="18" spans="8:28" x14ac:dyDescent="0.25">
      <c r="H18" s="36" t="s">
        <v>71</v>
      </c>
      <c r="I18" s="205">
        <v>-0.02</v>
      </c>
      <c r="J18" s="8"/>
      <c r="K18" s="219"/>
      <c r="L18" s="11"/>
      <c r="M18" s="11"/>
      <c r="N18" s="11"/>
      <c r="P18" s="204" t="s">
        <v>72</v>
      </c>
      <c r="Q18" s="224">
        <v>-0.56111</v>
      </c>
      <c r="R18" s="224">
        <v>-0.84814999999999996</v>
      </c>
      <c r="S18" s="224">
        <v>7.9210000000000003E-2</v>
      </c>
      <c r="T18" s="224">
        <v>-0.60441</v>
      </c>
      <c r="U18" s="224">
        <v>-0.90588000000000002</v>
      </c>
      <c r="V18" s="224">
        <v>-0.4375</v>
      </c>
    </row>
    <row r="19" spans="8:28" x14ac:dyDescent="0.25">
      <c r="H19" s="36" t="s">
        <v>72</v>
      </c>
      <c r="I19" s="4">
        <v>1</v>
      </c>
      <c r="J19" s="8"/>
      <c r="K19" s="220"/>
      <c r="L19" s="11"/>
      <c r="M19" s="1"/>
      <c r="N19" s="39"/>
      <c r="O19" s="75"/>
      <c r="P19" s="6" t="s">
        <v>257</v>
      </c>
    </row>
    <row r="20" spans="8:28" x14ac:dyDescent="0.25">
      <c r="H20" s="6" t="s">
        <v>80</v>
      </c>
      <c r="K20" s="58"/>
      <c r="L20" s="33"/>
      <c r="M20" s="1"/>
      <c r="N20" s="33"/>
      <c r="O20" s="61"/>
      <c r="P20" s="185" t="s">
        <v>124</v>
      </c>
    </row>
    <row r="21" spans="8:28" x14ac:dyDescent="0.25">
      <c r="H21" s="43" t="s">
        <v>124</v>
      </c>
      <c r="K21" s="127"/>
      <c r="L21" s="11"/>
      <c r="M21" s="1"/>
      <c r="N21" s="11"/>
      <c r="O21" s="61"/>
      <c r="P21" s="9"/>
      <c r="Q21" s="451" t="s">
        <v>219</v>
      </c>
      <c r="R21" s="451"/>
      <c r="S21" s="451"/>
      <c r="T21" s="451" t="s">
        <v>220</v>
      </c>
      <c r="U21" s="451"/>
      <c r="V21" s="451"/>
      <c r="W21" s="451" t="s">
        <v>221</v>
      </c>
      <c r="X21" s="451"/>
      <c r="Y21" s="451"/>
      <c r="Z21" s="452" t="s">
        <v>212</v>
      </c>
      <c r="AA21" s="452"/>
      <c r="AB21" s="453"/>
    </row>
    <row r="22" spans="8:28" x14ac:dyDescent="0.25">
      <c r="H22" s="36" t="s">
        <v>71</v>
      </c>
      <c r="I22" s="206">
        <v>7.25</v>
      </c>
      <c r="K22" s="127"/>
      <c r="L22" s="1"/>
      <c r="M22" s="1"/>
      <c r="N22" s="1"/>
      <c r="O22" s="64"/>
      <c r="P22" s="9"/>
      <c r="Q22" s="80" t="s">
        <v>73</v>
      </c>
      <c r="R22" s="80" t="s">
        <v>87</v>
      </c>
      <c r="S22" s="80" t="s">
        <v>55</v>
      </c>
      <c r="T22" s="80" t="s">
        <v>73</v>
      </c>
      <c r="U22" s="80" t="s">
        <v>87</v>
      </c>
      <c r="V22" s="80" t="s">
        <v>55</v>
      </c>
      <c r="W22" s="80" t="s">
        <v>73</v>
      </c>
      <c r="X22" s="80" t="s">
        <v>87</v>
      </c>
      <c r="Y22" s="80" t="s">
        <v>55</v>
      </c>
      <c r="Z22" s="80" t="s">
        <v>73</v>
      </c>
      <c r="AA22" s="80" t="s">
        <v>87</v>
      </c>
      <c r="AB22" s="203" t="s">
        <v>55</v>
      </c>
    </row>
    <row r="23" spans="8:28" x14ac:dyDescent="0.25">
      <c r="H23" s="36" t="s">
        <v>72</v>
      </c>
      <c r="I23" s="185">
        <v>-7.2999999999999995E-2</v>
      </c>
      <c r="K23" s="127"/>
      <c r="L23" s="1"/>
      <c r="M23" s="1"/>
      <c r="N23" s="1"/>
      <c r="O23" s="61"/>
      <c r="P23" s="204" t="s">
        <v>71</v>
      </c>
      <c r="Q23" s="239">
        <v>3.3329999999999999E-2</v>
      </c>
      <c r="R23" s="240">
        <v>4.444E-2</v>
      </c>
      <c r="S23" s="240">
        <v>1.5789999999999998E-2</v>
      </c>
      <c r="T23" s="240">
        <v>2.5000000000000001E-2</v>
      </c>
      <c r="U23" s="240">
        <v>4.444E-2</v>
      </c>
      <c r="V23" s="240">
        <v>0.06</v>
      </c>
      <c r="W23" s="239">
        <v>1.5789999999999998E-2</v>
      </c>
      <c r="X23" s="240">
        <v>2.5000000000000001E-2</v>
      </c>
      <c r="Y23" s="240">
        <v>0.03</v>
      </c>
      <c r="Z23" s="240">
        <v>0.03</v>
      </c>
      <c r="AA23" s="240">
        <v>0.04</v>
      </c>
      <c r="AB23" s="241">
        <v>0.02</v>
      </c>
    </row>
    <row r="24" spans="8:28" x14ac:dyDescent="0.25">
      <c r="H24" s="6" t="s">
        <v>232</v>
      </c>
      <c r="K24" s="219"/>
      <c r="L24" s="11"/>
      <c r="M24" s="11"/>
      <c r="N24" s="11"/>
      <c r="P24" s="204" t="s">
        <v>72</v>
      </c>
      <c r="Q24" s="240">
        <v>-0.96667000000000003</v>
      </c>
      <c r="R24" s="240">
        <v>-1.3888990000000001</v>
      </c>
      <c r="S24" s="240">
        <v>-4.2110000000000002E-2</v>
      </c>
      <c r="T24" s="240">
        <v>-0.875</v>
      </c>
      <c r="U24" s="240">
        <v>-1.7888900000000001</v>
      </c>
      <c r="V24" s="240">
        <v>-2.66</v>
      </c>
      <c r="W24" s="240">
        <v>-0.36315999999999998</v>
      </c>
      <c r="X24" s="240">
        <v>-0.75</v>
      </c>
      <c r="Y24" s="240">
        <v>-1.04</v>
      </c>
      <c r="Z24" s="240">
        <v>-0.75</v>
      </c>
      <c r="AA24" s="240">
        <v>-1.1000000000000001</v>
      </c>
      <c r="AB24" s="241">
        <v>-0.2</v>
      </c>
    </row>
    <row r="25" spans="8:28" x14ac:dyDescent="0.25">
      <c r="H25" s="31" t="s">
        <v>86</v>
      </c>
      <c r="J25" s="66"/>
      <c r="K25" s="220"/>
      <c r="L25" s="11"/>
      <c r="M25" s="1"/>
      <c r="N25" s="39"/>
      <c r="O25" s="75"/>
      <c r="P25" s="6" t="s">
        <v>258</v>
      </c>
    </row>
    <row r="26" spans="8:28" x14ac:dyDescent="0.25">
      <c r="H26" s="80" t="s">
        <v>71</v>
      </c>
      <c r="I26" s="198">
        <v>-6.6699999999999995E-2</v>
      </c>
      <c r="J26" s="131"/>
      <c r="K26" s="58"/>
      <c r="L26" s="33"/>
      <c r="M26" s="33"/>
      <c r="N26" s="33"/>
      <c r="O26" s="63"/>
      <c r="P26" s="185" t="s">
        <v>124</v>
      </c>
    </row>
    <row r="27" spans="8:28" x14ac:dyDescent="0.25">
      <c r="H27" s="80" t="s">
        <v>72</v>
      </c>
      <c r="I27" s="207">
        <v>0.3</v>
      </c>
      <c r="J27" s="1"/>
      <c r="K27" s="127"/>
      <c r="L27" s="11"/>
      <c r="M27" s="1"/>
      <c r="N27" s="11"/>
      <c r="O27" s="61"/>
      <c r="P27" s="131"/>
      <c r="Q27" s="451" t="s">
        <v>222</v>
      </c>
      <c r="R27" s="451"/>
      <c r="S27" s="451"/>
      <c r="T27" s="451" t="s">
        <v>223</v>
      </c>
      <c r="U27" s="451"/>
      <c r="V27" s="451"/>
      <c r="W27" s="451" t="s">
        <v>224</v>
      </c>
      <c r="X27" s="451"/>
      <c r="Y27" s="451"/>
      <c r="Z27" s="452" t="s">
        <v>215</v>
      </c>
      <c r="AA27" s="452"/>
      <c r="AB27" s="453"/>
    </row>
    <row r="28" spans="8:28" x14ac:dyDescent="0.25">
      <c r="H28" s="80" t="s">
        <v>74</v>
      </c>
      <c r="I28" s="198">
        <v>0.86670000000000003</v>
      </c>
      <c r="J28" s="1"/>
      <c r="K28" s="127"/>
      <c r="L28" s="1"/>
      <c r="M28" s="1"/>
      <c r="N28" s="1"/>
      <c r="O28" s="64"/>
      <c r="P28" s="131"/>
      <c r="Q28" s="80" t="s">
        <v>73</v>
      </c>
      <c r="R28" s="80" t="s">
        <v>87</v>
      </c>
      <c r="S28" s="80" t="s">
        <v>55</v>
      </c>
      <c r="T28" s="80" t="s">
        <v>73</v>
      </c>
      <c r="U28" s="80" t="s">
        <v>87</v>
      </c>
      <c r="V28" s="80" t="s">
        <v>55</v>
      </c>
      <c r="W28" s="80" t="s">
        <v>73</v>
      </c>
      <c r="X28" s="80" t="s">
        <v>87</v>
      </c>
      <c r="Y28" s="80" t="s">
        <v>55</v>
      </c>
      <c r="Z28" s="80" t="s">
        <v>73</v>
      </c>
      <c r="AA28" s="80" t="s">
        <v>87</v>
      </c>
      <c r="AB28" s="203" t="s">
        <v>55</v>
      </c>
    </row>
    <row r="29" spans="8:28" x14ac:dyDescent="0.25">
      <c r="H29" s="6" t="s">
        <v>233</v>
      </c>
      <c r="J29" s="8"/>
      <c r="K29" s="127"/>
      <c r="L29" s="1"/>
      <c r="M29" s="1"/>
      <c r="N29" s="1"/>
      <c r="O29" s="61"/>
      <c r="P29" s="204" t="s">
        <v>71</v>
      </c>
      <c r="Q29" s="239">
        <v>2.7300000000000001E-2</v>
      </c>
      <c r="R29" s="239">
        <v>3.6360000000000003E-2</v>
      </c>
      <c r="S29" s="239">
        <v>2.7300000000000001E-2</v>
      </c>
      <c r="T29" s="239">
        <v>0.02</v>
      </c>
      <c r="U29" s="239">
        <v>4.4400000000000002E-2</v>
      </c>
      <c r="V29" s="239">
        <v>4.2900000000000001E-2</v>
      </c>
      <c r="W29" s="239">
        <v>1.3639999999999999E-2</v>
      </c>
      <c r="X29" s="239">
        <v>5.7140000000000003E-2</v>
      </c>
      <c r="Y29" s="239">
        <v>2.5000000000000001E-2</v>
      </c>
      <c r="Z29" s="239">
        <v>2.308E-2</v>
      </c>
      <c r="AA29" s="239">
        <v>3.0769999999999999E-2</v>
      </c>
      <c r="AB29" s="242">
        <v>1.5789999999999998E-2</v>
      </c>
    </row>
    <row r="30" spans="8:28" x14ac:dyDescent="0.25">
      <c r="H30" s="31" t="s">
        <v>86</v>
      </c>
      <c r="J30" s="1"/>
      <c r="K30" s="219"/>
      <c r="L30" s="1"/>
      <c r="M30" s="1"/>
      <c r="N30" s="33"/>
      <c r="O30" s="61"/>
      <c r="P30" s="204" t="s">
        <v>72</v>
      </c>
      <c r="Q30" s="239">
        <v>-1.0364</v>
      </c>
      <c r="R30" s="239">
        <v>-1.4818199999999999</v>
      </c>
      <c r="S30" s="239">
        <v>-0.93640000000000001</v>
      </c>
      <c r="T30" s="239">
        <v>-0.7</v>
      </c>
      <c r="U30" s="239">
        <v>-1.9221999999999999</v>
      </c>
      <c r="V30" s="239">
        <v>-1.8286</v>
      </c>
      <c r="W30" s="239">
        <v>-0.45</v>
      </c>
      <c r="X30" s="239">
        <v>-2.8428599999999999</v>
      </c>
      <c r="Y30" s="239">
        <v>-0.85</v>
      </c>
      <c r="Z30" s="239">
        <v>-0.85385</v>
      </c>
      <c r="AA30" s="239">
        <v>-1.2384599999999999</v>
      </c>
      <c r="AB30" s="242">
        <v>-0.29474</v>
      </c>
    </row>
    <row r="31" spans="8:28" x14ac:dyDescent="0.25">
      <c r="H31" s="133" t="s">
        <v>71</v>
      </c>
      <c r="I31" s="198">
        <v>-1.67E-2</v>
      </c>
      <c r="J31" s="1"/>
      <c r="K31" s="220"/>
      <c r="L31" s="11"/>
      <c r="M31" s="1"/>
      <c r="N31" s="39"/>
      <c r="O31" s="75"/>
      <c r="P31" s="6" t="s">
        <v>259</v>
      </c>
    </row>
    <row r="32" spans="8:28" x14ac:dyDescent="0.25">
      <c r="H32" s="133" t="s">
        <v>72</v>
      </c>
      <c r="I32" s="198">
        <v>-0.1167</v>
      </c>
      <c r="J32" s="1"/>
      <c r="K32" s="58"/>
      <c r="L32" s="33"/>
      <c r="M32" s="33"/>
      <c r="N32" s="33"/>
      <c r="O32" s="63"/>
      <c r="P32" s="185" t="s">
        <v>124</v>
      </c>
      <c r="R32" s="4"/>
    </row>
    <row r="33" spans="8:20" x14ac:dyDescent="0.25">
      <c r="H33" s="133" t="s">
        <v>74</v>
      </c>
      <c r="I33" s="207">
        <v>2</v>
      </c>
      <c r="J33" s="1"/>
      <c r="K33" s="127"/>
      <c r="L33" s="11"/>
      <c r="M33" s="1"/>
      <c r="N33" s="1"/>
      <c r="P33" s="1"/>
      <c r="Q33" s="133" t="s">
        <v>73</v>
      </c>
      <c r="R33" s="133" t="s">
        <v>87</v>
      </c>
      <c r="S33" s="133" t="s">
        <v>55</v>
      </c>
      <c r="T33" s="33"/>
    </row>
    <row r="34" spans="8:20" x14ac:dyDescent="0.25">
      <c r="H34" s="6" t="s">
        <v>234</v>
      </c>
      <c r="I34" s="4"/>
      <c r="J34" s="8"/>
      <c r="K34" s="127"/>
      <c r="L34" s="1"/>
      <c r="M34" s="1"/>
      <c r="N34" s="32"/>
      <c r="O34" s="61"/>
      <c r="P34" s="204" t="s">
        <v>71</v>
      </c>
      <c r="Q34" s="5">
        <v>1.111E-2</v>
      </c>
      <c r="R34" s="222">
        <v>0.04</v>
      </c>
      <c r="S34" s="5">
        <v>1.6670000000000001E-2</v>
      </c>
    </row>
    <row r="35" spans="8:20" x14ac:dyDescent="0.25">
      <c r="H35" s="5" t="s">
        <v>228</v>
      </c>
      <c r="J35" s="1"/>
      <c r="K35" s="127"/>
      <c r="L35" s="1"/>
      <c r="M35" s="1"/>
      <c r="N35" s="1"/>
      <c r="O35" s="61"/>
      <c r="P35" s="204" t="s">
        <v>72</v>
      </c>
      <c r="Q35" s="5">
        <v>-0.16667000000000001</v>
      </c>
      <c r="R35" s="222">
        <v>-1.38</v>
      </c>
      <c r="S35" s="5">
        <v>-0.16667000000000001</v>
      </c>
      <c r="T35" s="56"/>
    </row>
    <row r="36" spans="8:20" x14ac:dyDescent="0.25">
      <c r="I36" s="204" t="s">
        <v>89</v>
      </c>
      <c r="J36" s="214" t="s">
        <v>235</v>
      </c>
      <c r="K36" s="219"/>
      <c r="L36" s="11"/>
      <c r="M36" s="11"/>
      <c r="N36" s="11"/>
      <c r="P36" s="71"/>
      <c r="Q36" s="4"/>
      <c r="R36" s="4"/>
    </row>
    <row r="37" spans="8:20" x14ac:dyDescent="0.25">
      <c r="H37" s="80" t="s">
        <v>71</v>
      </c>
      <c r="I37" s="208">
        <v>0.4</v>
      </c>
      <c r="J37" s="217">
        <v>-0.33329999999999999</v>
      </c>
      <c r="K37" s="220"/>
      <c r="L37" s="11"/>
      <c r="M37" s="1"/>
      <c r="N37" s="39"/>
      <c r="O37" s="75"/>
      <c r="P37" s="92"/>
    </row>
    <row r="38" spans="8:20" x14ac:dyDescent="0.25">
      <c r="H38" s="80" t="s">
        <v>72</v>
      </c>
      <c r="I38" s="208">
        <v>-0.4</v>
      </c>
      <c r="J38" s="217">
        <v>3</v>
      </c>
      <c r="K38" s="58"/>
      <c r="L38" s="33"/>
      <c r="M38" s="11"/>
      <c r="N38" s="1"/>
      <c r="O38" s="63"/>
      <c r="P38" s="31"/>
    </row>
    <row r="39" spans="8:20" x14ac:dyDescent="0.25">
      <c r="H39" s="6" t="s">
        <v>47</v>
      </c>
      <c r="I39" s="123"/>
      <c r="J39" s="124"/>
      <c r="K39" s="127"/>
      <c r="L39" s="11"/>
      <c r="M39" s="1"/>
      <c r="N39" s="11"/>
      <c r="O39" s="61"/>
      <c r="Q39" s="33"/>
      <c r="R39" s="33"/>
      <c r="S39" s="33"/>
      <c r="T39" s="33"/>
    </row>
    <row r="40" spans="8:20" x14ac:dyDescent="0.25">
      <c r="H40" s="31" t="s">
        <v>86</v>
      </c>
      <c r="I40" s="123"/>
      <c r="J40" s="124"/>
      <c r="K40" s="127"/>
      <c r="L40" s="11"/>
      <c r="M40" s="1"/>
      <c r="N40" s="1"/>
      <c r="O40" s="64"/>
      <c r="P40" s="71"/>
      <c r="Q40" s="4"/>
      <c r="R40" s="4"/>
    </row>
    <row r="41" spans="8:20" x14ac:dyDescent="0.25">
      <c r="H41" s="123"/>
      <c r="I41" s="133" t="s">
        <v>231</v>
      </c>
      <c r="J41" s="214" t="s">
        <v>55</v>
      </c>
      <c r="K41" s="127"/>
      <c r="L41" s="1"/>
      <c r="M41" s="1"/>
      <c r="N41" s="1"/>
      <c r="O41" s="61"/>
      <c r="P41" s="71"/>
      <c r="Q41" s="4"/>
      <c r="R41" s="4"/>
    </row>
    <row r="42" spans="8:20" x14ac:dyDescent="0.25">
      <c r="H42" s="125" t="s">
        <v>71</v>
      </c>
      <c r="I42" s="5">
        <v>5.5599999999999997E-2</v>
      </c>
      <c r="K42" s="219"/>
      <c r="L42" s="11"/>
      <c r="M42" s="11"/>
      <c r="N42" s="11"/>
      <c r="P42" s="71"/>
      <c r="Q42" s="57"/>
      <c r="R42" s="4"/>
    </row>
    <row r="43" spans="8:20" x14ac:dyDescent="0.25">
      <c r="H43" s="125" t="s">
        <v>72</v>
      </c>
      <c r="I43" s="5">
        <v>0.60560000000000003</v>
      </c>
      <c r="J43" s="217">
        <v>0.3</v>
      </c>
      <c r="K43" s="220"/>
      <c r="L43" s="11"/>
      <c r="M43" s="1"/>
      <c r="N43" s="39"/>
      <c r="O43" s="75"/>
    </row>
    <row r="44" spans="8:20" x14ac:dyDescent="0.25">
      <c r="H44" s="125" t="s">
        <v>74</v>
      </c>
      <c r="I44" s="5">
        <v>-0.73329999999999995</v>
      </c>
      <c r="J44" s="217">
        <v>0.1</v>
      </c>
      <c r="K44" s="58"/>
      <c r="L44" s="33"/>
      <c r="M44" s="33"/>
      <c r="N44" s="33"/>
      <c r="O44" s="63"/>
    </row>
    <row r="45" spans="8:20" x14ac:dyDescent="0.25">
      <c r="H45" s="6" t="s">
        <v>236</v>
      </c>
      <c r="I45" s="4"/>
      <c r="J45" s="1"/>
      <c r="K45" s="127"/>
      <c r="L45" s="11"/>
      <c r="M45" s="1"/>
      <c r="N45" s="11"/>
      <c r="O45" s="61"/>
    </row>
    <row r="46" spans="8:20" x14ac:dyDescent="0.25">
      <c r="H46" s="31" t="s">
        <v>85</v>
      </c>
      <c r="K46" s="127"/>
      <c r="L46" s="1"/>
      <c r="M46" s="1"/>
      <c r="N46" s="1"/>
      <c r="O46" s="64"/>
    </row>
    <row r="47" spans="8:20" x14ac:dyDescent="0.25">
      <c r="I47" s="204" t="s">
        <v>89</v>
      </c>
      <c r="J47" s="214" t="s">
        <v>235</v>
      </c>
      <c r="K47" s="127"/>
      <c r="L47" s="1"/>
      <c r="M47" s="1"/>
      <c r="N47" s="1"/>
      <c r="O47" s="61"/>
    </row>
    <row r="48" spans="8:20" x14ac:dyDescent="0.25">
      <c r="H48" s="80" t="s">
        <v>71</v>
      </c>
      <c r="I48" s="5">
        <v>3.3300000000000003E-2</v>
      </c>
      <c r="J48" s="11">
        <v>-3.3300000000000003E-2</v>
      </c>
      <c r="K48" s="219"/>
      <c r="L48" s="11"/>
      <c r="M48" s="11"/>
      <c r="N48" s="11"/>
    </row>
    <row r="49" spans="8:15" x14ac:dyDescent="0.25">
      <c r="H49" s="80" t="s">
        <v>72</v>
      </c>
      <c r="I49" s="5">
        <v>-0.66669999999999996</v>
      </c>
      <c r="J49" s="217">
        <v>3</v>
      </c>
      <c r="K49" s="220"/>
      <c r="L49" s="11"/>
      <c r="M49" s="1"/>
      <c r="N49" s="39"/>
      <c r="O49" s="75"/>
    </row>
    <row r="50" spans="8:15" x14ac:dyDescent="0.25">
      <c r="H50" s="6" t="s">
        <v>237</v>
      </c>
      <c r="I50" s="4"/>
      <c r="J50" s="1"/>
      <c r="K50" s="58"/>
      <c r="L50" s="33"/>
      <c r="M50" s="33"/>
      <c r="N50" s="33"/>
      <c r="O50" s="63"/>
    </row>
    <row r="51" spans="8:15" x14ac:dyDescent="0.25">
      <c r="H51" s="66" t="s">
        <v>85</v>
      </c>
      <c r="J51" s="1"/>
      <c r="K51" s="127"/>
      <c r="L51" s="11"/>
      <c r="M51" s="1"/>
      <c r="N51" s="11"/>
      <c r="O51" s="61"/>
    </row>
    <row r="52" spans="8:15" x14ac:dyDescent="0.25">
      <c r="H52" s="4"/>
      <c r="I52" s="4" t="s">
        <v>89</v>
      </c>
      <c r="J52" s="1" t="s">
        <v>90</v>
      </c>
      <c r="K52" s="127"/>
      <c r="L52" s="1"/>
      <c r="M52" s="1"/>
      <c r="N52" s="1"/>
      <c r="O52" s="64"/>
    </row>
    <row r="53" spans="8:15" x14ac:dyDescent="0.25">
      <c r="H53" s="80" t="s">
        <v>71</v>
      </c>
      <c r="I53" s="5">
        <v>0.04</v>
      </c>
      <c r="J53" s="11">
        <v>-0.05</v>
      </c>
      <c r="K53" s="127"/>
      <c r="L53" s="1"/>
      <c r="M53" s="1"/>
      <c r="N53" s="1"/>
      <c r="O53" s="61"/>
    </row>
    <row r="54" spans="8:15" x14ac:dyDescent="0.25">
      <c r="H54" s="80" t="s">
        <v>72</v>
      </c>
      <c r="I54" s="10">
        <v>-0.8</v>
      </c>
      <c r="J54" s="11">
        <v>4.25</v>
      </c>
      <c r="K54" s="58"/>
      <c r="L54" s="33"/>
      <c r="M54" s="1"/>
      <c r="N54" s="1"/>
      <c r="O54" s="61"/>
    </row>
    <row r="55" spans="8:15" x14ac:dyDescent="0.25">
      <c r="H55" s="6" t="s">
        <v>91</v>
      </c>
      <c r="K55" s="127"/>
      <c r="L55" s="1"/>
      <c r="M55" s="1"/>
      <c r="N55" s="1"/>
      <c r="O55" s="61"/>
    </row>
    <row r="56" spans="8:15" x14ac:dyDescent="0.25">
      <c r="H56" s="43" t="s">
        <v>97</v>
      </c>
      <c r="J56" s="32"/>
      <c r="K56" s="127"/>
      <c r="L56" s="1"/>
      <c r="M56" s="1"/>
      <c r="N56" s="1"/>
      <c r="O56" s="61"/>
    </row>
    <row r="57" spans="8:15" x14ac:dyDescent="0.25">
      <c r="H57" s="42" t="s">
        <v>71</v>
      </c>
      <c r="I57" s="190">
        <v>3.5417000000000001</v>
      </c>
      <c r="J57" s="1"/>
      <c r="K57" s="127"/>
      <c r="L57" s="1"/>
      <c r="M57" s="1"/>
      <c r="N57" s="1"/>
      <c r="O57" s="61"/>
    </row>
    <row r="58" spans="8:15" x14ac:dyDescent="0.25">
      <c r="H58" s="51" t="s">
        <v>72</v>
      </c>
      <c r="I58" s="190">
        <v>-13.75</v>
      </c>
      <c r="J58" s="1"/>
      <c r="K58" s="219"/>
      <c r="L58" s="11"/>
      <c r="M58" s="11"/>
      <c r="N58" s="11"/>
    </row>
    <row r="59" spans="8:15" x14ac:dyDescent="0.25">
      <c r="H59" s="51" t="s">
        <v>74</v>
      </c>
      <c r="I59" s="190">
        <v>15.808</v>
      </c>
      <c r="J59" s="1"/>
      <c r="K59" s="220"/>
      <c r="L59" s="11"/>
      <c r="M59" s="11"/>
      <c r="N59" s="11"/>
    </row>
    <row r="60" spans="8:15" x14ac:dyDescent="0.25">
      <c r="H60" s="42" t="s">
        <v>75</v>
      </c>
      <c r="I60" s="190">
        <v>-4.5999999999999996</v>
      </c>
      <c r="J60" s="8"/>
      <c r="K60" s="58"/>
      <c r="L60" s="13"/>
      <c r="M60" s="13"/>
      <c r="N60" s="13"/>
      <c r="O60" s="63"/>
    </row>
    <row r="61" spans="8:15" x14ac:dyDescent="0.25">
      <c r="H61" s="6" t="s">
        <v>238</v>
      </c>
      <c r="I61" s="185"/>
      <c r="K61" s="127"/>
      <c r="L61" s="1"/>
      <c r="M61" s="1"/>
      <c r="N61" s="11"/>
      <c r="O61" s="61"/>
    </row>
    <row r="62" spans="8:15" x14ac:dyDescent="0.25">
      <c r="H62" s="5" t="s">
        <v>230</v>
      </c>
      <c r="J62" s="32"/>
      <c r="K62" s="127"/>
      <c r="L62" s="1"/>
      <c r="M62" s="1"/>
      <c r="N62" s="11"/>
      <c r="O62" s="61"/>
    </row>
    <row r="63" spans="8:15" ht="30" x14ac:dyDescent="0.25">
      <c r="H63" s="37"/>
      <c r="I63" s="209" t="s">
        <v>94</v>
      </c>
      <c r="J63" s="218" t="s">
        <v>244</v>
      </c>
      <c r="K63" s="127"/>
      <c r="L63" s="1"/>
      <c r="M63" s="1"/>
      <c r="N63" s="11"/>
      <c r="O63" s="61"/>
    </row>
    <row r="64" spans="8:15" x14ac:dyDescent="0.25">
      <c r="H64" s="204" t="s">
        <v>71</v>
      </c>
      <c r="I64" s="185">
        <v>1.43E-2</v>
      </c>
      <c r="J64" s="215">
        <v>2.5000000000000001E-2</v>
      </c>
      <c r="K64" s="219"/>
      <c r="L64" s="1"/>
      <c r="M64" s="1"/>
      <c r="N64" s="33"/>
      <c r="O64" s="61"/>
    </row>
    <row r="65" spans="1:15" x14ac:dyDescent="0.25">
      <c r="H65" s="204" t="s">
        <v>72</v>
      </c>
      <c r="I65" s="185">
        <v>-0.42859999999999998</v>
      </c>
      <c r="J65" s="215">
        <v>-1.5</v>
      </c>
      <c r="K65" s="220"/>
      <c r="L65" s="11"/>
      <c r="M65" s="11"/>
      <c r="N65" s="11"/>
    </row>
    <row r="66" spans="1:15" x14ac:dyDescent="0.25">
      <c r="A66" s="1"/>
      <c r="B66" s="1"/>
      <c r="C66" s="1"/>
      <c r="D66" s="61"/>
      <c r="H66" s="6" t="s">
        <v>239</v>
      </c>
      <c r="J66" s="32"/>
      <c r="K66" s="58"/>
      <c r="L66" s="13"/>
      <c r="M66" s="13"/>
      <c r="N66" s="13"/>
      <c r="O66" s="76"/>
    </row>
    <row r="67" spans="1:15" ht="30" x14ac:dyDescent="0.25">
      <c r="A67" s="2"/>
      <c r="B67" s="73"/>
      <c r="C67" s="73"/>
      <c r="D67" s="86"/>
      <c r="H67" s="37"/>
      <c r="I67" s="210" t="s">
        <v>240</v>
      </c>
      <c r="J67" s="210" t="s">
        <v>241</v>
      </c>
      <c r="K67" s="127"/>
      <c r="L67" s="1"/>
      <c r="M67" s="1"/>
      <c r="N67" s="11"/>
      <c r="O67" s="61"/>
    </row>
    <row r="68" spans="1:15" x14ac:dyDescent="0.25">
      <c r="A68" s="2"/>
      <c r="B68" s="2"/>
      <c r="C68" s="2"/>
      <c r="D68" s="74"/>
      <c r="H68" s="5" t="s">
        <v>230</v>
      </c>
      <c r="I68" s="185"/>
      <c r="J68" s="5"/>
      <c r="K68" s="127"/>
      <c r="L68" s="32"/>
      <c r="M68" s="32"/>
      <c r="N68" s="11"/>
      <c r="O68" s="61"/>
    </row>
    <row r="69" spans="1:15" x14ac:dyDescent="0.25">
      <c r="A69" s="1"/>
      <c r="B69" s="1"/>
      <c r="C69" s="1"/>
      <c r="D69" s="61"/>
      <c r="H69" s="160" t="s">
        <v>71</v>
      </c>
      <c r="I69" s="185">
        <v>3.3300000000000003E-2</v>
      </c>
      <c r="J69" s="185">
        <v>-3.3300000000000003E-2</v>
      </c>
      <c r="K69" s="127"/>
      <c r="L69" s="1"/>
      <c r="M69" s="1"/>
      <c r="N69" s="11"/>
      <c r="O69" s="61"/>
    </row>
    <row r="70" spans="1:15" x14ac:dyDescent="0.25">
      <c r="A70" s="1"/>
      <c r="B70" s="32"/>
      <c r="C70" s="32"/>
      <c r="D70" s="64"/>
      <c r="H70" s="160" t="s">
        <v>72</v>
      </c>
      <c r="I70" s="185">
        <v>-1.6667000000000001</v>
      </c>
      <c r="J70" s="185">
        <v>2.6667000000000001</v>
      </c>
      <c r="K70" s="219"/>
      <c r="L70" s="11"/>
      <c r="M70" s="11"/>
      <c r="N70" s="11"/>
    </row>
    <row r="71" spans="1:15" x14ac:dyDescent="0.25">
      <c r="A71" s="1"/>
      <c r="B71" s="1"/>
      <c r="C71" s="1"/>
      <c r="D71" s="61"/>
      <c r="H71" s="6" t="s">
        <v>242</v>
      </c>
      <c r="I71" s="4"/>
      <c r="J71" s="1"/>
      <c r="K71" s="220"/>
      <c r="L71" s="11"/>
      <c r="M71" s="11"/>
      <c r="N71" s="11"/>
    </row>
    <row r="72" spans="1:15" x14ac:dyDescent="0.25">
      <c r="A72" s="1"/>
      <c r="B72" s="1"/>
      <c r="C72" s="1"/>
      <c r="D72" s="61"/>
      <c r="H72" s="5" t="s">
        <v>243</v>
      </c>
      <c r="I72" s="185"/>
      <c r="K72" s="58"/>
      <c r="L72" s="13"/>
      <c r="M72" s="13"/>
      <c r="N72" s="13"/>
      <c r="O72" s="63"/>
    </row>
    <row r="73" spans="1:15" x14ac:dyDescent="0.25">
      <c r="A73" s="1"/>
      <c r="B73" s="1"/>
      <c r="C73" s="1"/>
      <c r="D73" s="61"/>
      <c r="H73" s="133" t="s">
        <v>71</v>
      </c>
      <c r="I73" s="185">
        <v>3.3300000000000003E-2</v>
      </c>
      <c r="J73" s="32"/>
      <c r="K73" s="127"/>
      <c r="L73" s="1"/>
      <c r="M73" s="1"/>
      <c r="N73" s="11"/>
      <c r="O73" s="61"/>
    </row>
    <row r="74" spans="1:15" x14ac:dyDescent="0.25">
      <c r="A74" s="4"/>
      <c r="B74" s="4"/>
      <c r="C74" s="4"/>
      <c r="D74" s="61"/>
      <c r="H74" s="133" t="s">
        <v>72</v>
      </c>
      <c r="I74" s="185">
        <v>-1.6667000000000001</v>
      </c>
      <c r="J74" s="1"/>
      <c r="K74" s="127"/>
      <c r="L74" s="1"/>
      <c r="M74" s="1"/>
      <c r="N74" s="11"/>
      <c r="O74" s="61"/>
    </row>
    <row r="75" spans="1:15" x14ac:dyDescent="0.25">
      <c r="A75" s="1"/>
      <c r="H75" s="6" t="s">
        <v>278</v>
      </c>
      <c r="I75" s="4"/>
      <c r="J75" s="1"/>
      <c r="K75" s="127"/>
      <c r="L75" s="1"/>
      <c r="M75" s="1"/>
      <c r="N75" s="11"/>
    </row>
    <row r="76" spans="1:15" x14ac:dyDescent="0.25">
      <c r="A76" s="1"/>
      <c r="H76" s="5" t="s">
        <v>230</v>
      </c>
      <c r="K76" s="219"/>
      <c r="L76" s="11"/>
      <c r="M76" s="11"/>
      <c r="N76" s="11"/>
    </row>
    <row r="77" spans="1:15" x14ac:dyDescent="0.25">
      <c r="H77" s="133" t="s">
        <v>71</v>
      </c>
      <c r="I77" s="211">
        <v>0.2</v>
      </c>
      <c r="J77" s="32"/>
      <c r="K77" s="220"/>
      <c r="L77" s="11"/>
      <c r="M77" s="11"/>
      <c r="N77" s="11"/>
    </row>
    <row r="78" spans="1:15" x14ac:dyDescent="0.25">
      <c r="H78" s="133" t="s">
        <v>72</v>
      </c>
      <c r="I78" s="211">
        <v>-1.8</v>
      </c>
      <c r="J78" s="1"/>
      <c r="K78" s="58"/>
      <c r="L78" s="33"/>
      <c r="M78" s="33"/>
      <c r="N78" s="33"/>
      <c r="O78" s="63"/>
    </row>
    <row r="79" spans="1:15" x14ac:dyDescent="0.25">
      <c r="H79" s="65"/>
      <c r="I79" s="4"/>
      <c r="J79" s="1"/>
      <c r="K79" s="127"/>
      <c r="L79" s="1"/>
      <c r="M79" s="1"/>
      <c r="N79" s="11"/>
    </row>
    <row r="80" spans="1:15" x14ac:dyDescent="0.25">
      <c r="I80" s="1"/>
      <c r="J80" s="1"/>
      <c r="K80" s="127"/>
      <c r="L80" s="1"/>
      <c r="M80" s="1"/>
      <c r="N80" s="11"/>
    </row>
    <row r="81" spans="9:15" x14ac:dyDescent="0.25">
      <c r="I81" s="1"/>
      <c r="J81" s="1"/>
      <c r="K81" s="127"/>
      <c r="L81" s="1"/>
      <c r="M81" s="1"/>
      <c r="N81" s="11"/>
    </row>
    <row r="82" spans="9:15" x14ac:dyDescent="0.25">
      <c r="I82" s="1"/>
      <c r="J82" s="1"/>
      <c r="K82" s="219"/>
      <c r="L82" s="1"/>
      <c r="M82" s="1"/>
      <c r="N82" s="33"/>
      <c r="O82" s="61"/>
    </row>
    <row r="83" spans="9:15" x14ac:dyDescent="0.25">
      <c r="I83" s="1"/>
      <c r="J83" s="1"/>
      <c r="K83" s="220"/>
      <c r="L83" s="11"/>
      <c r="M83" s="456"/>
      <c r="N83" s="456"/>
      <c r="O83" s="132"/>
    </row>
    <row r="84" spans="9:15" x14ac:dyDescent="0.25">
      <c r="I84" s="1"/>
      <c r="J84" s="1"/>
      <c r="K84" s="58"/>
      <c r="L84" s="33"/>
      <c r="M84" s="33"/>
      <c r="N84" s="33"/>
      <c r="O84" s="63"/>
    </row>
    <row r="85" spans="9:15" x14ac:dyDescent="0.25">
      <c r="I85" s="1"/>
      <c r="J85" s="1"/>
      <c r="K85" s="127"/>
      <c r="L85" s="1"/>
      <c r="M85" s="1"/>
      <c r="N85" s="11"/>
    </row>
    <row r="86" spans="9:15" x14ac:dyDescent="0.25">
      <c r="I86" s="1"/>
      <c r="J86" s="1"/>
      <c r="K86" s="127"/>
      <c r="L86" s="1"/>
      <c r="M86" s="1"/>
      <c r="N86" s="11"/>
    </row>
    <row r="87" spans="9:15" x14ac:dyDescent="0.25">
      <c r="I87" s="1"/>
      <c r="J87" s="1"/>
      <c r="K87" s="219"/>
      <c r="L87" s="11"/>
      <c r="M87" s="11"/>
      <c r="N87" s="11"/>
    </row>
    <row r="88" spans="9:15" x14ac:dyDescent="0.25">
      <c r="I88" s="1"/>
      <c r="J88" s="1"/>
      <c r="K88" s="220"/>
      <c r="L88" s="11"/>
      <c r="M88" s="39"/>
      <c r="N88" s="39"/>
      <c r="O88" s="75"/>
    </row>
    <row r="89" spans="9:15" x14ac:dyDescent="0.25">
      <c r="I89" s="1"/>
      <c r="J89" s="1"/>
      <c r="K89" s="58"/>
      <c r="L89" s="33"/>
      <c r="M89" s="33"/>
      <c r="N89" s="33"/>
      <c r="O89" s="63"/>
    </row>
    <row r="90" spans="9:15" x14ac:dyDescent="0.25">
      <c r="I90" s="1"/>
      <c r="J90" s="1"/>
      <c r="K90" s="127"/>
      <c r="L90" s="1"/>
      <c r="M90" s="1"/>
      <c r="N90" s="11"/>
    </row>
    <row r="91" spans="9:15" x14ac:dyDescent="0.25">
      <c r="K91" s="127"/>
      <c r="L91" s="1"/>
      <c r="M91" s="1"/>
      <c r="N91" s="11"/>
    </row>
    <row r="92" spans="9:15" x14ac:dyDescent="0.25">
      <c r="K92" s="127"/>
      <c r="L92" s="1"/>
      <c r="M92" s="1"/>
      <c r="N92" s="33"/>
      <c r="O92" s="61"/>
    </row>
    <row r="93" spans="9:15" x14ac:dyDescent="0.25">
      <c r="K93" s="219"/>
      <c r="L93" s="11"/>
      <c r="M93" s="11"/>
      <c r="N93" s="11"/>
    </row>
    <row r="94" spans="9:15" x14ac:dyDescent="0.25">
      <c r="K94" s="220"/>
      <c r="L94" s="11"/>
      <c r="M94" s="11"/>
      <c r="N94" s="11"/>
    </row>
    <row r="95" spans="9:15" x14ac:dyDescent="0.25">
      <c r="K95" s="220"/>
      <c r="L95" s="131"/>
      <c r="M95" s="456"/>
      <c r="N95" s="456"/>
      <c r="O95" s="132"/>
    </row>
    <row r="96" spans="9:15" x14ac:dyDescent="0.25">
      <c r="K96" s="58"/>
      <c r="L96" s="33"/>
      <c r="M96" s="33"/>
      <c r="N96" s="33"/>
      <c r="O96" s="63"/>
    </row>
    <row r="97" spans="1:15" x14ac:dyDescent="0.25">
      <c r="K97" s="127"/>
      <c r="L97" s="1"/>
      <c r="M97" s="1"/>
      <c r="N97" s="11"/>
    </row>
    <row r="98" spans="1:15" x14ac:dyDescent="0.25">
      <c r="K98" s="127"/>
      <c r="L98" s="1"/>
      <c r="M98" s="1"/>
      <c r="N98" s="11"/>
    </row>
    <row r="99" spans="1:15" x14ac:dyDescent="0.25">
      <c r="A99" s="1"/>
      <c r="B99" s="1"/>
      <c r="C99" s="1"/>
      <c r="D99" s="61"/>
      <c r="K99" s="127"/>
      <c r="L99" s="1"/>
      <c r="M99" s="1"/>
      <c r="N99" s="33"/>
      <c r="O99" s="61"/>
    </row>
    <row r="100" spans="1:15" x14ac:dyDescent="0.25">
      <c r="A100" s="77"/>
      <c r="B100" s="72"/>
      <c r="C100" s="72"/>
      <c r="D100" s="189"/>
      <c r="K100" s="58"/>
      <c r="L100" s="1"/>
      <c r="M100" s="8"/>
      <c r="N100" s="11"/>
      <c r="O100" s="61"/>
    </row>
    <row r="101" spans="1:15" x14ac:dyDescent="0.25">
      <c r="A101" s="77"/>
      <c r="B101" s="72"/>
      <c r="C101" s="72"/>
      <c r="D101" s="189"/>
      <c r="L101" s="11"/>
      <c r="M101" s="11"/>
      <c r="N101" s="11"/>
    </row>
    <row r="102" spans="1:15" x14ac:dyDescent="0.25">
      <c r="A102" s="77"/>
      <c r="B102" s="72"/>
      <c r="C102" s="72"/>
      <c r="D102" s="189"/>
      <c r="L102" s="11"/>
      <c r="M102" s="11"/>
      <c r="N102" s="11"/>
    </row>
    <row r="103" spans="1:15" x14ac:dyDescent="0.25">
      <c r="A103" s="2"/>
      <c r="B103" s="2"/>
      <c r="C103" s="2"/>
      <c r="D103" s="74"/>
      <c r="L103" s="11"/>
      <c r="M103" s="11"/>
      <c r="N103" s="11"/>
    </row>
    <row r="104" spans="1:15" x14ac:dyDescent="0.25">
      <c r="L104" s="11"/>
      <c r="M104" s="11"/>
      <c r="N104" s="11"/>
    </row>
    <row r="105" spans="1:15" x14ac:dyDescent="0.25">
      <c r="B105" s="30"/>
      <c r="C105" s="30"/>
      <c r="D105" s="75"/>
      <c r="L105" s="11"/>
      <c r="M105" s="11"/>
      <c r="N105" s="11"/>
    </row>
    <row r="106" spans="1:15" x14ac:dyDescent="0.25">
      <c r="L106" s="11"/>
      <c r="M106" s="11"/>
      <c r="N106" s="11"/>
    </row>
    <row r="107" spans="1:15" x14ac:dyDescent="0.25">
      <c r="L107" s="11"/>
      <c r="M107" s="11"/>
      <c r="N107" s="11"/>
    </row>
    <row r="108" spans="1:15" x14ac:dyDescent="0.25">
      <c r="A108" s="4"/>
      <c r="B108" s="4"/>
      <c r="C108" s="4"/>
      <c r="D108" s="61"/>
      <c r="L108" s="11"/>
      <c r="M108" s="11"/>
      <c r="N108" s="11"/>
    </row>
    <row r="109" spans="1:15" x14ac:dyDescent="0.25">
      <c r="A109" s="4"/>
      <c r="B109" s="4"/>
      <c r="C109" s="4"/>
      <c r="D109" s="61"/>
      <c r="L109" s="11"/>
      <c r="M109" s="11"/>
      <c r="N109" s="11"/>
    </row>
    <row r="110" spans="1:15" x14ac:dyDescent="0.25">
      <c r="A110" s="1"/>
      <c r="L110" s="11"/>
      <c r="M110" s="11"/>
      <c r="N110" s="11"/>
    </row>
    <row r="111" spans="1:15" x14ac:dyDescent="0.25">
      <c r="A111" s="1"/>
      <c r="L111" s="11"/>
      <c r="M111" s="11"/>
      <c r="N111" s="11"/>
    </row>
    <row r="112" spans="1:15" x14ac:dyDescent="0.25">
      <c r="L112" s="11"/>
      <c r="M112" s="11"/>
      <c r="N112" s="11"/>
    </row>
    <row r="113" spans="12:14" x14ac:dyDescent="0.25">
      <c r="L113" s="11"/>
      <c r="M113" s="11"/>
      <c r="N113" s="11"/>
    </row>
    <row r="114" spans="12:14" x14ac:dyDescent="0.25">
      <c r="L114" s="11"/>
      <c r="M114" s="11"/>
      <c r="N114" s="11"/>
    </row>
    <row r="115" spans="12:14" x14ac:dyDescent="0.25">
      <c r="L115" s="11"/>
      <c r="M115" s="11"/>
      <c r="N115" s="11"/>
    </row>
    <row r="116" spans="12:14" x14ac:dyDescent="0.25">
      <c r="L116" s="11"/>
      <c r="M116" s="11"/>
      <c r="N116" s="11"/>
    </row>
    <row r="117" spans="12:14" x14ac:dyDescent="0.25">
      <c r="L117" s="11"/>
      <c r="M117" s="11"/>
      <c r="N117" s="11"/>
    </row>
    <row r="118" spans="12:14" x14ac:dyDescent="0.25">
      <c r="L118" s="11"/>
      <c r="M118" s="11"/>
      <c r="N118" s="11"/>
    </row>
    <row r="119" spans="12:14" x14ac:dyDescent="0.25">
      <c r="L119" s="11"/>
      <c r="M119" s="11"/>
      <c r="N119" s="11"/>
    </row>
    <row r="120" spans="12:14" x14ac:dyDescent="0.25">
      <c r="L120" s="11"/>
      <c r="M120" s="11"/>
      <c r="N120" s="11"/>
    </row>
    <row r="121" spans="12:14" x14ac:dyDescent="0.25">
      <c r="L121" s="11"/>
      <c r="M121" s="11"/>
      <c r="N121" s="11"/>
    </row>
    <row r="122" spans="12:14" x14ac:dyDescent="0.25">
      <c r="L122" s="11"/>
      <c r="M122" s="11"/>
      <c r="N122" s="11"/>
    </row>
    <row r="123" spans="12:14" x14ac:dyDescent="0.25">
      <c r="L123" s="11"/>
      <c r="M123" s="11"/>
      <c r="N123" s="11"/>
    </row>
    <row r="124" spans="12:14" x14ac:dyDescent="0.25">
      <c r="L124" s="11"/>
      <c r="M124" s="11"/>
      <c r="N124" s="11"/>
    </row>
    <row r="125" spans="12:14" x14ac:dyDescent="0.25">
      <c r="L125" s="11"/>
      <c r="M125" s="11"/>
      <c r="N125" s="11"/>
    </row>
    <row r="126" spans="12:14" x14ac:dyDescent="0.25">
      <c r="L126" s="11"/>
      <c r="M126" s="11"/>
      <c r="N126" s="11"/>
    </row>
    <row r="321" spans="16:17" x14ac:dyDescent="0.25">
      <c r="P321" s="13"/>
      <c r="Q321" s="11"/>
    </row>
    <row r="322" spans="16:17" x14ac:dyDescent="0.25">
      <c r="Q322" s="11"/>
    </row>
    <row r="323" spans="16:17" x14ac:dyDescent="0.25">
      <c r="Q323" s="11"/>
    </row>
    <row r="324" spans="16:17" x14ac:dyDescent="0.25">
      <c r="Q324" s="11"/>
    </row>
    <row r="346" spans="5:5" x14ac:dyDescent="0.25">
      <c r="E346" s="1"/>
    </row>
    <row r="347" spans="5:5" x14ac:dyDescent="0.25">
      <c r="E347" s="1"/>
    </row>
    <row r="348" spans="5:5" x14ac:dyDescent="0.25">
      <c r="E348" s="1"/>
    </row>
    <row r="349" spans="5:5" x14ac:dyDescent="0.25">
      <c r="E349" s="1"/>
    </row>
    <row r="350" spans="5:5" x14ac:dyDescent="0.25">
      <c r="E350" s="1"/>
    </row>
    <row r="351" spans="5:5" x14ac:dyDescent="0.25">
      <c r="E351" s="1"/>
    </row>
    <row r="352" spans="5:5" x14ac:dyDescent="0.25">
      <c r="E352" s="1"/>
    </row>
    <row r="353" spans="5:5" x14ac:dyDescent="0.25">
      <c r="E353" s="1"/>
    </row>
    <row r="354" spans="5:5" x14ac:dyDescent="0.25">
      <c r="E354" s="1"/>
    </row>
    <row r="355" spans="5:5" x14ac:dyDescent="0.25">
      <c r="E355" s="1"/>
    </row>
    <row r="356" spans="5:5" x14ac:dyDescent="0.25">
      <c r="E356" s="1"/>
    </row>
    <row r="357" spans="5:5" x14ac:dyDescent="0.25">
      <c r="E357" s="1"/>
    </row>
    <row r="358" spans="5:5" x14ac:dyDescent="0.25">
      <c r="E358" s="1"/>
    </row>
    <row r="359" spans="5:5" x14ac:dyDescent="0.25">
      <c r="E359" s="1"/>
    </row>
    <row r="360" spans="5:5" x14ac:dyDescent="0.25">
      <c r="E360" s="1"/>
    </row>
    <row r="361" spans="5:5" x14ac:dyDescent="0.25">
      <c r="E361" s="1"/>
    </row>
    <row r="398" spans="5:5" x14ac:dyDescent="0.25">
      <c r="E398" s="1"/>
    </row>
    <row r="399" spans="5:5" x14ac:dyDescent="0.25">
      <c r="E399" s="1"/>
    </row>
    <row r="400" spans="5:5" x14ac:dyDescent="0.25">
      <c r="E400" s="1"/>
    </row>
    <row r="401" spans="5:5" x14ac:dyDescent="0.25">
      <c r="E401" s="1"/>
    </row>
    <row r="402" spans="5:5" x14ac:dyDescent="0.25">
      <c r="E402" s="1"/>
    </row>
    <row r="423" spans="5:7" x14ac:dyDescent="0.25">
      <c r="E423" s="1"/>
      <c r="F423" s="1"/>
      <c r="G423" s="61"/>
    </row>
    <row r="424" spans="5:7" x14ac:dyDescent="0.25">
      <c r="E424" s="1"/>
      <c r="F424" s="1"/>
      <c r="G424" s="61"/>
    </row>
    <row r="425" spans="5:7" x14ac:dyDescent="0.25">
      <c r="E425" s="1"/>
      <c r="F425" s="1"/>
      <c r="G425" s="61"/>
    </row>
    <row r="426" spans="5:7" x14ac:dyDescent="0.25">
      <c r="E426" s="1"/>
      <c r="F426" s="1"/>
      <c r="G426" s="61"/>
    </row>
    <row r="427" spans="5:7" x14ac:dyDescent="0.25">
      <c r="E427" s="1"/>
      <c r="F427" s="1"/>
      <c r="G427" s="61"/>
    </row>
    <row r="428" spans="5:7" x14ac:dyDescent="0.25">
      <c r="E428" s="1"/>
      <c r="F428" s="1"/>
      <c r="G428" s="61"/>
    </row>
    <row r="429" spans="5:7" x14ac:dyDescent="0.25">
      <c r="E429" s="1"/>
      <c r="F429" s="1"/>
      <c r="G429" s="61"/>
    </row>
    <row r="430" spans="5:7" x14ac:dyDescent="0.25">
      <c r="E430" s="1"/>
      <c r="F430" s="1"/>
      <c r="G430" s="61"/>
    </row>
    <row r="431" spans="5:7" x14ac:dyDescent="0.25">
      <c r="E431" s="1"/>
      <c r="F431" s="1"/>
      <c r="G431" s="61"/>
    </row>
    <row r="432" spans="5:7" x14ac:dyDescent="0.25">
      <c r="E432" s="1"/>
      <c r="F432" s="1"/>
      <c r="G432" s="61"/>
    </row>
    <row r="433" spans="5:7" x14ac:dyDescent="0.25">
      <c r="E433" s="1"/>
      <c r="F433" s="1"/>
      <c r="G433" s="61"/>
    </row>
    <row r="434" spans="5:7" x14ac:dyDescent="0.25">
      <c r="E434" s="1"/>
      <c r="F434" s="1"/>
      <c r="G434" s="61"/>
    </row>
    <row r="435" spans="5:7" x14ac:dyDescent="0.25">
      <c r="E435" s="1"/>
      <c r="F435" s="1"/>
      <c r="G435" s="61"/>
    </row>
    <row r="436" spans="5:7" x14ac:dyDescent="0.25">
      <c r="E436" s="1"/>
      <c r="F436" s="1"/>
      <c r="G436" s="61"/>
    </row>
    <row r="437" spans="5:7" x14ac:dyDescent="0.25">
      <c r="E437" s="1"/>
      <c r="F437" s="1"/>
      <c r="G437" s="61"/>
    </row>
    <row r="438" spans="5:7" x14ac:dyDescent="0.25">
      <c r="E438" s="1"/>
      <c r="F438" s="1"/>
      <c r="G438" s="61"/>
    </row>
    <row r="439" spans="5:7" x14ac:dyDescent="0.25">
      <c r="E439" s="1"/>
      <c r="F439" s="1"/>
      <c r="G439" s="61"/>
    </row>
    <row r="440" spans="5:7" x14ac:dyDescent="0.25">
      <c r="E440" s="1"/>
      <c r="F440" s="1"/>
      <c r="G440" s="61"/>
    </row>
    <row r="441" spans="5:7" x14ac:dyDescent="0.25">
      <c r="E441" s="1"/>
      <c r="F441" s="1"/>
      <c r="G441" s="61"/>
    </row>
    <row r="442" spans="5:7" x14ac:dyDescent="0.25">
      <c r="E442" s="1"/>
      <c r="F442" s="1"/>
      <c r="G442" s="61"/>
    </row>
    <row r="443" spans="5:7" x14ac:dyDescent="0.25">
      <c r="E443" s="1"/>
      <c r="F443" s="1"/>
      <c r="G443" s="61"/>
    </row>
    <row r="444" spans="5:7" x14ac:dyDescent="0.25">
      <c r="E444" s="1"/>
      <c r="F444" s="1"/>
      <c r="G444" s="61"/>
    </row>
    <row r="445" spans="5:7" x14ac:dyDescent="0.25">
      <c r="E445" s="1"/>
      <c r="F445" s="1"/>
      <c r="G445" s="61"/>
    </row>
    <row r="446" spans="5:7" x14ac:dyDescent="0.25">
      <c r="E446" s="1"/>
      <c r="F446" s="1"/>
      <c r="G446" s="61"/>
    </row>
    <row r="447" spans="5:7" x14ac:dyDescent="0.25">
      <c r="E447" s="1"/>
      <c r="F447" s="1"/>
      <c r="G447" s="61"/>
    </row>
    <row r="448" spans="5:7" x14ac:dyDescent="0.25">
      <c r="E448" s="1"/>
      <c r="F448" s="1"/>
      <c r="G448" s="61"/>
    </row>
    <row r="449" spans="5:7" x14ac:dyDescent="0.25">
      <c r="E449" s="1"/>
      <c r="F449" s="1"/>
      <c r="G449" s="61"/>
    </row>
    <row r="450" spans="5:7" x14ac:dyDescent="0.25">
      <c r="E450" s="1"/>
      <c r="F450" s="1"/>
      <c r="G450" s="61"/>
    </row>
    <row r="451" spans="5:7" x14ac:dyDescent="0.25">
      <c r="E451" s="1"/>
      <c r="F451" s="1"/>
      <c r="G451" s="61"/>
    </row>
    <row r="452" spans="5:7" x14ac:dyDescent="0.25">
      <c r="E452" s="1"/>
      <c r="F452" s="1"/>
      <c r="G452" s="61"/>
    </row>
    <row r="453" spans="5:7" x14ac:dyDescent="0.25">
      <c r="E453" s="1"/>
      <c r="F453" s="1"/>
      <c r="G453" s="61"/>
    </row>
    <row r="454" spans="5:7" x14ac:dyDescent="0.25">
      <c r="E454" s="1"/>
      <c r="F454" s="1"/>
      <c r="G454" s="61"/>
    </row>
    <row r="455" spans="5:7" x14ac:dyDescent="0.25">
      <c r="E455" s="1"/>
      <c r="F455" s="1"/>
      <c r="G455" s="61"/>
    </row>
    <row r="456" spans="5:7" x14ac:dyDescent="0.25">
      <c r="E456" s="1"/>
      <c r="F456" s="1"/>
      <c r="G456" s="61"/>
    </row>
    <row r="457" spans="5:7" x14ac:dyDescent="0.25">
      <c r="F457" s="1"/>
      <c r="G457" s="61"/>
    </row>
    <row r="458" spans="5:7" x14ac:dyDescent="0.25">
      <c r="F458" s="1"/>
      <c r="G458" s="61"/>
    </row>
    <row r="459" spans="5:7" x14ac:dyDescent="0.25">
      <c r="F459" s="1"/>
      <c r="G459" s="61"/>
    </row>
    <row r="460" spans="5:7" x14ac:dyDescent="0.25">
      <c r="F460" s="1"/>
      <c r="G460" s="61"/>
    </row>
    <row r="461" spans="5:7" x14ac:dyDescent="0.25">
      <c r="F461" s="1"/>
      <c r="G461" s="61"/>
    </row>
    <row r="462" spans="5:7" x14ac:dyDescent="0.25">
      <c r="F462" s="1"/>
      <c r="G462" s="61"/>
    </row>
    <row r="463" spans="5:7" x14ac:dyDescent="0.25">
      <c r="F463" s="1"/>
      <c r="G463" s="61"/>
    </row>
    <row r="464" spans="5:7" x14ac:dyDescent="0.25">
      <c r="F464" s="1"/>
      <c r="G464" s="61"/>
    </row>
    <row r="465" spans="6:7" x14ac:dyDescent="0.25">
      <c r="F465" s="1"/>
      <c r="G465" s="61"/>
    </row>
    <row r="466" spans="6:7" x14ac:dyDescent="0.25">
      <c r="F466" s="1"/>
      <c r="G466" s="61"/>
    </row>
    <row r="467" spans="6:7" x14ac:dyDescent="0.25">
      <c r="F467" s="1"/>
      <c r="G467" s="61"/>
    </row>
    <row r="468" spans="6:7" x14ac:dyDescent="0.25">
      <c r="F468" s="1"/>
      <c r="G468" s="61"/>
    </row>
    <row r="469" spans="6:7" x14ac:dyDescent="0.25">
      <c r="F469" s="1"/>
      <c r="G469" s="61"/>
    </row>
    <row r="501" spans="6:7" x14ac:dyDescent="0.25">
      <c r="F501" s="4"/>
    </row>
    <row r="502" spans="6:7" x14ac:dyDescent="0.25">
      <c r="F502" s="4"/>
    </row>
    <row r="503" spans="6:7" x14ac:dyDescent="0.25">
      <c r="F503" s="4"/>
    </row>
    <row r="504" spans="6:7" x14ac:dyDescent="0.25">
      <c r="F504" s="4"/>
    </row>
    <row r="505" spans="6:7" x14ac:dyDescent="0.25">
      <c r="F505" s="4"/>
    </row>
    <row r="506" spans="6:7" x14ac:dyDescent="0.25">
      <c r="F506" s="4"/>
    </row>
    <row r="507" spans="6:7" x14ac:dyDescent="0.25">
      <c r="F507" s="4"/>
    </row>
    <row r="508" spans="6:7" x14ac:dyDescent="0.25">
      <c r="F508" s="4"/>
      <c r="G508" s="61"/>
    </row>
    <row r="509" spans="6:7" x14ac:dyDescent="0.25">
      <c r="F509" s="4"/>
      <c r="G509" s="61"/>
    </row>
    <row r="510" spans="6:7" x14ac:dyDescent="0.25">
      <c r="F510" s="1"/>
      <c r="G510" s="61"/>
    </row>
    <row r="511" spans="6:7" x14ac:dyDescent="0.25">
      <c r="F511" s="1"/>
      <c r="G511" s="61"/>
    </row>
    <row r="512" spans="6:7" x14ac:dyDescent="0.25">
      <c r="F512" s="1"/>
      <c r="G512" s="61"/>
    </row>
    <row r="513" spans="6:7" x14ac:dyDescent="0.25">
      <c r="F513" s="2"/>
      <c r="G513" s="74"/>
    </row>
    <row r="514" spans="6:7" x14ac:dyDescent="0.25">
      <c r="F514" s="2"/>
      <c r="G514" s="74"/>
    </row>
    <row r="515" spans="6:7" x14ac:dyDescent="0.25">
      <c r="F515" s="1"/>
      <c r="G515" s="61"/>
    </row>
    <row r="516" spans="6:7" x14ac:dyDescent="0.25">
      <c r="F516" s="1"/>
      <c r="G516" s="61"/>
    </row>
    <row r="517" spans="6:7" x14ac:dyDescent="0.25">
      <c r="F517" s="1"/>
      <c r="G517" s="61"/>
    </row>
    <row r="518" spans="6:7" x14ac:dyDescent="0.25">
      <c r="F518" s="1"/>
      <c r="G518" s="61"/>
    </row>
    <row r="519" spans="6:7" x14ac:dyDescent="0.25">
      <c r="F519" s="1"/>
      <c r="G519" s="61"/>
    </row>
    <row r="520" spans="6:7" x14ac:dyDescent="0.25">
      <c r="F520" s="1"/>
      <c r="G520" s="61"/>
    </row>
    <row r="521" spans="6:7" x14ac:dyDescent="0.25">
      <c r="F521" s="1"/>
      <c r="G521" s="61"/>
    </row>
    <row r="522" spans="6:7" x14ac:dyDescent="0.25">
      <c r="F522" s="1"/>
      <c r="G522" s="61"/>
    </row>
    <row r="523" spans="6:7" x14ac:dyDescent="0.25">
      <c r="F523" s="1"/>
      <c r="G523" s="61"/>
    </row>
    <row r="524" spans="6:7" x14ac:dyDescent="0.25">
      <c r="F524" s="1"/>
      <c r="G524" s="61"/>
    </row>
    <row r="525" spans="6:7" x14ac:dyDescent="0.25">
      <c r="F525" s="1"/>
      <c r="G525" s="61"/>
    </row>
    <row r="526" spans="6:7" x14ac:dyDescent="0.25">
      <c r="F526" s="2"/>
      <c r="G526" s="74"/>
    </row>
    <row r="527" spans="6:7" x14ac:dyDescent="0.25">
      <c r="F527" s="2"/>
      <c r="G527" s="74"/>
    </row>
    <row r="528" spans="6:7" x14ac:dyDescent="0.25">
      <c r="F528" s="1"/>
      <c r="G528" s="61"/>
    </row>
    <row r="529" spans="6:7" x14ac:dyDescent="0.25">
      <c r="F529" s="1"/>
      <c r="G529" s="61"/>
    </row>
    <row r="530" spans="6:7" x14ac:dyDescent="0.25">
      <c r="F530" s="1"/>
      <c r="G530" s="61"/>
    </row>
    <row r="531" spans="6:7" x14ac:dyDescent="0.25">
      <c r="F531" s="1"/>
      <c r="G531" s="61"/>
    </row>
    <row r="532" spans="6:7" x14ac:dyDescent="0.25">
      <c r="F532" s="1"/>
      <c r="G532" s="61"/>
    </row>
    <row r="533" spans="6:7" x14ac:dyDescent="0.25">
      <c r="F533" s="1"/>
      <c r="G533" s="61"/>
    </row>
    <row r="534" spans="6:7" x14ac:dyDescent="0.25">
      <c r="F534" s="4"/>
      <c r="G534" s="61"/>
    </row>
    <row r="535" spans="6:7" x14ac:dyDescent="0.25">
      <c r="F535" s="4"/>
      <c r="G535" s="61"/>
    </row>
    <row r="536" spans="6:7" x14ac:dyDescent="0.25">
      <c r="F536" s="4"/>
      <c r="G536" s="61"/>
    </row>
  </sheetData>
  <sheetProtection password="9A39" sheet="1" objects="1" scenarios="1"/>
  <mergeCells count="19">
    <mergeCell ref="M95:N95"/>
    <mergeCell ref="M83:N83"/>
    <mergeCell ref="Q15:S15"/>
    <mergeCell ref="Q27:S27"/>
    <mergeCell ref="Q3:S3"/>
    <mergeCell ref="T3:V3"/>
    <mergeCell ref="W3:Y3"/>
    <mergeCell ref="Z3:AB3"/>
    <mergeCell ref="Q9:S9"/>
    <mergeCell ref="T9:V9"/>
    <mergeCell ref="W9:Y9"/>
    <mergeCell ref="T27:V27"/>
    <mergeCell ref="W27:Y27"/>
    <mergeCell ref="Z27:AB27"/>
    <mergeCell ref="T15:V15"/>
    <mergeCell ref="Q21:S21"/>
    <mergeCell ref="T21:V21"/>
    <mergeCell ref="W21:Y21"/>
    <mergeCell ref="Z21:AB21"/>
  </mergeCells>
  <printOptions gridLines="1"/>
  <pageMargins left="0.7" right="0.7" top="0.75" bottom="0.75" header="0.3" footer="0.3"/>
  <pageSetup scale="20" fitToWidth="3" fitToHeight="0" orientation="portrait" r:id="rId1"/>
  <rowBreaks count="5" manualBreakCount="5">
    <brk id="155" max="16383" man="1"/>
    <brk id="199" max="16383" man="1"/>
    <brk id="350" max="16383" man="1"/>
    <brk id="507" max="16383" man="1"/>
    <brk id="666"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05"/>
  <sheetViews>
    <sheetView topLeftCell="A55" workbookViewId="0"/>
  </sheetViews>
  <sheetFormatPr defaultRowHeight="15" x14ac:dyDescent="0.25"/>
  <cols>
    <col min="1" max="1" width="8.85546875" style="6"/>
    <col min="2" max="2" width="15.5703125" customWidth="1"/>
  </cols>
  <sheetData>
    <row r="1" spans="1:2" s="5" customFormat="1" x14ac:dyDescent="0.25">
      <c r="A1" s="6" t="s">
        <v>81</v>
      </c>
    </row>
    <row r="2" spans="1:2" x14ac:dyDescent="0.25">
      <c r="B2" s="5" t="s">
        <v>17</v>
      </c>
    </row>
    <row r="3" spans="1:2" s="5" customFormat="1" x14ac:dyDescent="0.25">
      <c r="A3" s="6"/>
      <c r="B3" s="5" t="s">
        <v>187</v>
      </c>
    </row>
    <row r="4" spans="1:2" x14ac:dyDescent="0.25">
      <c r="B4" t="s">
        <v>10</v>
      </c>
    </row>
    <row r="5" spans="1:2" x14ac:dyDescent="0.25">
      <c r="B5" t="s">
        <v>11</v>
      </c>
    </row>
    <row r="6" spans="1:2" x14ac:dyDescent="0.25">
      <c r="B6" t="s">
        <v>8</v>
      </c>
    </row>
    <row r="7" spans="1:2" s="5" customFormat="1" x14ac:dyDescent="0.25">
      <c r="A7" s="6"/>
      <c r="B7" s="5" t="s">
        <v>188</v>
      </c>
    </row>
    <row r="8" spans="1:2" x14ac:dyDescent="0.25">
      <c r="B8" t="s">
        <v>9</v>
      </c>
    </row>
    <row r="9" spans="1:2" s="5" customFormat="1" x14ac:dyDescent="0.25">
      <c r="A9" s="6"/>
      <c r="B9" s="5" t="s">
        <v>55</v>
      </c>
    </row>
    <row r="10" spans="1:2" s="5" customFormat="1" x14ac:dyDescent="0.25">
      <c r="A10" s="6"/>
      <c r="B10" s="5" t="s">
        <v>56</v>
      </c>
    </row>
    <row r="11" spans="1:2" s="5" customFormat="1" x14ac:dyDescent="0.25">
      <c r="A11" s="6"/>
      <c r="B11" s="5" t="s">
        <v>58</v>
      </c>
    </row>
    <row r="13" spans="1:2" s="5" customFormat="1" x14ac:dyDescent="0.25">
      <c r="A13" s="6" t="s">
        <v>82</v>
      </c>
    </row>
    <row r="14" spans="1:2" x14ac:dyDescent="0.25">
      <c r="B14" s="5" t="s">
        <v>109</v>
      </c>
    </row>
    <row r="15" spans="1:2" s="5" customFormat="1" x14ac:dyDescent="0.25">
      <c r="A15" s="6"/>
      <c r="B15" s="5" t="s">
        <v>18</v>
      </c>
    </row>
    <row r="16" spans="1:2" s="5" customFormat="1" x14ac:dyDescent="0.25">
      <c r="A16" s="6"/>
      <c r="B16" s="5" t="s">
        <v>19</v>
      </c>
    </row>
    <row r="17" spans="1:2" s="5" customFormat="1" x14ac:dyDescent="0.25">
      <c r="A17" s="6"/>
      <c r="B17" s="5" t="s">
        <v>108</v>
      </c>
    </row>
    <row r="18" spans="1:2" s="5" customFormat="1" x14ac:dyDescent="0.25">
      <c r="A18" s="6"/>
      <c r="B18" s="5" t="s">
        <v>107</v>
      </c>
    </row>
    <row r="19" spans="1:2" s="5" customFormat="1" x14ac:dyDescent="0.25">
      <c r="A19" s="6"/>
      <c r="B19" s="5" t="s">
        <v>106</v>
      </c>
    </row>
    <row r="20" spans="1:2" ht="15" customHeight="1" x14ac:dyDescent="0.25"/>
    <row r="21" spans="1:2" s="5" customFormat="1" x14ac:dyDescent="0.25">
      <c r="A21" s="6"/>
    </row>
    <row r="22" spans="1:2" x14ac:dyDescent="0.25">
      <c r="A22" s="6" t="s">
        <v>83</v>
      </c>
    </row>
    <row r="23" spans="1:2" s="5" customFormat="1" x14ac:dyDescent="0.25">
      <c r="A23" s="6"/>
      <c r="B23" s="126" t="s">
        <v>189</v>
      </c>
    </row>
    <row r="24" spans="1:2" s="5" customFormat="1" x14ac:dyDescent="0.25">
      <c r="A24" s="6"/>
      <c r="B24" s="126" t="s">
        <v>190</v>
      </c>
    </row>
    <row r="25" spans="1:2" s="5" customFormat="1" x14ac:dyDescent="0.25">
      <c r="A25" s="6"/>
      <c r="B25" s="126" t="s">
        <v>191</v>
      </c>
    </row>
    <row r="26" spans="1:2" s="5" customFormat="1" x14ac:dyDescent="0.25">
      <c r="A26" s="6"/>
      <c r="B26" s="126" t="s">
        <v>192</v>
      </c>
    </row>
    <row r="27" spans="1:2" s="5" customFormat="1" x14ac:dyDescent="0.25">
      <c r="A27" s="6"/>
      <c r="B27" s="126" t="s">
        <v>193</v>
      </c>
    </row>
    <row r="28" spans="1:2" x14ac:dyDescent="0.25">
      <c r="B28" s="126" t="s">
        <v>194</v>
      </c>
    </row>
    <row r="29" spans="1:2" x14ac:dyDescent="0.25">
      <c r="B29" t="s">
        <v>23</v>
      </c>
    </row>
    <row r="30" spans="1:2" x14ac:dyDescent="0.25">
      <c r="B30" t="s">
        <v>24</v>
      </c>
    </row>
    <row r="31" spans="1:2" x14ac:dyDescent="0.25">
      <c r="B31" t="s">
        <v>25</v>
      </c>
    </row>
    <row r="32" spans="1:2" x14ac:dyDescent="0.25">
      <c r="B32" t="s">
        <v>26</v>
      </c>
    </row>
    <row r="33" spans="1:2" x14ac:dyDescent="0.25">
      <c r="B33" t="s">
        <v>31</v>
      </c>
    </row>
    <row r="34" spans="1:2" x14ac:dyDescent="0.25">
      <c r="B34" t="s">
        <v>27</v>
      </c>
    </row>
    <row r="35" spans="1:2" x14ac:dyDescent="0.25">
      <c r="B35" t="s">
        <v>28</v>
      </c>
    </row>
    <row r="36" spans="1:2" x14ac:dyDescent="0.25">
      <c r="B36" t="s">
        <v>29</v>
      </c>
    </row>
    <row r="37" spans="1:2" x14ac:dyDescent="0.25">
      <c r="B37" t="s">
        <v>30</v>
      </c>
    </row>
    <row r="38" spans="1:2" s="5" customFormat="1" x14ac:dyDescent="0.25">
      <c r="A38" s="6"/>
      <c r="B38" s="5" t="s">
        <v>60</v>
      </c>
    </row>
    <row r="39" spans="1:2" s="5" customFormat="1" x14ac:dyDescent="0.25">
      <c r="A39" s="6"/>
      <c r="B39" s="5" t="s">
        <v>59</v>
      </c>
    </row>
    <row r="40" spans="1:2" s="5" customFormat="1" x14ac:dyDescent="0.25">
      <c r="A40" s="6"/>
      <c r="B40" s="5" t="s">
        <v>61</v>
      </c>
    </row>
    <row r="41" spans="1:2" x14ac:dyDescent="0.25">
      <c r="B41" t="s">
        <v>32</v>
      </c>
    </row>
    <row r="42" spans="1:2" x14ac:dyDescent="0.25">
      <c r="B42" t="s">
        <v>33</v>
      </c>
    </row>
    <row r="43" spans="1:2" x14ac:dyDescent="0.25">
      <c r="B43" t="s">
        <v>34</v>
      </c>
    </row>
    <row r="44" spans="1:2" s="5" customFormat="1" x14ac:dyDescent="0.25">
      <c r="A44" s="6"/>
      <c r="B44" s="5" t="s">
        <v>62</v>
      </c>
    </row>
    <row r="45" spans="1:2" x14ac:dyDescent="0.25">
      <c r="B45" t="s">
        <v>37</v>
      </c>
    </row>
    <row r="46" spans="1:2" x14ac:dyDescent="0.25">
      <c r="B46" t="s">
        <v>35</v>
      </c>
    </row>
    <row r="47" spans="1:2" s="5" customFormat="1" x14ac:dyDescent="0.25">
      <c r="A47" s="6"/>
      <c r="B47" s="5" t="s">
        <v>63</v>
      </c>
    </row>
    <row r="48" spans="1:2" s="5" customFormat="1" x14ac:dyDescent="0.25">
      <c r="A48" s="6"/>
      <c r="B48" s="5" t="s">
        <v>64</v>
      </c>
    </row>
    <row r="49" spans="1:2" s="5" customFormat="1" x14ac:dyDescent="0.25">
      <c r="A49" s="6"/>
      <c r="B49" s="5" t="s">
        <v>65</v>
      </c>
    </row>
    <row r="50" spans="1:2" s="5" customFormat="1" x14ac:dyDescent="0.25">
      <c r="A50" s="6"/>
      <c r="B50" s="5" t="s">
        <v>41</v>
      </c>
    </row>
    <row r="51" spans="1:2" x14ac:dyDescent="0.25">
      <c r="B51" t="s">
        <v>66</v>
      </c>
    </row>
    <row r="52" spans="1:2" x14ac:dyDescent="0.25">
      <c r="B52" t="s">
        <v>36</v>
      </c>
    </row>
    <row r="53" spans="1:2" s="5" customFormat="1" x14ac:dyDescent="0.25">
      <c r="A53" s="6"/>
      <c r="B53" s="5" t="s">
        <v>67</v>
      </c>
    </row>
    <row r="54" spans="1:2" x14ac:dyDescent="0.25">
      <c r="B54" t="s">
        <v>38</v>
      </c>
    </row>
    <row r="55" spans="1:2" x14ac:dyDescent="0.25">
      <c r="B55" t="s">
        <v>39</v>
      </c>
    </row>
    <row r="56" spans="1:2" x14ac:dyDescent="0.25">
      <c r="B56" t="s">
        <v>40</v>
      </c>
    </row>
    <row r="57" spans="1:2" x14ac:dyDescent="0.25">
      <c r="B57" t="s">
        <v>42</v>
      </c>
    </row>
    <row r="58" spans="1:2" s="5" customFormat="1" x14ac:dyDescent="0.25">
      <c r="A58" s="6"/>
    </row>
    <row r="59" spans="1:2" x14ac:dyDescent="0.25">
      <c r="A59" s="6" t="s">
        <v>84</v>
      </c>
    </row>
    <row r="60" spans="1:2" x14ac:dyDescent="0.25">
      <c r="B60" t="s">
        <v>52</v>
      </c>
    </row>
    <row r="61" spans="1:2" x14ac:dyDescent="0.25">
      <c r="B61" t="s">
        <v>53</v>
      </c>
    </row>
    <row r="63" spans="1:2" x14ac:dyDescent="0.25">
      <c r="A63" s="6" t="s">
        <v>93</v>
      </c>
    </row>
    <row r="64" spans="1:2" x14ac:dyDescent="0.25">
      <c r="B64" s="67" t="s">
        <v>94</v>
      </c>
    </row>
    <row r="65" spans="1:2" x14ac:dyDescent="0.25">
      <c r="B65" s="67" t="s">
        <v>95</v>
      </c>
    </row>
    <row r="66" spans="1:2" x14ac:dyDescent="0.25">
      <c r="B66" t="s">
        <v>96</v>
      </c>
    </row>
    <row r="68" spans="1:2" x14ac:dyDescent="0.25">
      <c r="A68" s="6" t="s">
        <v>196</v>
      </c>
      <c r="B68" s="5"/>
    </row>
    <row r="69" spans="1:2" x14ac:dyDescent="0.25">
      <c r="B69" s="5" t="s">
        <v>197</v>
      </c>
    </row>
    <row r="70" spans="1:2" x14ac:dyDescent="0.25">
      <c r="B70" s="5" t="s">
        <v>198</v>
      </c>
    </row>
    <row r="71" spans="1:2" x14ac:dyDescent="0.25">
      <c r="B71" s="5" t="s">
        <v>199</v>
      </c>
    </row>
    <row r="72" spans="1:2" x14ac:dyDescent="0.25">
      <c r="B72" s="5" t="s">
        <v>200</v>
      </c>
    </row>
    <row r="73" spans="1:2" x14ac:dyDescent="0.25">
      <c r="B73" s="31">
        <v>7</v>
      </c>
    </row>
    <row r="75" spans="1:2" x14ac:dyDescent="0.25">
      <c r="A75" s="6" t="s">
        <v>201</v>
      </c>
      <c r="B75" s="5"/>
    </row>
    <row r="76" spans="1:2" x14ac:dyDescent="0.25">
      <c r="B76" s="5" t="s">
        <v>202</v>
      </c>
    </row>
    <row r="77" spans="1:2" x14ac:dyDescent="0.25">
      <c r="B77" s="5" t="s">
        <v>203</v>
      </c>
    </row>
    <row r="78" spans="1:2" x14ac:dyDescent="0.25">
      <c r="B78" s="5" t="s">
        <v>204</v>
      </c>
    </row>
    <row r="80" spans="1:2" x14ac:dyDescent="0.25">
      <c r="A80" s="6" t="s">
        <v>208</v>
      </c>
      <c r="B80" s="5"/>
    </row>
    <row r="81" spans="1:2" x14ac:dyDescent="0.25">
      <c r="B81" s="5" t="s">
        <v>209</v>
      </c>
    </row>
    <row r="82" spans="1:2" x14ac:dyDescent="0.25">
      <c r="B82" s="5" t="s">
        <v>210</v>
      </c>
    </row>
    <row r="83" spans="1:2" x14ac:dyDescent="0.25">
      <c r="B83" s="5" t="s">
        <v>211</v>
      </c>
    </row>
    <row r="84" spans="1:2" x14ac:dyDescent="0.25">
      <c r="B84" s="5" t="s">
        <v>212</v>
      </c>
    </row>
    <row r="85" spans="1:2" x14ac:dyDescent="0.25">
      <c r="B85" s="5" t="s">
        <v>213</v>
      </c>
    </row>
    <row r="86" spans="1:2" x14ac:dyDescent="0.25">
      <c r="B86" s="5" t="s">
        <v>214</v>
      </c>
    </row>
    <row r="87" spans="1:2" x14ac:dyDescent="0.25">
      <c r="B87" s="5" t="s">
        <v>215</v>
      </c>
    </row>
    <row r="88" spans="1:2" x14ac:dyDescent="0.25">
      <c r="B88" s="5" t="s">
        <v>216</v>
      </c>
    </row>
    <row r="89" spans="1:2" x14ac:dyDescent="0.25">
      <c r="B89" s="5" t="s">
        <v>217</v>
      </c>
    </row>
    <row r="90" spans="1:2" x14ac:dyDescent="0.25">
      <c r="B90" s="5"/>
    </row>
    <row r="91" spans="1:2" x14ac:dyDescent="0.25">
      <c r="A91" s="5" t="s">
        <v>218</v>
      </c>
      <c r="B91" s="5"/>
    </row>
    <row r="92" spans="1:2" x14ac:dyDescent="0.25">
      <c r="B92" s="5" t="s">
        <v>219</v>
      </c>
    </row>
    <row r="93" spans="1:2" x14ac:dyDescent="0.25">
      <c r="B93" s="5" t="s">
        <v>220</v>
      </c>
    </row>
    <row r="94" spans="1:2" x14ac:dyDescent="0.25">
      <c r="B94" s="5" t="s">
        <v>221</v>
      </c>
    </row>
    <row r="95" spans="1:2" x14ac:dyDescent="0.25">
      <c r="B95" s="5" t="s">
        <v>212</v>
      </c>
    </row>
    <row r="96" spans="1:2" x14ac:dyDescent="0.25">
      <c r="A96" s="5"/>
      <c r="B96" s="5" t="s">
        <v>222</v>
      </c>
    </row>
    <row r="97" spans="1:2" x14ac:dyDescent="0.25">
      <c r="A97" s="5"/>
      <c r="B97" s="5" t="s">
        <v>223</v>
      </c>
    </row>
    <row r="98" spans="1:2" x14ac:dyDescent="0.25">
      <c r="A98" s="5"/>
      <c r="B98" s="5" t="s">
        <v>224</v>
      </c>
    </row>
    <row r="99" spans="1:2" x14ac:dyDescent="0.25">
      <c r="A99" s="5"/>
      <c r="B99" s="5" t="s">
        <v>215</v>
      </c>
    </row>
    <row r="100" spans="1:2" x14ac:dyDescent="0.25">
      <c r="B100" s="5" t="s">
        <v>225</v>
      </c>
    </row>
    <row r="102" spans="1:2" x14ac:dyDescent="0.25">
      <c r="A102" s="6" t="s">
        <v>269</v>
      </c>
    </row>
    <row r="103" spans="1:2" x14ac:dyDescent="0.25">
      <c r="B103">
        <v>1</v>
      </c>
    </row>
    <row r="104" spans="1:2" x14ac:dyDescent="0.25">
      <c r="B104">
        <v>2</v>
      </c>
    </row>
    <row r="105" spans="1:2" x14ac:dyDescent="0.25">
      <c r="B105">
        <v>3</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Project Assessment</vt:lpstr>
      <vt:lpstr>Debit Calculator</vt:lpstr>
      <vt:lpstr>Measurement Selection Guide</vt:lpstr>
      <vt:lpstr>Existing Conditions</vt:lpstr>
      <vt:lpstr>Proposed Conditions</vt:lpstr>
      <vt:lpstr>Reference Standards</vt:lpstr>
      <vt:lpstr>Pull Down Notes</vt:lpstr>
      <vt:lpstr>BedMaterial</vt:lpstr>
      <vt:lpstr>BEHI.NBS</vt:lpstr>
      <vt:lpstr>'Debit Calculator'!Print_Area</vt:lpstr>
      <vt:lpstr>'Measurement Selection Guide'!Print_Area</vt:lpstr>
      <vt:lpstr>'Project Assessment'!Print_Area</vt:lpstr>
      <vt:lpstr>StreamType</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LeeAnne Lutz</cp:lastModifiedBy>
  <cp:lastPrinted>2019-07-31T17:22:33Z</cp:lastPrinted>
  <dcterms:created xsi:type="dcterms:W3CDTF">2014-08-22T20:36:47Z</dcterms:created>
  <dcterms:modified xsi:type="dcterms:W3CDTF">2019-07-31T17:28:49Z</dcterms:modified>
</cp:coreProperties>
</file>