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Y:\Shared\EPR Folder\CO\v1 FINAL VERSION\CSQT Final Documents\"/>
    </mc:Choice>
  </mc:AlternateContent>
  <xr:revisionPtr revIDLastSave="0" documentId="8_{6C917453-D931-4B78-BE32-8DCEED6B2C9C}" xr6:coauthVersionLast="45" xr6:coauthVersionMax="45" xr10:uidLastSave="{00000000-0000-0000-0000-000000000000}"/>
  <bookViews>
    <workbookView xWindow="-98" yWindow="-98" windowWidth="20715" windowHeight="13276" tabRatio="710" xr2:uid="{D45A5A14-B556-4E12-8812-BB4F1B19B036}"/>
  </bookViews>
  <sheets>
    <sheet name="Project Assessment" sheetId="10" r:id="rId1"/>
    <sheet name="Debit Calculator" sheetId="12" r:id="rId2"/>
    <sheet name="Existing Conditions" sheetId="2" r:id="rId3"/>
    <sheet name="Proposed Conditions" sheetId="13" r:id="rId4"/>
    <sheet name="Flow Alteration Module" sheetId="14" r:id="rId5"/>
    <sheet name="Reference Curves" sheetId="1" state="hidden" r:id="rId6"/>
    <sheet name="Pull Down Notes" sheetId="3" state="hidden" r:id="rId7"/>
  </sheets>
  <definedNames>
    <definedName name="BedMaterial">'Pull Down Notes'!$B$16:$B$21</definedName>
    <definedName name="BedType">'Pull Down Notes'!#REF!</definedName>
    <definedName name="BEHI.NBS">'Pull Down Notes'!$B$29:$B$58</definedName>
    <definedName name="CatchmentAssessment">'Pull Down Notes'!#REF!</definedName>
    <definedName name="CatchmentAssessmentQuat">'Pull Down Notes'!#REF!</definedName>
    <definedName name="DrainageArea">'Pull Down Notes'!#REF!</definedName>
    <definedName name="Flow.Type">'Pull Down Notes'!#REF!</definedName>
    <definedName name="Level">'Pull Down Notes'!#REF!</definedName>
    <definedName name="_xlnm.Print_Area" localSheetId="1">'Debit Calculator'!$A$1:$J$30</definedName>
    <definedName name="_xlnm.Print_Area" localSheetId="2">'Existing Conditions'!$A$3:$J$400</definedName>
    <definedName name="_xlnm.Print_Area" localSheetId="4">'Flow Alteration Module'!$A$3:$H$71</definedName>
    <definedName name="_xlnm.Print_Area" localSheetId="0">'Project Assessment'!$A$4:$I$19</definedName>
    <definedName name="_xlnm.Print_Area" localSheetId="3">'Proposed Conditions'!$A$3:$J$400</definedName>
    <definedName name="ProgramGoals">'Pull Down Notes'!#REF!</definedName>
    <definedName name="Region">'Pull Down Notes'!#REF!</definedName>
    <definedName name="RiverBasins">'Pull Down Notes'!#REF!</definedName>
    <definedName name="StreamType">'Pull Down Notes'!$B$1:$B$13</definedName>
    <definedName name="WaterTypes">'Pull Down Notes'!#REF!</definedName>
    <definedName name="Yes.No">'Pull Down Notes'!$B$62:$B$63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12" l="1"/>
  <c r="J9" i="12"/>
  <c r="J10" i="12"/>
  <c r="J11" i="12"/>
  <c r="J12" i="12"/>
  <c r="J13" i="12"/>
  <c r="J14" i="12"/>
  <c r="J15" i="12"/>
  <c r="J16" i="12"/>
  <c r="J7" i="12"/>
  <c r="B4" i="12"/>
  <c r="B3" i="12"/>
  <c r="B2" i="12"/>
  <c r="B1" i="12"/>
  <c r="A7" i="12"/>
  <c r="A8" i="12"/>
  <c r="A9" i="12"/>
  <c r="A10" i="12"/>
  <c r="A11" i="12"/>
  <c r="A12" i="12"/>
  <c r="A13" i="12"/>
  <c r="A14" i="12"/>
  <c r="A15" i="12"/>
  <c r="A16" i="12"/>
  <c r="B47" i="2"/>
  <c r="B46" i="2"/>
  <c r="B87" i="2"/>
  <c r="B86" i="2"/>
  <c r="B127" i="2"/>
  <c r="B126" i="2"/>
  <c r="B167" i="2"/>
  <c r="B166" i="2"/>
  <c r="B207" i="2"/>
  <c r="B206" i="2"/>
  <c r="B247" i="2"/>
  <c r="B246" i="2"/>
  <c r="B287" i="2"/>
  <c r="B286" i="2"/>
  <c r="B327" i="2"/>
  <c r="B326" i="2"/>
  <c r="B367" i="2"/>
  <c r="B366" i="2"/>
  <c r="B7" i="2"/>
  <c r="B6" i="2"/>
  <c r="F394" i="13"/>
  <c r="F354" i="13"/>
  <c r="F314" i="13"/>
  <c r="F274" i="13"/>
  <c r="F234" i="13"/>
  <c r="F194" i="13"/>
  <c r="F154" i="13"/>
  <c r="F114" i="13"/>
  <c r="F74" i="13"/>
  <c r="F34" i="13"/>
  <c r="F394" i="2"/>
  <c r="F354" i="2"/>
  <c r="F314" i="2"/>
  <c r="F274" i="2"/>
  <c r="F234" i="2"/>
  <c r="F194" i="2"/>
  <c r="F154" i="2"/>
  <c r="F114" i="2"/>
  <c r="F74" i="2"/>
  <c r="F34" i="2"/>
  <c r="F391" i="13"/>
  <c r="F351" i="13"/>
  <c r="F311" i="13"/>
  <c r="F271" i="13"/>
  <c r="F231" i="13"/>
  <c r="F191" i="13"/>
  <c r="F151" i="13"/>
  <c r="F111" i="13"/>
  <c r="F71" i="13"/>
  <c r="F31" i="13"/>
  <c r="F391" i="2"/>
  <c r="F351" i="2"/>
  <c r="F311" i="2"/>
  <c r="F271" i="2"/>
  <c r="F231" i="2"/>
  <c r="F191" i="2"/>
  <c r="F151" i="2"/>
  <c r="F111" i="2"/>
  <c r="F71" i="2"/>
  <c r="F31" i="2"/>
  <c r="F398" i="13" l="1"/>
  <c r="F358" i="13"/>
  <c r="F318" i="13"/>
  <c r="F278" i="13"/>
  <c r="F238" i="13"/>
  <c r="F198" i="13"/>
  <c r="F158" i="13"/>
  <c r="F118" i="13"/>
  <c r="F78" i="13"/>
  <c r="F38" i="13"/>
  <c r="F398" i="2"/>
  <c r="F358" i="2"/>
  <c r="F318" i="2"/>
  <c r="F278" i="2"/>
  <c r="F238" i="2"/>
  <c r="F198" i="2"/>
  <c r="F158" i="2"/>
  <c r="F118" i="2"/>
  <c r="F78" i="2"/>
  <c r="F38" i="2"/>
  <c r="F400" i="13"/>
  <c r="F399" i="13"/>
  <c r="F397" i="13"/>
  <c r="F396" i="13"/>
  <c r="F395" i="13"/>
  <c r="F393" i="13"/>
  <c r="F392" i="13"/>
  <c r="F390" i="13"/>
  <c r="F389" i="13"/>
  <c r="F388" i="13"/>
  <c r="F387" i="13"/>
  <c r="F386" i="13"/>
  <c r="F385" i="13"/>
  <c r="F384" i="13"/>
  <c r="F383" i="13"/>
  <c r="F382" i="13"/>
  <c r="F381" i="13"/>
  <c r="F380" i="13"/>
  <c r="F379" i="13"/>
  <c r="F378" i="13"/>
  <c r="F377" i="13"/>
  <c r="F376" i="13"/>
  <c r="F375" i="13"/>
  <c r="F373" i="13"/>
  <c r="F372" i="13"/>
  <c r="F360" i="13"/>
  <c r="F359" i="13"/>
  <c r="F357" i="13"/>
  <c r="F356" i="13"/>
  <c r="F355" i="13"/>
  <c r="F353" i="13"/>
  <c r="F352" i="13"/>
  <c r="F350" i="13"/>
  <c r="F349" i="13"/>
  <c r="F348" i="13"/>
  <c r="F347" i="13"/>
  <c r="F346" i="13"/>
  <c r="F345" i="13"/>
  <c r="F344" i="13"/>
  <c r="F343" i="13"/>
  <c r="F342" i="13"/>
  <c r="F341" i="13"/>
  <c r="F340" i="13"/>
  <c r="F339" i="13"/>
  <c r="F338" i="13"/>
  <c r="F337" i="13"/>
  <c r="F336" i="13"/>
  <c r="F335" i="13"/>
  <c r="F333" i="13"/>
  <c r="F332" i="13"/>
  <c r="F320" i="13"/>
  <c r="F319" i="13"/>
  <c r="F317" i="13"/>
  <c r="F316" i="13"/>
  <c r="F315" i="13"/>
  <c r="F313" i="13"/>
  <c r="F312" i="13"/>
  <c r="F310" i="13"/>
  <c r="F309" i="13"/>
  <c r="F308" i="13"/>
  <c r="F307" i="13"/>
  <c r="F306" i="13"/>
  <c r="F305" i="13"/>
  <c r="F304" i="13"/>
  <c r="F303" i="13"/>
  <c r="F302" i="13"/>
  <c r="F301" i="13"/>
  <c r="F300" i="13"/>
  <c r="F299" i="13"/>
  <c r="F298" i="13"/>
  <c r="F297" i="13"/>
  <c r="F296" i="13"/>
  <c r="F295" i="13"/>
  <c r="F293" i="13"/>
  <c r="F292" i="13"/>
  <c r="F280" i="13"/>
  <c r="F279" i="13"/>
  <c r="F277" i="13"/>
  <c r="F276" i="13"/>
  <c r="F275" i="13"/>
  <c r="F273" i="13"/>
  <c r="F272" i="13"/>
  <c r="F270" i="13"/>
  <c r="F269" i="13"/>
  <c r="F268" i="13"/>
  <c r="F267" i="13"/>
  <c r="F266" i="13"/>
  <c r="F265" i="13"/>
  <c r="F264" i="13"/>
  <c r="F263" i="13"/>
  <c r="F262" i="13"/>
  <c r="F261" i="13"/>
  <c r="F260" i="13"/>
  <c r="F259" i="13"/>
  <c r="F258" i="13"/>
  <c r="F257" i="13"/>
  <c r="F256" i="13"/>
  <c r="F255" i="13"/>
  <c r="F253" i="13"/>
  <c r="F252" i="13"/>
  <c r="F240" i="13"/>
  <c r="F239" i="13"/>
  <c r="F237" i="13"/>
  <c r="F236" i="13"/>
  <c r="F235" i="13"/>
  <c r="F233" i="13"/>
  <c r="F232" i="13"/>
  <c r="F230" i="13"/>
  <c r="F229" i="13"/>
  <c r="F228" i="13"/>
  <c r="F227" i="13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F213" i="13"/>
  <c r="F212" i="13"/>
  <c r="F200" i="13"/>
  <c r="F199" i="13"/>
  <c r="F197" i="13"/>
  <c r="F196" i="13"/>
  <c r="F195" i="13"/>
  <c r="F193" i="13"/>
  <c r="F192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3" i="13"/>
  <c r="F172" i="13"/>
  <c r="F160" i="13"/>
  <c r="F159" i="13"/>
  <c r="F157" i="13"/>
  <c r="F156" i="13"/>
  <c r="F155" i="13"/>
  <c r="F153" i="13"/>
  <c r="F152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3" i="13"/>
  <c r="F132" i="13"/>
  <c r="F120" i="13"/>
  <c r="F119" i="13"/>
  <c r="F116" i="13"/>
  <c r="F115" i="13"/>
  <c r="F113" i="13"/>
  <c r="F112" i="13"/>
  <c r="F108" i="13"/>
  <c r="F106" i="13"/>
  <c r="F104" i="13"/>
  <c r="F103" i="13"/>
  <c r="F102" i="13"/>
  <c r="F101" i="13"/>
  <c r="F100" i="13"/>
  <c r="F99" i="13"/>
  <c r="F98" i="13"/>
  <c r="F95" i="13"/>
  <c r="F93" i="13"/>
  <c r="F92" i="13"/>
  <c r="F80" i="13"/>
  <c r="F79" i="13"/>
  <c r="F76" i="13"/>
  <c r="F75" i="13"/>
  <c r="F73" i="13"/>
  <c r="F72" i="13"/>
  <c r="F68" i="13"/>
  <c r="F66" i="13"/>
  <c r="F64" i="13"/>
  <c r="F63" i="13"/>
  <c r="F62" i="13"/>
  <c r="F61" i="13"/>
  <c r="F60" i="13"/>
  <c r="F59" i="13"/>
  <c r="F58" i="13"/>
  <c r="F55" i="13"/>
  <c r="F53" i="13"/>
  <c r="F52" i="13"/>
  <c r="F400" i="2"/>
  <c r="F399" i="2"/>
  <c r="F397" i="2"/>
  <c r="F396" i="2"/>
  <c r="F395" i="2"/>
  <c r="F393" i="2"/>
  <c r="F392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3" i="2"/>
  <c r="F372" i="2"/>
  <c r="F360" i="2"/>
  <c r="F359" i="2"/>
  <c r="F357" i="2"/>
  <c r="F356" i="2"/>
  <c r="F355" i="2"/>
  <c r="F353" i="2"/>
  <c r="F352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3" i="2"/>
  <c r="F332" i="2"/>
  <c r="F320" i="2"/>
  <c r="F319" i="2"/>
  <c r="F317" i="2"/>
  <c r="F316" i="2"/>
  <c r="F315" i="2"/>
  <c r="F313" i="2"/>
  <c r="F312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3" i="2"/>
  <c r="F292" i="2"/>
  <c r="F280" i="2"/>
  <c r="F279" i="2"/>
  <c r="F277" i="2"/>
  <c r="F276" i="2"/>
  <c r="F275" i="2"/>
  <c r="F273" i="2"/>
  <c r="F272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3" i="2"/>
  <c r="F252" i="2"/>
  <c r="F240" i="2"/>
  <c r="F239" i="2"/>
  <c r="F237" i="2"/>
  <c r="F236" i="2"/>
  <c r="F235" i="2"/>
  <c r="F233" i="2"/>
  <c r="F232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3" i="2"/>
  <c r="F212" i="2"/>
  <c r="F200" i="2"/>
  <c r="F199" i="2"/>
  <c r="F197" i="2"/>
  <c r="F196" i="2"/>
  <c r="F195" i="2"/>
  <c r="F193" i="2"/>
  <c r="F192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3" i="2"/>
  <c r="F172" i="2"/>
  <c r="F160" i="2"/>
  <c r="F159" i="2"/>
  <c r="F157" i="2"/>
  <c r="F156" i="2"/>
  <c r="F155" i="2"/>
  <c r="F153" i="2"/>
  <c r="F152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3" i="2"/>
  <c r="F132" i="2"/>
  <c r="F120" i="2"/>
  <c r="F119" i="2"/>
  <c r="F117" i="2"/>
  <c r="F116" i="2"/>
  <c r="F115" i="2"/>
  <c r="F113" i="2"/>
  <c r="F112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3" i="2"/>
  <c r="F92" i="2"/>
  <c r="F80" i="2"/>
  <c r="F79" i="2"/>
  <c r="F77" i="2"/>
  <c r="F76" i="2"/>
  <c r="F75" i="2"/>
  <c r="F73" i="2"/>
  <c r="F72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3" i="2"/>
  <c r="F52" i="2"/>
  <c r="F27" i="2"/>
  <c r="F15" i="2"/>
  <c r="C364" i="13" l="1"/>
  <c r="D364" i="13"/>
  <c r="B365" i="13"/>
  <c r="C365" i="13"/>
  <c r="D365" i="13"/>
  <c r="B366" i="13"/>
  <c r="C366" i="13"/>
  <c r="D366" i="13"/>
  <c r="B367" i="13"/>
  <c r="C367" i="13"/>
  <c r="D367" i="13"/>
  <c r="C368" i="13"/>
  <c r="D368" i="13"/>
  <c r="A365" i="13"/>
  <c r="A366" i="13"/>
  <c r="A367" i="13"/>
  <c r="A368" i="13"/>
  <c r="A364" i="13"/>
  <c r="C324" i="13"/>
  <c r="D324" i="13"/>
  <c r="B325" i="13"/>
  <c r="C325" i="13"/>
  <c r="D325" i="13"/>
  <c r="B326" i="13"/>
  <c r="C326" i="13"/>
  <c r="D326" i="13"/>
  <c r="B327" i="13"/>
  <c r="C327" i="13"/>
  <c r="D327" i="13"/>
  <c r="C328" i="13"/>
  <c r="D328" i="13"/>
  <c r="A325" i="13"/>
  <c r="A326" i="13"/>
  <c r="A327" i="13"/>
  <c r="A328" i="13"/>
  <c r="A324" i="13"/>
  <c r="C284" i="13"/>
  <c r="D284" i="13"/>
  <c r="B285" i="13"/>
  <c r="C285" i="13"/>
  <c r="D285" i="13"/>
  <c r="B286" i="13"/>
  <c r="C286" i="13"/>
  <c r="D286" i="13"/>
  <c r="B287" i="13"/>
  <c r="C287" i="13"/>
  <c r="D287" i="13"/>
  <c r="C288" i="13"/>
  <c r="D288" i="13"/>
  <c r="A285" i="13"/>
  <c r="A286" i="13"/>
  <c r="A287" i="13"/>
  <c r="A288" i="13"/>
  <c r="A284" i="13"/>
  <c r="J245" i="13"/>
  <c r="J246" i="13"/>
  <c r="J247" i="13"/>
  <c r="J244" i="13"/>
  <c r="G245" i="13"/>
  <c r="G246" i="13"/>
  <c r="G247" i="13"/>
  <c r="G248" i="13"/>
  <c r="G244" i="13"/>
  <c r="C244" i="13"/>
  <c r="D244" i="13"/>
  <c r="B245" i="13"/>
  <c r="C245" i="13"/>
  <c r="D245" i="13"/>
  <c r="B246" i="13"/>
  <c r="C246" i="13"/>
  <c r="D246" i="13"/>
  <c r="B247" i="13"/>
  <c r="C247" i="13"/>
  <c r="D247" i="13"/>
  <c r="C248" i="13"/>
  <c r="D248" i="13"/>
  <c r="A245" i="13"/>
  <c r="A246" i="13"/>
  <c r="A247" i="13"/>
  <c r="A248" i="13"/>
  <c r="A244" i="13"/>
  <c r="J205" i="13"/>
  <c r="J206" i="13"/>
  <c r="J207" i="13"/>
  <c r="J204" i="13"/>
  <c r="G205" i="13"/>
  <c r="G206" i="13"/>
  <c r="G207" i="13"/>
  <c r="G208" i="13"/>
  <c r="G204" i="13"/>
  <c r="C204" i="13"/>
  <c r="D204" i="13"/>
  <c r="B205" i="13"/>
  <c r="C205" i="13"/>
  <c r="D205" i="13"/>
  <c r="B206" i="13"/>
  <c r="C206" i="13"/>
  <c r="D206" i="13"/>
  <c r="B207" i="13"/>
  <c r="C207" i="13"/>
  <c r="D207" i="13"/>
  <c r="C208" i="13"/>
  <c r="D208" i="13"/>
  <c r="A205" i="13"/>
  <c r="A206" i="13"/>
  <c r="A207" i="13"/>
  <c r="A208" i="13"/>
  <c r="A204" i="13"/>
  <c r="J165" i="13"/>
  <c r="J166" i="13"/>
  <c r="J167" i="13"/>
  <c r="J164" i="13"/>
  <c r="G165" i="13"/>
  <c r="G166" i="13"/>
  <c r="G167" i="13"/>
  <c r="G168" i="13"/>
  <c r="G164" i="13"/>
  <c r="C164" i="13"/>
  <c r="D164" i="13"/>
  <c r="C165" i="13"/>
  <c r="D165" i="13"/>
  <c r="C166" i="13"/>
  <c r="D166" i="13"/>
  <c r="C167" i="13"/>
  <c r="D167" i="13"/>
  <c r="C168" i="13"/>
  <c r="D168" i="13"/>
  <c r="B165" i="13"/>
  <c r="B166" i="13"/>
  <c r="B167" i="13"/>
  <c r="A165" i="13"/>
  <c r="A166" i="13"/>
  <c r="A167" i="13"/>
  <c r="A168" i="13"/>
  <c r="A164" i="13"/>
  <c r="J125" i="13"/>
  <c r="J126" i="13"/>
  <c r="J127" i="13"/>
  <c r="J124" i="13"/>
  <c r="G125" i="13"/>
  <c r="G126" i="13"/>
  <c r="G127" i="13"/>
  <c r="G128" i="13"/>
  <c r="G124" i="13"/>
  <c r="D125" i="13"/>
  <c r="D126" i="13"/>
  <c r="D127" i="13"/>
  <c r="D128" i="13"/>
  <c r="D124" i="13"/>
  <c r="C125" i="13"/>
  <c r="C126" i="13"/>
  <c r="C127" i="13"/>
  <c r="C128" i="13"/>
  <c r="C124" i="13"/>
  <c r="B125" i="13"/>
  <c r="B126" i="13"/>
  <c r="B127" i="13"/>
  <c r="A125" i="13"/>
  <c r="A126" i="13"/>
  <c r="A127" i="13"/>
  <c r="A128" i="13"/>
  <c r="A124" i="13"/>
  <c r="J85" i="13"/>
  <c r="J86" i="13"/>
  <c r="J87" i="13"/>
  <c r="J84" i="13"/>
  <c r="G85" i="13"/>
  <c r="F117" i="13" s="1"/>
  <c r="G86" i="13"/>
  <c r="G87" i="13"/>
  <c r="G88" i="13"/>
  <c r="G84" i="13"/>
  <c r="D85" i="13"/>
  <c r="D86" i="13"/>
  <c r="F109" i="13" s="1"/>
  <c r="D87" i="13"/>
  <c r="D88" i="13"/>
  <c r="F96" i="13" s="1"/>
  <c r="D84" i="13"/>
  <c r="F107" i="13" s="1"/>
  <c r="C85" i="13"/>
  <c r="C86" i="13"/>
  <c r="C87" i="13"/>
  <c r="C88" i="13"/>
  <c r="C84" i="13"/>
  <c r="B85" i="13"/>
  <c r="B86" i="13"/>
  <c r="B87" i="13"/>
  <c r="A85" i="13"/>
  <c r="A86" i="13"/>
  <c r="A87" i="13"/>
  <c r="A88" i="13"/>
  <c r="A84" i="13"/>
  <c r="J45" i="13"/>
  <c r="J46" i="13"/>
  <c r="J47" i="13"/>
  <c r="J44" i="13"/>
  <c r="G45" i="13"/>
  <c r="F77" i="13" s="1"/>
  <c r="G46" i="13"/>
  <c r="G47" i="13"/>
  <c r="G48" i="13"/>
  <c r="G44" i="13"/>
  <c r="D45" i="13"/>
  <c r="D46" i="13"/>
  <c r="F69" i="13" s="1"/>
  <c r="D47" i="13"/>
  <c r="D48" i="13"/>
  <c r="F56" i="13" s="1"/>
  <c r="D44" i="13"/>
  <c r="F67" i="13" s="1"/>
  <c r="C45" i="13"/>
  <c r="C46" i="13"/>
  <c r="C47" i="13"/>
  <c r="C48" i="13"/>
  <c r="C44" i="13"/>
  <c r="A45" i="13"/>
  <c r="A46" i="13"/>
  <c r="A47" i="13"/>
  <c r="A48" i="13"/>
  <c r="A44" i="13"/>
  <c r="B45" i="13"/>
  <c r="H365" i="2"/>
  <c r="H366" i="2"/>
  <c r="H367" i="2"/>
  <c r="H364" i="2"/>
  <c r="E365" i="2"/>
  <c r="E366" i="2"/>
  <c r="E367" i="2"/>
  <c r="E368" i="2"/>
  <c r="E364" i="2"/>
  <c r="C365" i="2"/>
  <c r="C366" i="2"/>
  <c r="C367" i="2"/>
  <c r="C368" i="2"/>
  <c r="C364" i="2"/>
  <c r="A365" i="2"/>
  <c r="A366" i="2"/>
  <c r="A367" i="2"/>
  <c r="A368" i="2"/>
  <c r="A364" i="2"/>
  <c r="H325" i="2"/>
  <c r="H326" i="2"/>
  <c r="H327" i="2"/>
  <c r="H324" i="2"/>
  <c r="E325" i="2"/>
  <c r="E326" i="2"/>
  <c r="E327" i="2"/>
  <c r="E328" i="2"/>
  <c r="E324" i="2"/>
  <c r="C325" i="2"/>
  <c r="C326" i="2"/>
  <c r="C327" i="2"/>
  <c r="C328" i="2"/>
  <c r="C324" i="2"/>
  <c r="A325" i="2"/>
  <c r="A326" i="2"/>
  <c r="A327" i="2"/>
  <c r="A328" i="2"/>
  <c r="A324" i="2"/>
  <c r="H285" i="2"/>
  <c r="H286" i="2"/>
  <c r="H287" i="2"/>
  <c r="H284" i="2"/>
  <c r="E285" i="2"/>
  <c r="E286" i="2"/>
  <c r="E287" i="2"/>
  <c r="E288" i="2"/>
  <c r="E284" i="2"/>
  <c r="C285" i="2"/>
  <c r="C286" i="2"/>
  <c r="C287" i="2"/>
  <c r="C288" i="2"/>
  <c r="C284" i="2"/>
  <c r="A285" i="2"/>
  <c r="A286" i="2"/>
  <c r="A287" i="2"/>
  <c r="A288" i="2"/>
  <c r="A284" i="2"/>
  <c r="H245" i="2"/>
  <c r="H246" i="2"/>
  <c r="H247" i="2"/>
  <c r="H244" i="2"/>
  <c r="E245" i="2"/>
  <c r="E246" i="2"/>
  <c r="E247" i="2"/>
  <c r="E248" i="2"/>
  <c r="E244" i="2"/>
  <c r="C245" i="2"/>
  <c r="C246" i="2"/>
  <c r="C247" i="2"/>
  <c r="C248" i="2"/>
  <c r="C244" i="2"/>
  <c r="A245" i="2"/>
  <c r="A246" i="2"/>
  <c r="A247" i="2"/>
  <c r="A248" i="2"/>
  <c r="A244" i="2"/>
  <c r="H205" i="2"/>
  <c r="H206" i="2"/>
  <c r="H207" i="2"/>
  <c r="H204" i="2"/>
  <c r="E205" i="2"/>
  <c r="E206" i="2"/>
  <c r="E207" i="2"/>
  <c r="E208" i="2"/>
  <c r="E204" i="2"/>
  <c r="C205" i="2"/>
  <c r="C206" i="2"/>
  <c r="C207" i="2"/>
  <c r="C208" i="2"/>
  <c r="C204" i="2"/>
  <c r="A205" i="2"/>
  <c r="A206" i="2"/>
  <c r="A207" i="2"/>
  <c r="A208" i="2"/>
  <c r="A204" i="2"/>
  <c r="H165" i="2"/>
  <c r="H166" i="2"/>
  <c r="H167" i="2"/>
  <c r="H164" i="2"/>
  <c r="E165" i="2"/>
  <c r="E166" i="2"/>
  <c r="E167" i="2"/>
  <c r="E168" i="2"/>
  <c r="E164" i="2"/>
  <c r="C165" i="2"/>
  <c r="C166" i="2"/>
  <c r="C167" i="2"/>
  <c r="C168" i="2"/>
  <c r="C164" i="2"/>
  <c r="A165" i="2"/>
  <c r="A166" i="2"/>
  <c r="A167" i="2"/>
  <c r="A168" i="2"/>
  <c r="A164" i="2"/>
  <c r="H125" i="2"/>
  <c r="H126" i="2"/>
  <c r="H127" i="2"/>
  <c r="H124" i="2"/>
  <c r="E125" i="2"/>
  <c r="E126" i="2"/>
  <c r="E127" i="2"/>
  <c r="E128" i="2"/>
  <c r="E124" i="2"/>
  <c r="C125" i="2"/>
  <c r="C126" i="2"/>
  <c r="C127" i="2"/>
  <c r="C128" i="2"/>
  <c r="C124" i="2"/>
  <c r="A125" i="2"/>
  <c r="A126" i="2"/>
  <c r="A127" i="2"/>
  <c r="A128" i="2"/>
  <c r="A124" i="2"/>
  <c r="H85" i="2"/>
  <c r="H86" i="2"/>
  <c r="H87" i="2"/>
  <c r="H84" i="2"/>
  <c r="E85" i="2"/>
  <c r="E86" i="2"/>
  <c r="E87" i="2"/>
  <c r="E88" i="2"/>
  <c r="E84" i="2"/>
  <c r="C85" i="2"/>
  <c r="C86" i="2"/>
  <c r="C87" i="2"/>
  <c r="C88" i="2"/>
  <c r="C84" i="2"/>
  <c r="A85" i="2"/>
  <c r="A86" i="2"/>
  <c r="A87" i="2"/>
  <c r="A88" i="2"/>
  <c r="A84" i="2"/>
  <c r="H45" i="2"/>
  <c r="H46" i="2"/>
  <c r="H47" i="2"/>
  <c r="H44" i="2"/>
  <c r="E45" i="2"/>
  <c r="E46" i="2"/>
  <c r="E47" i="2"/>
  <c r="E48" i="2"/>
  <c r="E44" i="2"/>
  <c r="C45" i="2"/>
  <c r="C46" i="2"/>
  <c r="C47" i="2"/>
  <c r="C48" i="2"/>
  <c r="C44" i="2"/>
  <c r="A45" i="2"/>
  <c r="A46" i="2"/>
  <c r="A47" i="2"/>
  <c r="A48" i="2"/>
  <c r="A44" i="2"/>
  <c r="F105" i="13" l="1"/>
  <c r="F97" i="13"/>
  <c r="F110" i="13"/>
  <c r="F70" i="13"/>
  <c r="F57" i="13"/>
  <c r="F65" i="13"/>
  <c r="B88" i="2"/>
  <c r="B88" i="13" s="1"/>
  <c r="B128" i="2"/>
  <c r="B128" i="13" s="1"/>
  <c r="B168" i="2"/>
  <c r="B168" i="13" s="1"/>
  <c r="B208" i="2"/>
  <c r="B208" i="13" s="1"/>
  <c r="B248" i="2"/>
  <c r="B248" i="13" s="1"/>
  <c r="B288" i="2"/>
  <c r="B288" i="13" s="1"/>
  <c r="B328" i="2"/>
  <c r="B328" i="13" s="1"/>
  <c r="B368" i="2"/>
  <c r="B368" i="13" s="1"/>
  <c r="B48" i="2"/>
  <c r="B8" i="2"/>
  <c r="B4" i="2"/>
  <c r="B44" i="2"/>
  <c r="B44" i="13" s="1"/>
  <c r="B84" i="2"/>
  <c r="B84" i="13" s="1"/>
  <c r="B124" i="2"/>
  <c r="B124" i="13" s="1"/>
  <c r="B164" i="2"/>
  <c r="B164" i="13" s="1"/>
  <c r="B204" i="2"/>
  <c r="B204" i="13" s="1"/>
  <c r="B244" i="2"/>
  <c r="B244" i="13" s="1"/>
  <c r="B284" i="2"/>
  <c r="B284" i="13" s="1"/>
  <c r="B324" i="2"/>
  <c r="B324" i="13" s="1"/>
  <c r="B364" i="2"/>
  <c r="B364" i="13" s="1"/>
  <c r="G22" i="12" l="1"/>
  <c r="H21" i="12"/>
  <c r="G21" i="12"/>
  <c r="B7" i="12" l="1"/>
  <c r="B8" i="12"/>
  <c r="B9" i="12"/>
  <c r="B10" i="12"/>
  <c r="B11" i="12"/>
  <c r="B12" i="12"/>
  <c r="B13" i="12"/>
  <c r="E13" i="12" s="1"/>
  <c r="B14" i="12"/>
  <c r="E14" i="12" s="1"/>
  <c r="B15" i="12"/>
  <c r="E15" i="12" s="1"/>
  <c r="B16" i="12"/>
  <c r="E16" i="12" s="1"/>
  <c r="G71" i="14" l="1"/>
  <c r="G70" i="14"/>
  <c r="G69" i="14"/>
  <c r="G68" i="14"/>
  <c r="G67" i="14"/>
  <c r="G66" i="14"/>
  <c r="D71" i="14"/>
  <c r="D70" i="14"/>
  <c r="D69" i="14"/>
  <c r="D68" i="14"/>
  <c r="D67" i="14"/>
  <c r="D66" i="14"/>
  <c r="E66" i="14" s="1"/>
  <c r="G62" i="14"/>
  <c r="G61" i="14"/>
  <c r="G60" i="14"/>
  <c r="G59" i="14"/>
  <c r="G58" i="14"/>
  <c r="G57" i="14"/>
  <c r="D62" i="14"/>
  <c r="D61" i="14"/>
  <c r="D60" i="14"/>
  <c r="D59" i="14"/>
  <c r="D58" i="14"/>
  <c r="D57" i="14"/>
  <c r="G53" i="14"/>
  <c r="G52" i="14"/>
  <c r="G51" i="14"/>
  <c r="G50" i="14"/>
  <c r="G49" i="14"/>
  <c r="G48" i="14"/>
  <c r="D53" i="14"/>
  <c r="D52" i="14"/>
  <c r="D51" i="14"/>
  <c r="D50" i="14"/>
  <c r="D49" i="14"/>
  <c r="D48" i="14"/>
  <c r="G44" i="14"/>
  <c r="G43" i="14"/>
  <c r="G42" i="14"/>
  <c r="G41" i="14"/>
  <c r="G40" i="14"/>
  <c r="G39" i="14"/>
  <c r="D44" i="14"/>
  <c r="D43" i="14"/>
  <c r="E39" i="14" s="1"/>
  <c r="D42" i="14"/>
  <c r="D41" i="14"/>
  <c r="D40" i="14"/>
  <c r="D39" i="14"/>
  <c r="G35" i="14"/>
  <c r="G34" i="14"/>
  <c r="G33" i="14"/>
  <c r="G32" i="14"/>
  <c r="G31" i="14"/>
  <c r="G30" i="14"/>
  <c r="D35" i="14"/>
  <c r="D34" i="14"/>
  <c r="D33" i="14"/>
  <c r="D32" i="14"/>
  <c r="D31" i="14"/>
  <c r="D30" i="14"/>
  <c r="G26" i="14"/>
  <c r="G25" i="14"/>
  <c r="G24" i="14"/>
  <c r="G23" i="14"/>
  <c r="G22" i="14"/>
  <c r="G21" i="14"/>
  <c r="D22" i="14"/>
  <c r="D23" i="14"/>
  <c r="D24" i="14"/>
  <c r="D25" i="14"/>
  <c r="D26" i="14"/>
  <c r="D21" i="14"/>
  <c r="G12" i="14"/>
  <c r="G368" i="13"/>
  <c r="J367" i="13"/>
  <c r="G367" i="13"/>
  <c r="J366" i="13"/>
  <c r="G366" i="13"/>
  <c r="J365" i="13"/>
  <c r="G365" i="13"/>
  <c r="G374" i="13"/>
  <c r="J364" i="13"/>
  <c r="G364" i="13"/>
  <c r="A370" i="13"/>
  <c r="G328" i="13"/>
  <c r="J327" i="13"/>
  <c r="G327" i="13"/>
  <c r="J326" i="13"/>
  <c r="G326" i="13"/>
  <c r="J325" i="13"/>
  <c r="G325" i="13"/>
  <c r="J324" i="13"/>
  <c r="G324" i="13"/>
  <c r="G288" i="13"/>
  <c r="J287" i="13"/>
  <c r="G287" i="13"/>
  <c r="J286" i="13"/>
  <c r="G286" i="13"/>
  <c r="J285" i="13"/>
  <c r="G285" i="13"/>
  <c r="J284" i="13"/>
  <c r="G284" i="13"/>
  <c r="G294" i="13" s="1"/>
  <c r="G277" i="13"/>
  <c r="A250" i="13"/>
  <c r="G236" i="13"/>
  <c r="G214" i="13"/>
  <c r="A210" i="13"/>
  <c r="G153" i="13"/>
  <c r="G94" i="13"/>
  <c r="A90" i="13"/>
  <c r="B48" i="13"/>
  <c r="B47" i="13"/>
  <c r="B46" i="13"/>
  <c r="G54" i="13"/>
  <c r="A50" i="13"/>
  <c r="J7" i="13"/>
  <c r="J6" i="13"/>
  <c r="J5" i="13"/>
  <c r="J4" i="13"/>
  <c r="G8" i="13"/>
  <c r="F40" i="13" s="1"/>
  <c r="G7" i="13"/>
  <c r="G6" i="13"/>
  <c r="G5" i="13"/>
  <c r="F37" i="13" s="1"/>
  <c r="G37" i="13" s="1"/>
  <c r="G4" i="13"/>
  <c r="D8" i="13"/>
  <c r="F16" i="13" s="1"/>
  <c r="D7" i="13"/>
  <c r="D6" i="13"/>
  <c r="D5" i="13"/>
  <c r="D4" i="13"/>
  <c r="F27" i="13" s="1"/>
  <c r="B5" i="13"/>
  <c r="F25" i="13" s="1"/>
  <c r="B6" i="13"/>
  <c r="B7" i="13"/>
  <c r="B8" i="13"/>
  <c r="B4" i="13"/>
  <c r="A10" i="13" s="1"/>
  <c r="A330" i="13"/>
  <c r="A290" i="13"/>
  <c r="A170" i="13"/>
  <c r="A130" i="13"/>
  <c r="G397" i="13"/>
  <c r="G396" i="13"/>
  <c r="G395" i="13"/>
  <c r="G393" i="13"/>
  <c r="G381" i="13"/>
  <c r="G357" i="13"/>
  <c r="G356" i="13"/>
  <c r="G355" i="13"/>
  <c r="G334" i="13"/>
  <c r="G332" i="13"/>
  <c r="G317" i="13"/>
  <c r="G316" i="13"/>
  <c r="G315" i="13"/>
  <c r="G276" i="13"/>
  <c r="G275" i="13"/>
  <c r="G254" i="13"/>
  <c r="G237" i="13"/>
  <c r="G235" i="13"/>
  <c r="G219" i="13"/>
  <c r="G197" i="13"/>
  <c r="G196" i="13"/>
  <c r="G195" i="13"/>
  <c r="G157" i="13"/>
  <c r="G156" i="13"/>
  <c r="G155" i="13"/>
  <c r="G134" i="13"/>
  <c r="G117" i="13"/>
  <c r="G116" i="13"/>
  <c r="G115" i="13"/>
  <c r="G77" i="13"/>
  <c r="G76" i="13"/>
  <c r="G75" i="13"/>
  <c r="F39" i="13"/>
  <c r="F36" i="13"/>
  <c r="G36" i="13" s="1"/>
  <c r="F35" i="13"/>
  <c r="G35" i="13" s="1"/>
  <c r="F32" i="13"/>
  <c r="F29" i="13"/>
  <c r="F28" i="13"/>
  <c r="F26" i="13"/>
  <c r="F24" i="13"/>
  <c r="F23" i="13"/>
  <c r="F22" i="13"/>
  <c r="F21" i="13"/>
  <c r="F20" i="13"/>
  <c r="F19" i="13"/>
  <c r="F18" i="13"/>
  <c r="F13" i="13"/>
  <c r="F12" i="13"/>
  <c r="H66" i="14" l="1"/>
  <c r="E30" i="14"/>
  <c r="H21" i="14"/>
  <c r="G10" i="14" s="1"/>
  <c r="G14" i="14" s="1"/>
  <c r="F15" i="13"/>
  <c r="G14" i="13" s="1"/>
  <c r="F30" i="13"/>
  <c r="G29" i="13" s="1"/>
  <c r="H30" i="14"/>
  <c r="E48" i="14"/>
  <c r="G101" i="13"/>
  <c r="F33" i="13"/>
  <c r="G33" i="13" s="1"/>
  <c r="H33" i="13" s="1"/>
  <c r="I33" i="13" s="1"/>
  <c r="G233" i="13"/>
  <c r="H233" i="13" s="1"/>
  <c r="I233" i="13" s="1"/>
  <c r="G12" i="13"/>
  <c r="G353" i="13"/>
  <c r="H353" i="13" s="1"/>
  <c r="I353" i="13" s="1"/>
  <c r="G59" i="13"/>
  <c r="G252" i="13"/>
  <c r="G292" i="13"/>
  <c r="G261" i="13"/>
  <c r="H39" i="14"/>
  <c r="H48" i="14"/>
  <c r="H57" i="14"/>
  <c r="E57" i="14"/>
  <c r="E21" i="14"/>
  <c r="G9" i="14" s="1"/>
  <c r="G13" i="14" s="1"/>
  <c r="G52" i="13"/>
  <c r="G92" i="13"/>
  <c r="G113" i="13"/>
  <c r="H113" i="13" s="1"/>
  <c r="I113" i="13" s="1"/>
  <c r="G179" i="13"/>
  <c r="G372" i="13"/>
  <c r="G376" i="13"/>
  <c r="H372" i="13" s="1"/>
  <c r="I372" i="13" s="1"/>
  <c r="G379" i="13"/>
  <c r="H393" i="13"/>
  <c r="I393" i="13" s="1"/>
  <c r="G301" i="13"/>
  <c r="G389" i="13"/>
  <c r="G398" i="13"/>
  <c r="H397" i="13" s="1"/>
  <c r="I397" i="13" s="1"/>
  <c r="G385" i="13"/>
  <c r="G313" i="13"/>
  <c r="H313" i="13" s="1"/>
  <c r="I313" i="13" s="1"/>
  <c r="G273" i="13"/>
  <c r="H273" i="13" s="1"/>
  <c r="I273" i="13" s="1"/>
  <c r="G189" i="13"/>
  <c r="G174" i="13"/>
  <c r="G136" i="13"/>
  <c r="G109" i="13"/>
  <c r="G69" i="13"/>
  <c r="F17" i="13"/>
  <c r="G16" i="13" s="1"/>
  <c r="G358" i="13"/>
  <c r="H357" i="13" s="1"/>
  <c r="I357" i="13" s="1"/>
  <c r="G212" i="13"/>
  <c r="G25" i="13"/>
  <c r="G238" i="13"/>
  <c r="H237" i="13" s="1"/>
  <c r="I237" i="13" s="1"/>
  <c r="G341" i="13"/>
  <c r="G19" i="13"/>
  <c r="G139" i="13"/>
  <c r="G198" i="13"/>
  <c r="H197" i="13" s="1"/>
  <c r="I197" i="13" s="1"/>
  <c r="G21" i="13"/>
  <c r="G38" i="13"/>
  <c r="H37" i="13" s="1"/>
  <c r="I37" i="13" s="1"/>
  <c r="G56" i="13"/>
  <c r="G96" i="13"/>
  <c r="G132" i="13"/>
  <c r="G141" i="13"/>
  <c r="G149" i="13"/>
  <c r="G259" i="13"/>
  <c r="G265" i="13"/>
  <c r="G309" i="13"/>
  <c r="G73" i="13"/>
  <c r="H73" i="13" s="1"/>
  <c r="I73" i="13" s="1"/>
  <c r="G269" i="13"/>
  <c r="G65" i="13"/>
  <c r="H153" i="13"/>
  <c r="I153" i="13" s="1"/>
  <c r="G99" i="13"/>
  <c r="G105" i="13"/>
  <c r="G145" i="13"/>
  <c r="G172" i="13"/>
  <c r="G181" i="13"/>
  <c r="G221" i="13"/>
  <c r="G229" i="13"/>
  <c r="G339" i="13"/>
  <c r="G349" i="13"/>
  <c r="G61" i="13"/>
  <c r="G118" i="13"/>
  <c r="H117" i="13" s="1"/>
  <c r="I117" i="13" s="1"/>
  <c r="G176" i="13"/>
  <c r="G278" i="13"/>
  <c r="H277" i="13" s="1"/>
  <c r="I277" i="13" s="1"/>
  <c r="G158" i="13"/>
  <c r="H157" i="13" s="1"/>
  <c r="I157" i="13" s="1"/>
  <c r="G193" i="13"/>
  <c r="H193" i="13" s="1"/>
  <c r="I193" i="13" s="1"/>
  <c r="G225" i="13"/>
  <c r="G296" i="13"/>
  <c r="G336" i="13"/>
  <c r="H332" i="13" s="1"/>
  <c r="G78" i="13"/>
  <c r="H77" i="13" s="1"/>
  <c r="I77" i="13" s="1"/>
  <c r="G185" i="13"/>
  <c r="G318" i="13"/>
  <c r="H317" i="13" s="1"/>
  <c r="I317" i="13" s="1"/>
  <c r="G256" i="13"/>
  <c r="H252" i="13" s="1"/>
  <c r="G299" i="13"/>
  <c r="G305" i="13"/>
  <c r="G345" i="13"/>
  <c r="H52" i="13" l="1"/>
  <c r="I52" i="13" s="1"/>
  <c r="H292" i="13"/>
  <c r="I292" i="13" s="1"/>
  <c r="H92" i="13"/>
  <c r="I92" i="13" s="1"/>
  <c r="G216" i="13"/>
  <c r="H212" i="13" s="1"/>
  <c r="I212" i="13" s="1"/>
  <c r="H12" i="13"/>
  <c r="I12" i="13" s="1"/>
  <c r="H379" i="13"/>
  <c r="I379" i="13" s="1"/>
  <c r="H259" i="13"/>
  <c r="I259" i="13" s="1"/>
  <c r="G11" i="14"/>
  <c r="G15" i="14"/>
  <c r="G16" i="14" s="1"/>
  <c r="H132" i="13"/>
  <c r="I132" i="13" s="1"/>
  <c r="H219" i="13"/>
  <c r="I219" i="13" s="1"/>
  <c r="H299" i="13"/>
  <c r="I299" i="13" s="1"/>
  <c r="H19" i="13"/>
  <c r="I19" i="13" s="1"/>
  <c r="H179" i="13"/>
  <c r="I179" i="13" s="1"/>
  <c r="H59" i="13"/>
  <c r="I59" i="13" s="1"/>
  <c r="H139" i="13"/>
  <c r="I139" i="13" s="1"/>
  <c r="H339" i="13"/>
  <c r="I339" i="13" s="1"/>
  <c r="H172" i="13"/>
  <c r="H99" i="13"/>
  <c r="I99" i="13" s="1"/>
  <c r="I252" i="13"/>
  <c r="I332" i="13"/>
  <c r="J372" i="13" l="1"/>
  <c r="D30" i="12" s="1"/>
  <c r="J252" i="13"/>
  <c r="D27" i="12" s="1"/>
  <c r="J212" i="13"/>
  <c r="D26" i="12" s="1"/>
  <c r="J132" i="13"/>
  <c r="D24" i="12" s="1"/>
  <c r="J52" i="13"/>
  <c r="D22" i="12" s="1"/>
  <c r="J12" i="13"/>
  <c r="D21" i="12" s="1"/>
  <c r="J292" i="13"/>
  <c r="D28" i="12" s="1"/>
  <c r="J332" i="13"/>
  <c r="D29" i="12" s="1"/>
  <c r="J172" i="13"/>
  <c r="D25" i="12" s="1"/>
  <c r="I172" i="13"/>
  <c r="J92" i="13"/>
  <c r="D23" i="12" s="1"/>
  <c r="A30" i="12" l="1"/>
  <c r="A29" i="12"/>
  <c r="A28" i="12"/>
  <c r="A27" i="12"/>
  <c r="A26" i="12"/>
  <c r="A25" i="12"/>
  <c r="A24" i="12"/>
  <c r="A23" i="12"/>
  <c r="A22" i="12"/>
  <c r="G397" i="2"/>
  <c r="G396" i="2"/>
  <c r="G395" i="2"/>
  <c r="G393" i="2"/>
  <c r="G374" i="2"/>
  <c r="A370" i="2"/>
  <c r="G357" i="2"/>
  <c r="G356" i="2"/>
  <c r="G355" i="2"/>
  <c r="G334" i="2"/>
  <c r="A330" i="2"/>
  <c r="G317" i="2"/>
  <c r="G316" i="2"/>
  <c r="G315" i="2"/>
  <c r="G313" i="2"/>
  <c r="G294" i="2"/>
  <c r="A290" i="2"/>
  <c r="G277" i="2"/>
  <c r="G276" i="2"/>
  <c r="G275" i="2"/>
  <c r="G254" i="2"/>
  <c r="A250" i="2"/>
  <c r="G237" i="2"/>
  <c r="G236" i="2"/>
  <c r="G235" i="2"/>
  <c r="G214" i="2"/>
  <c r="A210" i="2"/>
  <c r="G197" i="2"/>
  <c r="G196" i="2"/>
  <c r="G195" i="2"/>
  <c r="G174" i="2"/>
  <c r="A170" i="2"/>
  <c r="G157" i="2"/>
  <c r="G156" i="2"/>
  <c r="G155" i="2"/>
  <c r="G153" i="2"/>
  <c r="H153" i="2" s="1"/>
  <c r="I153" i="2" s="1"/>
  <c r="G134" i="2"/>
  <c r="A130" i="2"/>
  <c r="G117" i="2"/>
  <c r="G116" i="2"/>
  <c r="G115" i="2"/>
  <c r="G94" i="2"/>
  <c r="A90" i="2"/>
  <c r="G77" i="2"/>
  <c r="G76" i="2"/>
  <c r="G75" i="2"/>
  <c r="G54" i="2"/>
  <c r="A50" i="2"/>
  <c r="A10" i="2"/>
  <c r="F40" i="2"/>
  <c r="F37" i="2"/>
  <c r="F36" i="2"/>
  <c r="F35" i="2"/>
  <c r="F33" i="2"/>
  <c r="F25" i="2"/>
  <c r="F21" i="2"/>
  <c r="F20" i="2"/>
  <c r="F32" i="2"/>
  <c r="F30" i="2"/>
  <c r="F29" i="2"/>
  <c r="F28" i="2"/>
  <c r="F26" i="2"/>
  <c r="F24" i="2"/>
  <c r="F23" i="2"/>
  <c r="F19" i="2"/>
  <c r="G273" i="2" l="1"/>
  <c r="H273" i="2" s="1"/>
  <c r="I273" i="2" s="1"/>
  <c r="H393" i="2"/>
  <c r="I393" i="2" s="1"/>
  <c r="H313" i="2"/>
  <c r="I313" i="2" s="1"/>
  <c r="G252" i="2"/>
  <c r="G172" i="2"/>
  <c r="G318" i="2"/>
  <c r="H317" i="2" s="1"/>
  <c r="G233" i="2"/>
  <c r="H233" i="2" s="1"/>
  <c r="I233" i="2" s="1"/>
  <c r="G113" i="2"/>
  <c r="H113" i="2" s="1"/>
  <c r="G353" i="2"/>
  <c r="H353" i="2" s="1"/>
  <c r="I353" i="2" s="1"/>
  <c r="G381" i="2"/>
  <c r="G339" i="2"/>
  <c r="G193" i="2"/>
  <c r="H193" i="2" s="1"/>
  <c r="I193" i="2" s="1"/>
  <c r="G212" i="2"/>
  <c r="G118" i="2"/>
  <c r="H117" i="2" s="1"/>
  <c r="I117" i="2" s="1"/>
  <c r="G332" i="2"/>
  <c r="G376" i="2"/>
  <c r="G269" i="2"/>
  <c r="G132" i="2"/>
  <c r="G219" i="2"/>
  <c r="G385" i="2"/>
  <c r="G256" i="2"/>
  <c r="G299" i="2"/>
  <c r="G372" i="2"/>
  <c r="G389" i="2"/>
  <c r="G139" i="2"/>
  <c r="G259" i="2"/>
  <c r="G265" i="2"/>
  <c r="G398" i="2"/>
  <c r="H397" i="2" s="1"/>
  <c r="I397" i="2" s="1"/>
  <c r="G216" i="2"/>
  <c r="G61" i="2"/>
  <c r="G136" i="2"/>
  <c r="G145" i="2"/>
  <c r="G261" i="2"/>
  <c r="G292" i="2"/>
  <c r="G301" i="2"/>
  <c r="G309" i="2"/>
  <c r="G341" i="2"/>
  <c r="G349" i="2"/>
  <c r="G379" i="2"/>
  <c r="G278" i="2"/>
  <c r="H277" i="2" s="1"/>
  <c r="I277" i="2" s="1"/>
  <c r="G358" i="2"/>
  <c r="H357" i="2" s="1"/>
  <c r="I357" i="2" s="1"/>
  <c r="G141" i="2"/>
  <c r="G149" i="2"/>
  <c r="G296" i="2"/>
  <c r="G336" i="2"/>
  <c r="G225" i="2"/>
  <c r="G345" i="2"/>
  <c r="G176" i="2"/>
  <c r="G305" i="2"/>
  <c r="G179" i="2"/>
  <c r="G185" i="2"/>
  <c r="G181" i="2"/>
  <c r="G189" i="2"/>
  <c r="G221" i="2"/>
  <c r="G229" i="2"/>
  <c r="G92" i="2"/>
  <c r="G198" i="2"/>
  <c r="H197" i="2" s="1"/>
  <c r="I197" i="2" s="1"/>
  <c r="G238" i="2"/>
  <c r="H237" i="2" s="1"/>
  <c r="I237" i="2" s="1"/>
  <c r="G158" i="2"/>
  <c r="H157" i="2" s="1"/>
  <c r="I157" i="2" s="1"/>
  <c r="G96" i="2"/>
  <c r="G73" i="2"/>
  <c r="H73" i="2" s="1"/>
  <c r="I73" i="2" s="1"/>
  <c r="G99" i="2"/>
  <c r="G105" i="2"/>
  <c r="G101" i="2"/>
  <c r="G109" i="2"/>
  <c r="G52" i="2"/>
  <c r="G59" i="2"/>
  <c r="G78" i="2"/>
  <c r="H77" i="2" s="1"/>
  <c r="I77" i="2" s="1"/>
  <c r="G69" i="2"/>
  <c r="G65" i="2"/>
  <c r="G56" i="2"/>
  <c r="F17" i="2"/>
  <c r="F18" i="2"/>
  <c r="H212" i="2" l="1"/>
  <c r="H172" i="2"/>
  <c r="H132" i="2"/>
  <c r="H52" i="2"/>
  <c r="H252" i="2"/>
  <c r="H59" i="2"/>
  <c r="I59" i="2" s="1"/>
  <c r="H219" i="2"/>
  <c r="I219" i="2" s="1"/>
  <c r="H339" i="2"/>
  <c r="I339" i="2" s="1"/>
  <c r="H179" i="2"/>
  <c r="I179" i="2" s="1"/>
  <c r="H292" i="2"/>
  <c r="H259" i="2"/>
  <c r="I259" i="2" s="1"/>
  <c r="H139" i="2"/>
  <c r="I139" i="2" s="1"/>
  <c r="H379" i="2"/>
  <c r="I379" i="2" s="1"/>
  <c r="H372" i="2"/>
  <c r="H332" i="2"/>
  <c r="I332" i="2" s="1"/>
  <c r="H92" i="2"/>
  <c r="H99" i="2"/>
  <c r="H299" i="2"/>
  <c r="I299" i="2" s="1"/>
  <c r="I113" i="2"/>
  <c r="I317" i="2"/>
  <c r="F13" i="2"/>
  <c r="F16" i="2"/>
  <c r="G14" i="2"/>
  <c r="F12" i="2"/>
  <c r="F39" i="2"/>
  <c r="F22" i="2"/>
  <c r="G21" i="2" s="1"/>
  <c r="J274" i="2" l="1"/>
  <c r="C27" i="12" s="1"/>
  <c r="H13" i="12" s="1"/>
  <c r="I13" i="12" s="1"/>
  <c r="J253" i="2"/>
  <c r="B27" i="12" s="1"/>
  <c r="J394" i="2"/>
  <c r="C30" i="12" s="1"/>
  <c r="J234" i="2"/>
  <c r="C26" i="12" s="1"/>
  <c r="E12" i="12" s="1"/>
  <c r="H12" i="12" s="1"/>
  <c r="I12" i="12" s="1"/>
  <c r="J114" i="2"/>
  <c r="C23" i="12" s="1"/>
  <c r="E9" i="12" s="1"/>
  <c r="H9" i="12" s="1"/>
  <c r="I9" i="12" s="1"/>
  <c r="I372" i="2"/>
  <c r="J373" i="2"/>
  <c r="B30" i="12" s="1"/>
  <c r="J333" i="2"/>
  <c r="B29" i="12" s="1"/>
  <c r="J354" i="2"/>
  <c r="C29" i="12" s="1"/>
  <c r="H15" i="12" s="1"/>
  <c r="I15" i="12" s="1"/>
  <c r="J314" i="2"/>
  <c r="C28" i="12" s="1"/>
  <c r="H14" i="12" s="1"/>
  <c r="I14" i="12" s="1"/>
  <c r="I252" i="2"/>
  <c r="I212" i="2"/>
  <c r="J213" i="2"/>
  <c r="B26" i="12" s="1"/>
  <c r="I99" i="2"/>
  <c r="J93" i="2"/>
  <c r="B23" i="12" s="1"/>
  <c r="I92" i="2"/>
  <c r="H16" i="12"/>
  <c r="I16" i="12" s="1"/>
  <c r="I292" i="2"/>
  <c r="J293" i="2"/>
  <c r="B28" i="12" s="1"/>
  <c r="I172" i="2"/>
  <c r="J173" i="2"/>
  <c r="B25" i="12" s="1"/>
  <c r="E11" i="12" s="1"/>
  <c r="H11" i="12" s="1"/>
  <c r="I11" i="12" s="1"/>
  <c r="J194" i="2"/>
  <c r="C25" i="12" s="1"/>
  <c r="I132" i="2"/>
  <c r="J133" i="2"/>
  <c r="B24" i="12" s="1"/>
  <c r="E10" i="12" s="1"/>
  <c r="J154" i="2"/>
  <c r="C24" i="12" s="1"/>
  <c r="I52" i="2"/>
  <c r="J53" i="2"/>
  <c r="B22" i="12" s="1"/>
  <c r="J74" i="2"/>
  <c r="C22" i="12" s="1"/>
  <c r="E8" i="12" l="1"/>
  <c r="H8" i="12" s="1"/>
  <c r="I8" i="12" s="1"/>
  <c r="H10" i="12"/>
  <c r="I10" i="12" s="1"/>
  <c r="G25" i="2" l="1"/>
  <c r="G35" i="2" l="1"/>
  <c r="G36" i="2"/>
  <c r="G33" i="2"/>
  <c r="H33" i="2" l="1"/>
  <c r="I33" i="2" s="1"/>
  <c r="G38" i="2" l="1"/>
  <c r="G37" i="2"/>
  <c r="H37" i="2" l="1"/>
  <c r="I37" i="2" s="1"/>
  <c r="G16" i="2" l="1"/>
  <c r="G29" i="2" l="1"/>
  <c r="G12" i="2"/>
  <c r="H12" i="2" s="1"/>
  <c r="G19" i="2"/>
  <c r="H19" i="2" l="1"/>
  <c r="I19" i="2" s="1"/>
  <c r="I12" i="2" l="1"/>
  <c r="J13" i="2"/>
  <c r="B21" i="12" s="1"/>
  <c r="J34" i="2"/>
  <c r="C21" i="12" s="1"/>
  <c r="E7" i="12" l="1"/>
  <c r="H7" i="12" s="1"/>
  <c r="I7" i="12" s="1"/>
  <c r="A21" i="12"/>
  <c r="I17" i="12" l="1"/>
  <c r="G6" i="10" s="1"/>
</calcChain>
</file>

<file path=xl/sharedStrings.xml><?xml version="1.0" encoding="utf-8"?>
<sst xmlns="http://schemas.openxmlformats.org/spreadsheetml/2006/main" count="1831" uniqueCount="367">
  <si>
    <t>Bank Height Ratio (BHR)</t>
  </si>
  <si>
    <t>Functional Category</t>
  </si>
  <si>
    <t>Function-Based Parameters</t>
  </si>
  <si>
    <t>Measurement Method</t>
  </si>
  <si>
    <t>Floodplain Connectivity</t>
  </si>
  <si>
    <t>Bank Height Ratio</t>
  </si>
  <si>
    <t>Entrenchment Ratio</t>
  </si>
  <si>
    <t>C</t>
  </si>
  <si>
    <t>E</t>
  </si>
  <si>
    <t>B</t>
  </si>
  <si>
    <t>Bc</t>
  </si>
  <si>
    <t>Field Value</t>
  </si>
  <si>
    <t>Index Value</t>
  </si>
  <si>
    <t>Roll Up Scoring</t>
  </si>
  <si>
    <t>Parameter</t>
  </si>
  <si>
    <t>Category</t>
  </si>
  <si>
    <t>A</t>
  </si>
  <si>
    <t>Sand</t>
  </si>
  <si>
    <t>Gravel</t>
  </si>
  <si>
    <t>LWD Index</t>
  </si>
  <si>
    <t>Geomorphology</t>
  </si>
  <si>
    <t>Large Woody Debris</t>
  </si>
  <si>
    <t>L/L</t>
  </si>
  <si>
    <t>L/M</t>
  </si>
  <si>
    <t>L/H</t>
  </si>
  <si>
    <t>L/VH</t>
  </si>
  <si>
    <t>M/VL</t>
  </si>
  <si>
    <t>M/L</t>
  </si>
  <si>
    <t>M/M</t>
  </si>
  <si>
    <t>M/H</t>
  </si>
  <si>
    <t>L/Ex</t>
  </si>
  <si>
    <t>H/L</t>
  </si>
  <si>
    <t>H/M</t>
  </si>
  <si>
    <t>H/H</t>
  </si>
  <si>
    <t>VH/VL</t>
  </si>
  <si>
    <t>Ex/VL</t>
  </si>
  <si>
    <t>H/Ex</t>
  </si>
  <si>
    <t>Ex/M</t>
  </si>
  <si>
    <t>Ex/H</t>
  </si>
  <si>
    <t>Ex/VH</t>
  </si>
  <si>
    <t>VH/VH</t>
  </si>
  <si>
    <t>Ex/Ex</t>
  </si>
  <si>
    <t>Dominant BEHI/NBS</t>
  </si>
  <si>
    <t>Riparian Vegetation</t>
  </si>
  <si>
    <t>Bed Form Diversity</t>
  </si>
  <si>
    <t>Pool Spacing Ratio</t>
  </si>
  <si>
    <t>Pool Depth Ratio</t>
  </si>
  <si>
    <t>Physicochemical</t>
  </si>
  <si>
    <t>Biology</t>
  </si>
  <si>
    <t>Yes</t>
  </si>
  <si>
    <t>No</t>
  </si>
  <si>
    <t>Fish</t>
  </si>
  <si>
    <t>F</t>
  </si>
  <si>
    <t>G</t>
  </si>
  <si>
    <t>Percent Streambank Erosion (%)</t>
  </si>
  <si>
    <t>Gc</t>
  </si>
  <si>
    <t>M/Ex</t>
  </si>
  <si>
    <t>M/VH</t>
  </si>
  <si>
    <t>H/VL</t>
  </si>
  <si>
    <t>H/VH</t>
  </si>
  <si>
    <t>VH/L</t>
  </si>
  <si>
    <t>VH/M</t>
  </si>
  <si>
    <t>VH/H</t>
  </si>
  <si>
    <t>VH/Ex</t>
  </si>
  <si>
    <t>Ex/L</t>
  </si>
  <si>
    <t>Reach ID:</t>
  </si>
  <si>
    <t>a</t>
  </si>
  <si>
    <t>b</t>
  </si>
  <si>
    <t>NF</t>
  </si>
  <si>
    <t>c</t>
  </si>
  <si>
    <t>d</t>
  </si>
  <si>
    <t>Reach Runoff</t>
  </si>
  <si>
    <t>Version Last Updated</t>
  </si>
  <si>
    <t>Existing and Proposed Stream Types</t>
  </si>
  <si>
    <t>Proposed Bed Material</t>
  </si>
  <si>
    <t>BEHI/NBS Scores</t>
  </si>
  <si>
    <t>Yes/No</t>
  </si>
  <si>
    <t>Coefficients - Y = a * X + b</t>
  </si>
  <si>
    <t>FAR</t>
  </si>
  <si>
    <t>Aggradation Ratio</t>
  </si>
  <si>
    <t>Rising Limb</t>
  </si>
  <si>
    <t>Falling Limb</t>
  </si>
  <si>
    <t xml:space="preserve">Aggradation Ratio </t>
  </si>
  <si>
    <t>Valley Type:</t>
  </si>
  <si>
    <t>Valley Type</t>
  </si>
  <si>
    <t>Unconfined Alluvial</t>
  </si>
  <si>
    <t>Confined Alluvial</t>
  </si>
  <si>
    <t>Coefficients - Y = a * X^3 + b * X^2 + c * X + d</t>
  </si>
  <si>
    <t># LWD Pieces</t>
  </si>
  <si>
    <t>Contributing Agencies:</t>
  </si>
  <si>
    <t>U.S. Environmental Protection Agency</t>
  </si>
  <si>
    <t>Contractors:</t>
  </si>
  <si>
    <t>Percent Riffle (%)</t>
  </si>
  <si>
    <t>Macroinvertebrates</t>
  </si>
  <si>
    <t>Bedrock</t>
  </si>
  <si>
    <t>Boulders</t>
  </si>
  <si>
    <t>Cobble</t>
  </si>
  <si>
    <t>Silt/Clay</t>
  </si>
  <si>
    <t>ECS</t>
  </si>
  <si>
    <t>Proposed Length</t>
  </si>
  <si>
    <t>Impact Severity Tier</t>
  </si>
  <si>
    <t>Tier 0</t>
  </si>
  <si>
    <t>Impact Severity Tiers</t>
  </si>
  <si>
    <t>Impact Factors</t>
  </si>
  <si>
    <t>Percent Functional Loss</t>
  </si>
  <si>
    <t>Tier 1</t>
  </si>
  <si>
    <t>Tier 2</t>
  </si>
  <si>
    <t>Tier 3</t>
  </si>
  <si>
    <t>Tier 4</t>
  </si>
  <si>
    <t>Tier 5</t>
  </si>
  <si>
    <t>Users select values from a pull-down menu</t>
  </si>
  <si>
    <t>Users Input Values</t>
  </si>
  <si>
    <t xml:space="preserve">Coefficients - Y = a * X + b </t>
  </si>
  <si>
    <t>Percent Armoring (%)</t>
  </si>
  <si>
    <t>Lateral Migration</t>
  </si>
  <si>
    <t>Existing Condition Score</t>
  </si>
  <si>
    <t>Proposed Condition Score</t>
  </si>
  <si>
    <t>Change in
Functional Feet</t>
  </si>
  <si>
    <t>Stream ID 
by Reach</t>
  </si>
  <si>
    <t>Existing Stream Length</t>
  </si>
  <si>
    <t>Total Functional Loss (Debits in FF):</t>
  </si>
  <si>
    <t>Upstream Latitude:</t>
  </si>
  <si>
    <t>Upstream Longitude:</t>
  </si>
  <si>
    <t>Downstream Latitude:</t>
  </si>
  <si>
    <t>Downstream Longitude:</t>
  </si>
  <si>
    <t>Project Name</t>
  </si>
  <si>
    <t>Total Debits
 (FF)</t>
  </si>
  <si>
    <t>Applicant</t>
  </si>
  <si>
    <r>
      <t xml:space="preserve">Project ID/Permit Number(s) 
</t>
    </r>
    <r>
      <rPr>
        <b/>
        <sz val="11"/>
        <color theme="1"/>
        <rFont val="Calibri"/>
        <family val="2"/>
        <scheme val="minor"/>
      </rPr>
      <t>(optional)</t>
    </r>
  </si>
  <si>
    <t>Date</t>
  </si>
  <si>
    <t>Project Description</t>
  </si>
  <si>
    <t>Stream ID By Reach</t>
  </si>
  <si>
    <t>Impact Description</t>
  </si>
  <si>
    <t>Latitude</t>
  </si>
  <si>
    <t>Longitude</t>
  </si>
  <si>
    <t>Ecosystem Planning and Restoration (EPR) through a contract with the U.S. Environmental</t>
  </si>
  <si>
    <t>Projection Agency (Contract No. EP-C-17-001).</t>
  </si>
  <si>
    <t>Stream Mechanics as a sub-contractor to EPR</t>
  </si>
  <si>
    <t>Land Use Coefficient</t>
  </si>
  <si>
    <t>Temperature</t>
  </si>
  <si>
    <t>Dissolved Oxygen</t>
  </si>
  <si>
    <t>Herbaceous Vegetation Cover (%)</t>
  </si>
  <si>
    <t>Ba</t>
  </si>
  <si>
    <t>Cb</t>
  </si>
  <si>
    <t>VL/VL</t>
  </si>
  <si>
    <t>VL/L</t>
  </si>
  <si>
    <t>VL/M</t>
  </si>
  <si>
    <t>VL/H</t>
  </si>
  <si>
    <t>VL/VH</t>
  </si>
  <si>
    <t>VL/Ex</t>
  </si>
  <si>
    <t xml:space="preserve">Coefficients - Y = a * X+ b </t>
  </si>
  <si>
    <t>Concentrated Flow Points / 1,000 ft</t>
  </si>
  <si>
    <t>Coefficients - Y = a  * X + b</t>
  </si>
  <si>
    <t>NF/FAR</t>
  </si>
  <si>
    <t>Pool Spacing Ratio for Bc Stream Types</t>
  </si>
  <si>
    <t>Falling limb</t>
  </si>
  <si>
    <t>Percent Riffle for C and E Stream Types</t>
  </si>
  <si>
    <t>Herbaceous Vegetation Cover</t>
  </si>
  <si>
    <t xml:space="preserve">Coefficients - Y = a  * X + b </t>
  </si>
  <si>
    <t>DO</t>
  </si>
  <si>
    <t>PCS</t>
  </si>
  <si>
    <t>Debit Option</t>
  </si>
  <si>
    <t>Name:</t>
  </si>
  <si>
    <t>Date:</t>
  </si>
  <si>
    <r>
      <t>PCS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</si>
  <si>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Tier</t>
  </si>
  <si>
    <t>Example Activities</t>
  </si>
  <si>
    <t>No permanent impact on any of the key function-based parameters</t>
  </si>
  <si>
    <t>Description (Impacts to function-based parameters)</t>
  </si>
  <si>
    <t>Debit
Option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</si>
  <si>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For complete stream removals/fill or complete piping PCS score is 0.</t>
    </r>
  </si>
  <si>
    <t>DA</t>
  </si>
  <si>
    <t xml:space="preserve">Project ID/ Permit 
Applicant Number(s):    </t>
  </si>
  <si>
    <t>Reach Hydrology &amp; Hydraulics</t>
  </si>
  <si>
    <r>
      <rPr>
        <b/>
        <sz val="11"/>
        <color theme="1"/>
        <rFont val="Calibri"/>
        <family val="2"/>
        <scheme val="minor"/>
      </rPr>
      <t>Lead Agency:</t>
    </r>
    <r>
      <rPr>
        <sz val="11"/>
        <color theme="1"/>
        <rFont val="Calibri"/>
        <family val="2"/>
        <scheme val="minor"/>
      </rPr>
      <t xml:space="preserve"> U.S. Army Corps of Engineers, Albuquerque District, Pueblo Regulatory Office</t>
    </r>
  </si>
  <si>
    <t>Colorado Parks and Wildlife</t>
  </si>
  <si>
    <t>Colorado Water Conservation Board</t>
  </si>
  <si>
    <t>The Colorado Stream Quantification Tool Credits:</t>
  </si>
  <si>
    <t>Average Depth</t>
  </si>
  <si>
    <t>CS-I &amp; CS-I MWF;
W &lt; 20ft</t>
  </si>
  <si>
    <t>CS-I &amp; CS-I MWF;
W &gt; 20ft</t>
  </si>
  <si>
    <t>CS-II</t>
  </si>
  <si>
    <t>All Regimes</t>
  </si>
  <si>
    <t>Transport</t>
  </si>
  <si>
    <t>Concentrated Flow Points (#/1000 LF)</t>
  </si>
  <si>
    <t>Baseflow Dynamics</t>
  </si>
  <si>
    <t>Average Velocity (fps)</t>
  </si>
  <si>
    <t>Average Depth (ft)</t>
  </si>
  <si>
    <t>Percent Side Channels (%)</t>
  </si>
  <si>
    <t>No. of LWD Pieces/ 100 meters</t>
  </si>
  <si>
    <t>Greenline Stability Rating</t>
  </si>
  <si>
    <t>Woody Vegetation Cover (%)</t>
  </si>
  <si>
    <t>Percent Native Cover (%)</t>
  </si>
  <si>
    <t>Daily Maximum Temperature (⁰C)</t>
  </si>
  <si>
    <t>MWAT  (⁰C)</t>
  </si>
  <si>
    <t>Dissolved Oxygen Concentration (mg/L)</t>
  </si>
  <si>
    <t>Nutrients</t>
  </si>
  <si>
    <t>CO MMI</t>
  </si>
  <si>
    <t>Native Fish Species Richness (% of Expected)</t>
  </si>
  <si>
    <t>SGCN Absent Score</t>
  </si>
  <si>
    <t>Wild Trout Biomass (% Change)</t>
  </si>
  <si>
    <t>Riparian Extent (%)</t>
  </si>
  <si>
    <t>Land use coefficient</t>
  </si>
  <si>
    <t>FAR/NF</t>
  </si>
  <si>
    <t>Entrenchment Ratio (ER) C Streams</t>
  </si>
  <si>
    <t>Entrenchment Ratio (ER) Cb Streams</t>
  </si>
  <si>
    <t>Entrenchment Ratio (ER) E Streams</t>
  </si>
  <si>
    <t>Entrenchment Ratio (ER) A and B Streams</t>
  </si>
  <si>
    <t>Percent Side Channels</t>
  </si>
  <si>
    <t>Pool Spacing Ratio for C Streams</t>
  </si>
  <si>
    <t>Pool Spacing Ratio for Cb Streams</t>
  </si>
  <si>
    <t>Pool Spacing Ratio for B and Ba Stream Types</t>
  </si>
  <si>
    <t>Pool Spacing Ratio for E Stream Types</t>
  </si>
  <si>
    <t>Percent Riffle &lt; 3 % slope</t>
  </si>
  <si>
    <t>Percent Riffle &gt;= 3 % slope</t>
  </si>
  <si>
    <t>Riparian Extent</t>
  </si>
  <si>
    <t>FAR/F</t>
  </si>
  <si>
    <t>Confined alluvial or colluvial/v-shaped valleys</t>
  </si>
  <si>
    <t>Woody Vegetation Cover (Mountains &amp; Basins)</t>
  </si>
  <si>
    <t>Plains - Rising Limb</t>
  </si>
  <si>
    <t>Plains - Falling Limb</t>
  </si>
  <si>
    <t>Woody vegetation Cover (Plains)</t>
  </si>
  <si>
    <t>Herbaceous Reference vegetation cover</t>
  </si>
  <si>
    <t>Percent Native Cover</t>
  </si>
  <si>
    <t>MWAT</t>
  </si>
  <si>
    <t>CS-I (MWF)</t>
  </si>
  <si>
    <t>CS-I</t>
  </si>
  <si>
    <t>WS-I</t>
  </si>
  <si>
    <t>WS-II</t>
  </si>
  <si>
    <t>WS-III</t>
  </si>
  <si>
    <t>Coefficients - Y = a * ln(X) + b</t>
  </si>
  <si>
    <t>Biotype 3</t>
  </si>
  <si>
    <t>Biotypes 1 and 2</t>
  </si>
  <si>
    <t>Biotype 1</t>
  </si>
  <si>
    <t>Biotype 2</t>
  </si>
  <si>
    <t>Native Fish Species Richness (% of expected)</t>
  </si>
  <si>
    <t>High</t>
  </si>
  <si>
    <t>Moderate</t>
  </si>
  <si>
    <t>Low</t>
  </si>
  <si>
    <t>Plains</t>
  </si>
  <si>
    <t>Herbaceous</t>
  </si>
  <si>
    <t>Biotype</t>
  </si>
  <si>
    <t>Stream Productivity Class</t>
  </si>
  <si>
    <t>Stream Temperature</t>
  </si>
  <si>
    <t>Proposed Slope</t>
  </si>
  <si>
    <t>Stream Temperature:</t>
  </si>
  <si>
    <t>Proposed Bankfull Width:</t>
  </si>
  <si>
    <t>Biotype:</t>
  </si>
  <si>
    <t>Stream Productivity Class:</t>
  </si>
  <si>
    <t>&lt; 3%</t>
  </si>
  <si>
    <t>Herbaceous Vegetation Cover Type</t>
  </si>
  <si>
    <t>≥ 3%</t>
  </si>
  <si>
    <t>Flow Alteration Module</t>
  </si>
  <si>
    <t>Colluvial/V-Shaped</t>
  </si>
  <si>
    <t>Reference Vegetation Cover:</t>
  </si>
  <si>
    <t>Woody</t>
  </si>
  <si>
    <t>Sediment Regime:</t>
  </si>
  <si>
    <t>Sediment Regime</t>
  </si>
  <si>
    <t>Source</t>
  </si>
  <si>
    <t>Response</t>
  </si>
  <si>
    <t>Outstanding Water:</t>
  </si>
  <si>
    <t>Ecoregion:</t>
  </si>
  <si>
    <t>Strahler Stream Order:</t>
  </si>
  <si>
    <t>Flow Type</t>
  </si>
  <si>
    <t>Perennial</t>
  </si>
  <si>
    <t>Intermittent</t>
  </si>
  <si>
    <t>Ephemeral</t>
  </si>
  <si>
    <t>Strahler Stream order</t>
  </si>
  <si>
    <t>Bankfull Width</t>
  </si>
  <si>
    <t>&gt;20</t>
  </si>
  <si>
    <t>&lt;20</t>
  </si>
  <si>
    <t>River Basin:</t>
  </si>
  <si>
    <t>River Basin</t>
  </si>
  <si>
    <t>Arkansas</t>
  </si>
  <si>
    <t>Colorado</t>
  </si>
  <si>
    <t>Rio Grande</t>
  </si>
  <si>
    <t>South Platte</t>
  </si>
  <si>
    <t>North Platte</t>
  </si>
  <si>
    <t>Gunnison</t>
  </si>
  <si>
    <t>Cimarron</t>
  </si>
  <si>
    <t>Yampa</t>
  </si>
  <si>
    <t>Dolores</t>
  </si>
  <si>
    <t>Green</t>
  </si>
  <si>
    <t>San Juan</t>
  </si>
  <si>
    <t>White</t>
  </si>
  <si>
    <t>--</t>
  </si>
  <si>
    <t>Mountains</t>
  </si>
  <si>
    <t>Basins</t>
  </si>
  <si>
    <t>Ecoregion</t>
  </si>
  <si>
    <t>Coefficients - Y = a * X^2 + b * X + c</t>
  </si>
  <si>
    <t>Tiers 4 &amp; 5</t>
  </si>
  <si>
    <t xml:space="preserve">Assess existing condition using Existing Conditions worksheet </t>
  </si>
  <si>
    <r>
      <t>Use Existing Conditions worksheet - use standard score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for all functional categories. 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</si>
  <si>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The standard score is 1.0 for state listed outstanding resource waters (prohibited or restricted). The standard score is 0.8 for all other waters.</t>
    </r>
  </si>
  <si>
    <t>Estimate proposed condition using Proposed Conditions worksheet</t>
  </si>
  <si>
    <t>Estimate proposed condition based on impact severity tier</t>
  </si>
  <si>
    <t>ECS Tiers 4 &amp; 5</t>
  </si>
  <si>
    <t>Reach ID</t>
  </si>
  <si>
    <t>Outstanding Water</t>
  </si>
  <si>
    <t>Minor impacts to riparian vegetation and/or lateral migration</t>
  </si>
  <si>
    <t>Moderate impacts to riparian vegetation, lateral migration, and bed form diversity</t>
  </si>
  <si>
    <t>Moderate to severe impacts to riparian vegetation, lateral migration, bed form diversity, and floodplain connectivity</t>
  </si>
  <si>
    <t>Severe impacts to riparian vegetation, lateral migration, bed form diversity, and floodplain connectivity. Potential impacts to temperature, processing of organic matter, and macroinvertebrate and fish communities</t>
  </si>
  <si>
    <t>Loss of all aquatic functions</t>
  </si>
  <si>
    <t>Bio-engineering of streambanks</t>
  </si>
  <si>
    <t>Bank stabilization, utility crossings.</t>
  </si>
  <si>
    <t>Utility crossings, bridges, channel stabilization, bottomless arch culverts</t>
  </si>
  <si>
    <t>Channelization, grade control</t>
  </si>
  <si>
    <t>Channelization, weirs/impoundments</t>
  </si>
  <si>
    <t>Loss or relocation of waters</t>
  </si>
  <si>
    <t>Site Information</t>
  </si>
  <si>
    <t>Notes</t>
  </si>
  <si>
    <t>1. Users input values that are highlighted based on restoration potential</t>
  </si>
  <si>
    <t>Project Name:</t>
  </si>
  <si>
    <t>2. Leave values blank for field values that were not measured</t>
  </si>
  <si>
    <t>Affected Stream Length (ft):</t>
  </si>
  <si>
    <t>FUNCTIONAL CHANGE SUMMARY</t>
  </si>
  <si>
    <t>Module Existing Condition Score (mECS)</t>
  </si>
  <si>
    <t>Module Proposed Condition Score (mPCS)</t>
  </si>
  <si>
    <t>Change in Functional Condition (mPCS - mECS) *</t>
  </si>
  <si>
    <t>Affected Stream Length (ft)</t>
  </si>
  <si>
    <t>Existing Functional Feet (FF)</t>
  </si>
  <si>
    <t>Proposed Functional Feet (FF)</t>
  </si>
  <si>
    <t>Proposed FF - Existing FF (ΔFF) *</t>
  </si>
  <si>
    <t>Percent Change in FF (%)</t>
  </si>
  <si>
    <t xml:space="preserve">* Includes 20% multiplier for weighting </t>
  </si>
  <si>
    <t>CONDITION ASSESSMENTS</t>
  </si>
  <si>
    <t>EXISTING</t>
  </si>
  <si>
    <t>PROPOSED</t>
  </si>
  <si>
    <t>Metric</t>
  </si>
  <si>
    <t>Module</t>
  </si>
  <si>
    <t>Mean Annual Q (O/E)</t>
  </si>
  <si>
    <t>Mean Aug Q (O/E)</t>
  </si>
  <si>
    <t>Mean Sept Q (O/E)</t>
  </si>
  <si>
    <t>Mean Jan Q (O/E)</t>
  </si>
  <si>
    <t>Mean Annual Peak Daily Q (O/E)</t>
  </si>
  <si>
    <t>7-Day Minimum (O/E)</t>
  </si>
  <si>
    <t>MONITORING CONDITION ASSESSMENTS</t>
  </si>
  <si>
    <t>Year:</t>
  </si>
  <si>
    <t>Tiers 0-3</t>
  </si>
  <si>
    <t>Standard Scores</t>
  </si>
  <si>
    <t>ECS Tiers 0-3</t>
  </si>
  <si>
    <t>Other Waters</t>
  </si>
  <si>
    <t>Outstanding Waters</t>
  </si>
  <si>
    <t>FUNCTIONAL LOSS SUMMARY</t>
  </si>
  <si>
    <t>Use this worksheet to calculate functional loss using debit option 1.</t>
  </si>
  <si>
    <t>Use this worksheet to calculate functional loss using debit options 1 and 2.</t>
  </si>
  <si>
    <t>ECS and PCS Summary Table*</t>
  </si>
  <si>
    <r>
      <rPr>
        <b/>
        <sz val="11"/>
        <color theme="1"/>
        <rFont val="Calibri"/>
        <family val="2"/>
        <scheme val="minor"/>
      </rPr>
      <t xml:space="preserve">*NOTE: </t>
    </r>
    <r>
      <rPr>
        <sz val="11"/>
        <color theme="1"/>
        <rFont val="Calibri"/>
        <family val="2"/>
        <scheme val="minor"/>
      </rPr>
      <t>The summary box (above) will populate from the Existing Conditions and Proposed Conditions worksheets.</t>
    </r>
  </si>
  <si>
    <t>Site Information and Reference Selection</t>
  </si>
  <si>
    <t>CSQT Debit Calculator</t>
  </si>
  <si>
    <t>Colorado Department of Public Health and Environment</t>
  </si>
  <si>
    <t>Reference Stream Type:</t>
  </si>
  <si>
    <t>Flow Permanence:</t>
  </si>
  <si>
    <t>Proposed Bankfull Width (ft):</t>
  </si>
  <si>
    <t>Stream Slope (%):</t>
  </si>
  <si>
    <r>
      <t xml:space="preserve">Chlorophyll </t>
    </r>
    <r>
      <rPr>
        <b/>
        <sz val="11"/>
        <color theme="1"/>
        <rFont val="Calibri"/>
        <family val="2"/>
      </rPr>
      <t>α</t>
    </r>
  </si>
  <si>
    <r>
      <t xml:space="preserve">Chlorophyll </t>
    </r>
    <r>
      <rPr>
        <sz val="12"/>
        <color theme="1"/>
        <rFont val="Calibri"/>
        <family val="2"/>
      </rPr>
      <t>α</t>
    </r>
    <r>
      <rPr>
        <sz val="12"/>
        <color theme="1"/>
        <rFont val="Calibri"/>
        <family val="2"/>
        <scheme val="minor"/>
      </rPr>
      <t xml:space="preserve"> (mg/m2)</t>
    </r>
  </si>
  <si>
    <t>FAR &amp; F</t>
  </si>
  <si>
    <t>Republican</t>
  </si>
  <si>
    <t>Debit Calculator Version 1.0</t>
  </si>
  <si>
    <t xml:space="preserve">Affected Stream Length reflects the entire length influenced by proposed flow modification. </t>
  </si>
  <si>
    <t>Flow Permanence</t>
  </si>
  <si>
    <t>Stream Order</t>
  </si>
  <si>
    <t>5+</t>
  </si>
  <si>
    <t>Flow Permanence and Stream Order</t>
  </si>
  <si>
    <t>Use this worksheet to calculate functional loss associated with hydrologic alteration.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</si>
</sst>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0.00000"/>
    <numFmt numFmtId="166" formatCode="0.000000"/>
    <numFmt numFmtId="167" formatCode="m/d/yy;@"/>
    <numFmt numFmtId="168" formatCode="0.0000"/>
    <numFmt numFmtId="169" formatCode="0.000"/>
    <numFmt numFmtId="170" formatCode="0.00000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8" fillId="7" borderId="0" applyNumberFormat="0" applyBorder="0" applyAlignment="0" applyProtection="0"/>
    <xf numFmtId="9" fontId="8" fillId="0" borderId="0" applyFont="0" applyFill="0" applyBorder="0" applyAlignment="0" applyProtection="0"/>
  </cellStyleXfs>
  <cellXfs count="487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/>
    <xf numFmtId="0" fontId="1" fillId="0" borderId="0" xfId="0" applyFont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/>
    </xf>
    <xf numFmtId="2" fontId="0" fillId="0" borderId="0" xfId="0" applyNumberFormat="1"/>
    <xf numFmtId="0" fontId="0" fillId="0" borderId="0" xfId="0" applyBorder="1"/>
    <xf numFmtId="0" fontId="1" fillId="0" borderId="0" xfId="0" applyFont="1" applyBorder="1" applyAlignment="1"/>
    <xf numFmtId="0" fontId="0" fillId="0" borderId="0" xfId="0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4" fillId="3" borderId="0" xfId="0" applyFont="1" applyFill="1" applyBorder="1"/>
    <xf numFmtId="0" fontId="4" fillId="4" borderId="0" xfId="0" applyFont="1" applyFill="1" applyBorder="1"/>
    <xf numFmtId="0" fontId="4" fillId="4" borderId="8" xfId="0" applyFont="1" applyFill="1" applyBorder="1"/>
    <xf numFmtId="0" fontId="4" fillId="2" borderId="15" xfId="0" applyFont="1" applyFill="1" applyBorder="1" applyAlignment="1" applyProtection="1">
      <alignment horizontal="center"/>
      <protection locked="0"/>
    </xf>
    <xf numFmtId="0" fontId="4" fillId="4" borderId="9" xfId="0" applyFont="1" applyFill="1" applyBorder="1"/>
    <xf numFmtId="0" fontId="4" fillId="4" borderId="12" xfId="0" applyFont="1" applyFill="1" applyBorder="1"/>
    <xf numFmtId="0" fontId="4" fillId="4" borderId="15" xfId="0" applyFont="1" applyFill="1" applyBorder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ill="1" applyBorder="1" applyAlignment="1"/>
    <xf numFmtId="0" fontId="0" fillId="0" borderId="0" xfId="0" applyBorder="1" applyAlignment="1">
      <alignment vertical="center"/>
    </xf>
    <xf numFmtId="0" fontId="1" fillId="0" borderId="0" xfId="0" applyFont="1" applyFill="1"/>
    <xf numFmtId="0" fontId="3" fillId="0" borderId="0" xfId="0" applyFont="1" applyBorder="1" applyAlignment="1"/>
    <xf numFmtId="0" fontId="0" fillId="0" borderId="0" xfId="0" applyBorder="1" applyAlignment="1"/>
    <xf numFmtId="0" fontId="4" fillId="6" borderId="15" xfId="0" applyFont="1" applyFill="1" applyBorder="1"/>
    <xf numFmtId="0" fontId="0" fillId="0" borderId="0" xfId="0" applyFill="1" applyAlignment="1"/>
    <xf numFmtId="0" fontId="4" fillId="2" borderId="2" xfId="0" applyFont="1" applyFill="1" applyBorder="1" applyAlignment="1" applyProtection="1">
      <alignment horizontal="center"/>
      <protection locked="0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0" fillId="0" borderId="0" xfId="0" applyNumberFormat="1"/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1" fontId="4" fillId="0" borderId="0" xfId="0" applyNumberFormat="1" applyFont="1" applyBorder="1" applyAlignment="1">
      <alignment horizontal="center"/>
    </xf>
    <xf numFmtId="0" fontId="0" fillId="0" borderId="9" xfId="0" applyFill="1" applyBorder="1"/>
    <xf numFmtId="0" fontId="0" fillId="0" borderId="10" xfId="0" applyBorder="1"/>
    <xf numFmtId="0" fontId="0" fillId="0" borderId="9" xfId="0" applyBorder="1"/>
    <xf numFmtId="0" fontId="0" fillId="0" borderId="9" xfId="0" applyFill="1" applyBorder="1" applyAlignment="1"/>
    <xf numFmtId="0" fontId="0" fillId="0" borderId="0" xfId="0" applyBorder="1" applyAlignment="1">
      <alignment horizontal="left"/>
    </xf>
    <xf numFmtId="0" fontId="0" fillId="0" borderId="0" xfId="0" applyAlignment="1">
      <alignment horizontal="left" vertical="center"/>
    </xf>
    <xf numFmtId="0" fontId="4" fillId="4" borderId="7" xfId="0" applyFont="1" applyFill="1" applyBorder="1"/>
    <xf numFmtId="0" fontId="4" fillId="4" borderId="13" xfId="0" applyFont="1" applyFill="1" applyBorder="1"/>
    <xf numFmtId="0" fontId="0" fillId="0" borderId="0" xfId="2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Fill="1" applyBorder="1"/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/>
    <xf numFmtId="0" fontId="3" fillId="0" borderId="0" xfId="0" applyFont="1" applyBorder="1" applyProtection="1"/>
    <xf numFmtId="0" fontId="11" fillId="0" borderId="0" xfId="0" applyFont="1" applyFill="1" applyAlignment="1">
      <alignment horizontal="center"/>
    </xf>
    <xf numFmtId="0" fontId="11" fillId="0" borderId="0" xfId="0" applyFont="1"/>
    <xf numFmtId="0" fontId="0" fillId="0" borderId="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4" fillId="4" borderId="10" xfId="0" applyFont="1" applyFill="1" applyBorder="1"/>
    <xf numFmtId="0" fontId="8" fillId="0" borderId="0" xfId="0" applyFont="1"/>
    <xf numFmtId="168" fontId="8" fillId="0" borderId="0" xfId="0" applyNumberFormat="1" applyFont="1"/>
    <xf numFmtId="166" fontId="8" fillId="0" borderId="0" xfId="0" applyNumberFormat="1" applyFont="1"/>
    <xf numFmtId="2" fontId="8" fillId="0" borderId="0" xfId="0" applyNumberFormat="1" applyFont="1"/>
    <xf numFmtId="0" fontId="8" fillId="0" borderId="0" xfId="0" applyFont="1" applyBorder="1" applyAlignment="1">
      <alignment horizontal="center"/>
    </xf>
    <xf numFmtId="164" fontId="8" fillId="0" borderId="0" xfId="0" applyNumberFormat="1" applyFont="1"/>
    <xf numFmtId="0" fontId="1" fillId="0" borderId="9" xfId="0" applyFont="1" applyBorder="1"/>
    <xf numFmtId="0" fontId="0" fillId="0" borderId="9" xfId="0" applyBorder="1" applyAlignment="1">
      <alignment horizontal="left"/>
    </xf>
    <xf numFmtId="165" fontId="11" fillId="0" borderId="0" xfId="0" applyNumberFormat="1" applyFont="1"/>
    <xf numFmtId="165" fontId="14" fillId="0" borderId="0" xfId="0" applyNumberFormat="1" applyFont="1"/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12" fillId="0" borderId="28" xfId="0" applyFont="1" applyBorder="1" applyAlignment="1">
      <alignment horizontal="center" wrapText="1"/>
    </xf>
    <xf numFmtId="9" fontId="11" fillId="0" borderId="30" xfId="3" applyFont="1" applyBorder="1" applyAlignment="1">
      <alignment horizontal="center"/>
    </xf>
    <xf numFmtId="9" fontId="11" fillId="0" borderId="21" xfId="3" applyFont="1" applyBorder="1" applyAlignment="1">
      <alignment horizontal="center"/>
    </xf>
    <xf numFmtId="9" fontId="11" fillId="0" borderId="24" xfId="3" applyFont="1" applyBorder="1" applyAlignment="1">
      <alignment horizontal="center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19" xfId="0" applyFont="1" applyBorder="1" applyAlignment="1"/>
    <xf numFmtId="0" fontId="9" fillId="0" borderId="34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/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Protection="1"/>
    <xf numFmtId="0" fontId="0" fillId="9" borderId="1" xfId="0" applyFont="1" applyFill="1" applyBorder="1" applyAlignment="1" applyProtection="1">
      <alignment horizontal="center"/>
      <protection locked="0"/>
    </xf>
    <xf numFmtId="0" fontId="0" fillId="8" borderId="1" xfId="0" applyFont="1" applyFill="1" applyBorder="1" applyAlignment="1" applyProtection="1">
      <alignment horizontal="center"/>
      <protection locked="0"/>
    </xf>
    <xf numFmtId="2" fontId="0" fillId="0" borderId="1" xfId="0" applyNumberFormat="1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Alignment="1">
      <alignment vertical="center" wrapText="1"/>
    </xf>
    <xf numFmtId="0" fontId="0" fillId="0" borderId="0" xfId="0" applyFont="1" applyProtection="1">
      <protection locked="0"/>
    </xf>
    <xf numFmtId="0" fontId="0" fillId="0" borderId="0" xfId="0" applyFont="1" applyAlignment="1">
      <alignment wrapText="1"/>
    </xf>
    <xf numFmtId="0" fontId="1" fillId="0" borderId="43" xfId="0" applyFont="1" applyBorder="1" applyAlignment="1">
      <alignment horizontal="center" wrapText="1"/>
    </xf>
    <xf numFmtId="2" fontId="0" fillId="0" borderId="13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44" xfId="0" applyFont="1" applyBorder="1" applyAlignment="1">
      <alignment horizontal="center" wrapText="1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8" fontId="13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169" fontId="13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2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" fontId="0" fillId="0" borderId="0" xfId="2" applyNumberFormat="1" applyFont="1" applyFill="1" applyBorder="1" applyAlignment="1">
      <alignment horizontal="center" vertical="center"/>
    </xf>
    <xf numFmtId="2" fontId="0" fillId="0" borderId="10" xfId="2" applyNumberFormat="1" applyFont="1" applyFill="1" applyBorder="1" applyAlignment="1">
      <alignment horizontal="center" vertical="center"/>
    </xf>
    <xf numFmtId="168" fontId="8" fillId="0" borderId="0" xfId="0" applyNumberFormat="1" applyFont="1" applyAlignment="1">
      <alignment horizontal="center"/>
    </xf>
    <xf numFmtId="168" fontId="8" fillId="0" borderId="0" xfId="0" applyNumberFormat="1" applyFont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168" fontId="0" fillId="0" borderId="0" xfId="0" applyNumberForma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 wrapText="1"/>
    </xf>
    <xf numFmtId="0" fontId="4" fillId="3" borderId="8" xfId="0" applyFont="1" applyFill="1" applyBorder="1"/>
    <xf numFmtId="0" fontId="4" fillId="3" borderId="9" xfId="0" applyFont="1" applyFill="1" applyBorder="1"/>
    <xf numFmtId="0" fontId="6" fillId="3" borderId="8" xfId="0" applyFont="1" applyFill="1" applyBorder="1" applyAlignment="1">
      <alignment horizontal="left" wrapText="1"/>
    </xf>
    <xf numFmtId="0" fontId="4" fillId="3" borderId="12" xfId="0" applyFont="1" applyFill="1" applyBorder="1"/>
    <xf numFmtId="0" fontId="6" fillId="4" borderId="9" xfId="0" applyFont="1" applyFill="1" applyBorder="1"/>
    <xf numFmtId="0" fontId="6" fillId="4" borderId="12" xfId="0" applyFont="1" applyFill="1" applyBorder="1"/>
    <xf numFmtId="0" fontId="4" fillId="4" borderId="0" xfId="0" applyFont="1" applyFill="1"/>
    <xf numFmtId="0" fontId="6" fillId="5" borderId="8" xfId="0" applyFont="1" applyFill="1" applyBorder="1"/>
    <xf numFmtId="0" fontId="6" fillId="5" borderId="12" xfId="0" applyFont="1" applyFill="1" applyBorder="1"/>
    <xf numFmtId="0" fontId="4" fillId="5" borderId="1" xfId="0" applyFont="1" applyFill="1" applyBorder="1" applyAlignment="1">
      <alignment horizontal="left" vertical="center"/>
    </xf>
    <xf numFmtId="0" fontId="6" fillId="5" borderId="9" xfId="0" applyFont="1" applyFill="1" applyBorder="1"/>
    <xf numFmtId="0" fontId="4" fillId="5" borderId="4" xfId="0" applyFont="1" applyFill="1" applyBorder="1"/>
    <xf numFmtId="0" fontId="4" fillId="6" borderId="1" xfId="0" applyFont="1" applyFill="1" applyBorder="1" applyAlignment="1">
      <alignment horizontal="left" vertical="center"/>
    </xf>
    <xf numFmtId="0" fontId="4" fillId="6" borderId="9" xfId="0" applyFont="1" applyFill="1" applyBorder="1"/>
    <xf numFmtId="0" fontId="6" fillId="6" borderId="8" xfId="0" applyFont="1" applyFill="1" applyBorder="1"/>
    <xf numFmtId="0" fontId="6" fillId="6" borderId="9" xfId="0" applyFont="1" applyFill="1" applyBorder="1"/>
    <xf numFmtId="0" fontId="4" fillId="6" borderId="12" xfId="0" applyFont="1" applyFill="1" applyBorder="1"/>
    <xf numFmtId="0" fontId="4" fillId="3" borderId="7" xfId="0" applyFont="1" applyFill="1" applyBorder="1"/>
    <xf numFmtId="0" fontId="4" fillId="3" borderId="3" xfId="0" applyFont="1" applyFill="1" applyBorder="1"/>
    <xf numFmtId="0" fontId="6" fillId="3" borderId="12" xfId="0" applyFont="1" applyFill="1" applyBorder="1" applyAlignment="1">
      <alignment horizontal="left" wrapText="1"/>
    </xf>
    <xf numFmtId="0" fontId="4" fillId="3" borderId="13" xfId="0" applyFont="1" applyFill="1" applyBorder="1"/>
    <xf numFmtId="0" fontId="4" fillId="2" borderId="13" xfId="0" applyFont="1" applyFill="1" applyBorder="1" applyAlignment="1" applyProtection="1">
      <alignment horizontal="center"/>
      <protection locked="0"/>
    </xf>
    <xf numFmtId="0" fontId="6" fillId="4" borderId="13" xfId="0" applyFont="1" applyFill="1" applyBorder="1"/>
    <xf numFmtId="0" fontId="4" fillId="5" borderId="11" xfId="0" applyFont="1" applyFill="1" applyBorder="1"/>
    <xf numFmtId="0" fontId="4" fillId="5" borderId="0" xfId="0" applyFont="1" applyFill="1" applyBorder="1"/>
    <xf numFmtId="0" fontId="4" fillId="5" borderId="5" xfId="0" applyFont="1" applyFill="1" applyBorder="1"/>
    <xf numFmtId="0" fontId="4" fillId="4" borderId="10" xfId="0" applyFont="1" applyFill="1" applyBorder="1" applyAlignment="1"/>
    <xf numFmtId="0" fontId="4" fillId="6" borderId="0" xfId="0" applyFont="1" applyFill="1" applyBorder="1"/>
    <xf numFmtId="0" fontId="4" fillId="5" borderId="15" xfId="0" applyFont="1" applyFill="1" applyBorder="1"/>
    <xf numFmtId="0" fontId="4" fillId="6" borderId="11" xfId="0" applyFont="1" applyFill="1" applyBorder="1"/>
    <xf numFmtId="0" fontId="4" fillId="2" borderId="0" xfId="0" applyFont="1" applyFill="1" applyBorder="1" applyAlignment="1" applyProtection="1">
      <alignment horizontal="center"/>
      <protection locked="0"/>
    </xf>
    <xf numFmtId="2" fontId="4" fillId="5" borderId="1" xfId="0" applyNumberFormat="1" applyFont="1" applyFill="1" applyBorder="1" applyAlignment="1">
      <alignment horizontal="center"/>
    </xf>
    <xf numFmtId="2" fontId="4" fillId="6" borderId="1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" fontId="11" fillId="0" borderId="0" xfId="0" quotePrefix="1" applyNumberFormat="1" applyFont="1" applyAlignment="1">
      <alignment horizontal="center"/>
    </xf>
    <xf numFmtId="0" fontId="11" fillId="0" borderId="0" xfId="0" quotePrefix="1" applyFont="1" applyAlignment="1">
      <alignment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170" fontId="0" fillId="0" borderId="0" xfId="0" applyNumberFormat="1" applyBorder="1"/>
    <xf numFmtId="0" fontId="13" fillId="0" borderId="0" xfId="0" applyFont="1" applyBorder="1"/>
    <xf numFmtId="0" fontId="8" fillId="0" borderId="9" xfId="0" applyFont="1" applyBorder="1"/>
    <xf numFmtId="0" fontId="8" fillId="0" borderId="9" xfId="0" applyFont="1" applyBorder="1" applyAlignment="1">
      <alignment horizontal="center"/>
    </xf>
    <xf numFmtId="0" fontId="0" fillId="0" borderId="9" xfId="0" applyBorder="1" applyAlignment="1">
      <alignment vertical="center" wrapText="1"/>
    </xf>
    <xf numFmtId="0" fontId="8" fillId="0" borderId="9" xfId="0" applyFont="1" applyBorder="1" applyAlignment="1">
      <alignment horizontal="left"/>
    </xf>
    <xf numFmtId="0" fontId="0" fillId="0" borderId="0" xfId="0" quotePrefix="1"/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vertical="center"/>
    </xf>
    <xf numFmtId="0" fontId="4" fillId="8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2" fontId="4" fillId="4" borderId="14" xfId="0" applyNumberFormat="1" applyFont="1" applyFill="1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/>
    </xf>
    <xf numFmtId="2" fontId="4" fillId="4" borderId="14" xfId="0" applyNumberFormat="1" applyFont="1" applyFill="1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Border="1"/>
    <xf numFmtId="0" fontId="4" fillId="0" borderId="1" xfId="0" applyFont="1" applyBorder="1"/>
    <xf numFmtId="0" fontId="4" fillId="0" borderId="0" xfId="0" applyFont="1" applyFill="1"/>
    <xf numFmtId="0" fontId="4" fillId="0" borderId="4" xfId="0" applyFont="1" applyFill="1" applyBorder="1" applyAlignment="1">
      <alignment vertical="center"/>
    </xf>
    <xf numFmtId="0" fontId="6" fillId="0" borderId="0" xfId="1" applyFont="1" applyAlignment="1">
      <alignment vertical="center"/>
    </xf>
    <xf numFmtId="2" fontId="4" fillId="3" borderId="2" xfId="0" applyNumberFormat="1" applyFont="1" applyFill="1" applyBorder="1" applyAlignment="1">
      <alignment horizontal="center"/>
    </xf>
    <xf numFmtId="2" fontId="4" fillId="3" borderId="14" xfId="0" applyNumberFormat="1" applyFont="1" applyFill="1" applyBorder="1" applyAlignment="1">
      <alignment horizontal="center"/>
    </xf>
    <xf numFmtId="2" fontId="4" fillId="3" borderId="7" xfId="0" quotePrefix="1" applyNumberFormat="1" applyFont="1" applyFill="1" applyBorder="1" applyAlignment="1">
      <alignment horizontal="center"/>
    </xf>
    <xf numFmtId="2" fontId="4" fillId="3" borderId="10" xfId="0" applyNumberFormat="1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center"/>
    </xf>
    <xf numFmtId="2" fontId="4" fillId="3" borderId="13" xfId="0" applyNumberFormat="1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2" fontId="7" fillId="4" borderId="14" xfId="0" applyNumberFormat="1" applyFont="1" applyFill="1" applyBorder="1" applyAlignment="1">
      <alignment horizontal="center" vertical="center"/>
    </xf>
    <xf numFmtId="2" fontId="4" fillId="4" borderId="10" xfId="0" applyNumberFormat="1" applyFont="1" applyFill="1" applyBorder="1" applyAlignment="1">
      <alignment horizontal="center"/>
    </xf>
    <xf numFmtId="2" fontId="4" fillId="4" borderId="13" xfId="0" applyNumberFormat="1" applyFont="1" applyFill="1" applyBorder="1" applyAlignment="1">
      <alignment horizontal="center"/>
    </xf>
    <xf numFmtId="2" fontId="7" fillId="4" borderId="2" xfId="0" applyNumberFormat="1" applyFont="1" applyFill="1" applyBorder="1" applyAlignment="1">
      <alignment horizontal="center" vertical="center"/>
    </xf>
    <xf numFmtId="2" fontId="4" fillId="4" borderId="14" xfId="0" applyNumberFormat="1" applyFon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/>
    </xf>
    <xf numFmtId="2" fontId="4" fillId="5" borderId="2" xfId="0" applyNumberFormat="1" applyFont="1" applyFill="1" applyBorder="1" applyAlignment="1">
      <alignment horizontal="center"/>
    </xf>
    <xf numFmtId="2" fontId="4" fillId="5" borderId="3" xfId="0" applyNumberFormat="1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center"/>
    </xf>
    <xf numFmtId="2" fontId="4" fillId="6" borderId="3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2" fontId="0" fillId="0" borderId="6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3" xfId="0" applyFont="1" applyBorder="1" applyProtection="1"/>
    <xf numFmtId="0" fontId="4" fillId="0" borderId="0" xfId="0" applyFont="1" applyFill="1" applyProtection="1"/>
    <xf numFmtId="0" fontId="6" fillId="0" borderId="0" xfId="1" applyFont="1" applyAlignment="1" applyProtection="1">
      <alignment vertical="center"/>
    </xf>
    <xf numFmtId="1" fontId="4" fillId="0" borderId="0" xfId="0" applyNumberFormat="1" applyFont="1" applyBorder="1" applyAlignment="1" applyProtection="1">
      <alignment horizontal="center"/>
    </xf>
    <xf numFmtId="2" fontId="0" fillId="0" borderId="21" xfId="0" applyNumberFormat="1" applyFont="1" applyBorder="1" applyAlignment="1" applyProtection="1">
      <alignment horizontal="center"/>
    </xf>
    <xf numFmtId="2" fontId="0" fillId="0" borderId="23" xfId="0" applyNumberFormat="1" applyFont="1" applyBorder="1" applyAlignment="1" applyProtection="1">
      <alignment horizontal="center"/>
    </xf>
    <xf numFmtId="2" fontId="0" fillId="0" borderId="24" xfId="0" applyNumberFormat="1" applyFont="1" applyBorder="1" applyAlignment="1" applyProtection="1">
      <alignment horizontal="center"/>
    </xf>
    <xf numFmtId="2" fontId="0" fillId="0" borderId="1" xfId="0" applyNumberFormat="1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left"/>
    </xf>
    <xf numFmtId="0" fontId="0" fillId="0" borderId="1" xfId="0" applyFont="1" applyFill="1" applyBorder="1" applyAlignment="1" applyProtection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17" fillId="10" borderId="0" xfId="0" applyFont="1" applyFill="1"/>
    <xf numFmtId="0" fontId="8" fillId="10" borderId="0" xfId="0" applyFont="1" applyFill="1"/>
    <xf numFmtId="0" fontId="17" fillId="0" borderId="0" xfId="0" applyFont="1"/>
    <xf numFmtId="0" fontId="3" fillId="0" borderId="0" xfId="0" applyFont="1" applyAlignment="1">
      <alignment horizontal="center"/>
    </xf>
    <xf numFmtId="2" fontId="4" fillId="0" borderId="1" xfId="3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9" fontId="4" fillId="0" borderId="1" xfId="3" applyFont="1" applyBorder="1" applyAlignment="1">
      <alignment horizontal="center"/>
    </xf>
    <xf numFmtId="0" fontId="19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4" xfId="0" applyFont="1" applyBorder="1"/>
    <xf numFmtId="0" fontId="3" fillId="0" borderId="6" xfId="0" applyFont="1" applyBorder="1"/>
    <xf numFmtId="2" fontId="4" fillId="2" borderId="8" xfId="0" applyNumberFormat="1" applyFont="1" applyFill="1" applyBorder="1" applyAlignment="1" applyProtection="1">
      <alignment horizontal="center"/>
      <protection locked="0"/>
    </xf>
    <xf numFmtId="2" fontId="4" fillId="2" borderId="9" xfId="0" applyNumberFormat="1" applyFont="1" applyFill="1" applyBorder="1" applyAlignment="1" applyProtection="1">
      <alignment horizontal="center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2" fontId="4" fillId="3" borderId="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5" xfId="0" applyFont="1" applyBorder="1"/>
    <xf numFmtId="169" fontId="8" fillId="0" borderId="0" xfId="0" applyNumberFormat="1" applyFont="1"/>
    <xf numFmtId="0" fontId="5" fillId="0" borderId="7" xfId="0" applyFont="1" applyBorder="1" applyAlignment="1">
      <alignment horizontal="center"/>
    </xf>
    <xf numFmtId="0" fontId="0" fillId="10" borderId="0" xfId="0" applyFill="1"/>
    <xf numFmtId="0" fontId="6" fillId="8" borderId="1" xfId="1" applyFont="1" applyFill="1" applyBorder="1" applyAlignment="1" applyProtection="1">
      <alignment horizontal="center" vertical="center"/>
      <protection locked="0"/>
    </xf>
    <xf numFmtId="0" fontId="1" fillId="0" borderId="48" xfId="0" applyFont="1" applyBorder="1" applyAlignment="1">
      <alignment horizontal="center" wrapText="1"/>
    </xf>
    <xf numFmtId="0" fontId="0" fillId="8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44" xfId="0" applyFont="1" applyBorder="1"/>
    <xf numFmtId="0" fontId="1" fillId="0" borderId="28" xfId="0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1" fillId="0" borderId="20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2" fontId="4" fillId="4" borderId="14" xfId="0" applyNumberFormat="1" applyFont="1" applyFill="1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8" fillId="0" borderId="0" xfId="0" applyFont="1" applyFill="1"/>
    <xf numFmtId="0" fontId="0" fillId="0" borderId="0" xfId="0" applyFill="1" applyAlignment="1">
      <alignment horizontal="left" vertical="center"/>
    </xf>
    <xf numFmtId="168" fontId="8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/>
    <xf numFmtId="165" fontId="11" fillId="0" borderId="0" xfId="0" applyNumberFormat="1" applyFont="1" applyFill="1"/>
    <xf numFmtId="165" fontId="14" fillId="0" borderId="0" xfId="0" applyNumberFormat="1" applyFont="1" applyFill="1"/>
    <xf numFmtId="0" fontId="1" fillId="0" borderId="48" xfId="0" applyFont="1" applyBorder="1" applyAlignment="1">
      <alignment horizontal="center"/>
    </xf>
    <xf numFmtId="0" fontId="12" fillId="0" borderId="42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2" fontId="4" fillId="2" borderId="2" xfId="0" applyNumberFormat="1" applyFont="1" applyFill="1" applyBorder="1" applyAlignment="1" applyProtection="1">
      <alignment horizontal="center"/>
      <protection locked="0"/>
    </xf>
    <xf numFmtId="2" fontId="4" fillId="2" borderId="14" xfId="0" applyNumberFormat="1" applyFont="1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3" xfId="0" applyFill="1" applyBorder="1" applyAlignment="1" applyProtection="1">
      <alignment horizontal="left"/>
      <protection locked="0"/>
    </xf>
    <xf numFmtId="167" fontId="1" fillId="2" borderId="33" xfId="0" applyNumberFormat="1" applyFont="1" applyFill="1" applyBorder="1" applyAlignment="1" applyProtection="1">
      <alignment horizontal="center"/>
      <protection locked="0"/>
    </xf>
    <xf numFmtId="0" fontId="1" fillId="0" borderId="35" xfId="0" applyFont="1" applyBorder="1" applyAlignment="1">
      <alignment horizontal="center" wrapText="1"/>
    </xf>
    <xf numFmtId="0" fontId="0" fillId="2" borderId="29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left"/>
      <protection locked="0"/>
    </xf>
    <xf numFmtId="0" fontId="1" fillId="0" borderId="50" xfId="0" applyFont="1" applyBorder="1" applyAlignment="1">
      <alignment horizontal="center" wrapText="1"/>
    </xf>
    <xf numFmtId="0" fontId="4" fillId="8" borderId="23" xfId="0" applyFont="1" applyFill="1" applyBorder="1" applyAlignment="1" applyProtection="1">
      <alignment horizontal="center" vertical="center"/>
      <protection locked="0"/>
    </xf>
    <xf numFmtId="0" fontId="1" fillId="0" borderId="43" xfId="0" applyFont="1" applyFill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center" vertical="center" wrapText="1"/>
    </xf>
    <xf numFmtId="164" fontId="0" fillId="0" borderId="4" xfId="0" applyNumberFormat="1" applyFont="1" applyBorder="1" applyAlignment="1" applyProtection="1">
      <alignment horizontal="center"/>
    </xf>
    <xf numFmtId="164" fontId="9" fillId="0" borderId="51" xfId="0" applyNumberFormat="1" applyFont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center" vertical="center" wrapText="1"/>
    </xf>
    <xf numFmtId="0" fontId="0" fillId="0" borderId="21" xfId="0" applyFont="1" applyBorder="1"/>
    <xf numFmtId="0" fontId="0" fillId="0" borderId="24" xfId="0" applyFont="1" applyBorder="1" applyProtection="1"/>
    <xf numFmtId="0" fontId="0" fillId="0" borderId="20" xfId="0" applyFont="1" applyBorder="1" applyAlignment="1" applyProtection="1">
      <alignment horizontal="left"/>
    </xf>
    <xf numFmtId="0" fontId="0" fillId="0" borderId="22" xfId="0" applyFont="1" applyBorder="1" applyAlignment="1" applyProtection="1">
      <alignment horizontal="left"/>
    </xf>
    <xf numFmtId="0" fontId="1" fillId="0" borderId="3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1" fillId="0" borderId="48" xfId="0" applyFont="1" applyBorder="1" applyAlignment="1"/>
    <xf numFmtId="0" fontId="1" fillId="0" borderId="49" xfId="0" applyFont="1" applyBorder="1" applyAlignment="1"/>
    <xf numFmtId="0" fontId="0" fillId="2" borderId="3" xfId="0" applyFill="1" applyBorder="1" applyAlignment="1" applyProtection="1">
      <protection locked="0"/>
    </xf>
    <xf numFmtId="0" fontId="0" fillId="2" borderId="3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0" borderId="26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2" borderId="39" xfId="0" applyFill="1" applyBorder="1" applyAlignment="1" applyProtection="1">
      <alignment horizontal="left"/>
      <protection locked="0"/>
    </xf>
    <xf numFmtId="0" fontId="0" fillId="2" borderId="40" xfId="0" applyFill="1" applyBorder="1" applyAlignment="1" applyProtection="1">
      <alignment horizontal="left"/>
      <protection locked="0"/>
    </xf>
    <xf numFmtId="0" fontId="0" fillId="2" borderId="41" xfId="0" applyFill="1" applyBorder="1" applyAlignment="1" applyProtection="1">
      <alignment horizontal="left"/>
      <protection locked="0"/>
    </xf>
    <xf numFmtId="0" fontId="9" fillId="0" borderId="31" xfId="0" applyFont="1" applyBorder="1" applyAlignment="1">
      <alignment horizontal="center" wrapText="1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2" borderId="31" xfId="0" applyFill="1" applyBorder="1" applyAlignment="1" applyProtection="1">
      <alignment horizontal="left"/>
      <protection locked="0"/>
    </xf>
    <xf numFmtId="0" fontId="0" fillId="2" borderId="32" xfId="0" applyFill="1" applyBorder="1" applyAlignment="1" applyProtection="1">
      <alignment horizontal="left"/>
      <protection locked="0"/>
    </xf>
    <xf numFmtId="0" fontId="0" fillId="2" borderId="33" xfId="0" applyFill="1" applyBorder="1" applyAlignment="1" applyProtection="1">
      <alignment horizontal="left"/>
      <protection locked="0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2" fillId="0" borderId="36" xfId="0" applyFont="1" applyFill="1" applyBorder="1" applyAlignment="1">
      <alignment vertical="center" wrapText="1"/>
    </xf>
    <xf numFmtId="0" fontId="12" fillId="0" borderId="37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3" fillId="0" borderId="42" xfId="0" applyFont="1" applyBorder="1" applyAlignment="1" applyProtection="1">
      <alignment horizontal="center"/>
    </xf>
    <xf numFmtId="0" fontId="3" fillId="0" borderId="36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center"/>
    </xf>
    <xf numFmtId="0" fontId="4" fillId="9" borderId="39" xfId="0" applyFont="1" applyFill="1" applyBorder="1" applyAlignment="1">
      <alignment horizontal="center" vertical="center"/>
    </xf>
    <xf numFmtId="0" fontId="4" fillId="9" borderId="40" xfId="0" applyFont="1" applyFill="1" applyBorder="1" applyAlignment="1">
      <alignment horizontal="center" vertical="center"/>
    </xf>
    <xf numFmtId="0" fontId="4" fillId="9" borderId="41" xfId="0" applyFont="1" applyFill="1" applyBorder="1" applyAlignment="1">
      <alignment horizontal="center" vertical="center"/>
    </xf>
    <xf numFmtId="0" fontId="4" fillId="8" borderId="52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53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0" fillId="0" borderId="11" xfId="0" applyFont="1" applyFill="1" applyBorder="1" applyAlignment="1">
      <alignment horizontal="left"/>
    </xf>
    <xf numFmtId="14" fontId="0" fillId="0" borderId="11" xfId="0" applyNumberFormat="1" applyFont="1" applyFill="1" applyBorder="1" applyAlignment="1">
      <alignment horizontal="left"/>
    </xf>
    <xf numFmtId="0" fontId="0" fillId="0" borderId="15" xfId="0" applyFont="1" applyFill="1" applyBorder="1" applyAlignment="1" applyProtection="1">
      <alignment horizontal="left" vertical="center"/>
    </xf>
    <xf numFmtId="0" fontId="1" fillId="0" borderId="39" xfId="0" applyFont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/>
    </xf>
    <xf numFmtId="0" fontId="1" fillId="0" borderId="41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left" vertical="top" wrapText="1"/>
    </xf>
    <xf numFmtId="0" fontId="4" fillId="6" borderId="4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14" xfId="0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/>
    </xf>
    <xf numFmtId="2" fontId="4" fillId="4" borderId="14" xfId="0" applyNumberFormat="1" applyFont="1" applyFill="1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/>
    </xf>
    <xf numFmtId="2" fontId="4" fillId="4" borderId="10" xfId="0" applyNumberFormat="1" applyFont="1" applyFill="1" applyBorder="1" applyAlignment="1">
      <alignment horizontal="center" vertical="center"/>
    </xf>
    <xf numFmtId="2" fontId="4" fillId="5" borderId="2" xfId="0" applyNumberFormat="1" applyFont="1" applyFill="1" applyBorder="1" applyAlignment="1">
      <alignment horizontal="center" vertical="center"/>
    </xf>
    <xf numFmtId="2" fontId="4" fillId="5" borderId="14" xfId="0" applyNumberFormat="1" applyFont="1" applyFill="1" applyBorder="1" applyAlignment="1">
      <alignment horizontal="center" vertical="center"/>
    </xf>
    <xf numFmtId="2" fontId="4" fillId="5" borderId="3" xfId="0" applyNumberFormat="1" applyFont="1" applyFill="1" applyBorder="1" applyAlignment="1">
      <alignment horizontal="center" vertical="center"/>
    </xf>
    <xf numFmtId="2" fontId="4" fillId="4" borderId="7" xfId="0" applyNumberFormat="1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 vertical="center"/>
    </xf>
    <xf numFmtId="2" fontId="4" fillId="6" borderId="2" xfId="0" applyNumberFormat="1" applyFont="1" applyFill="1" applyBorder="1" applyAlignment="1">
      <alignment horizontal="center" vertical="center"/>
    </xf>
    <xf numFmtId="2" fontId="4" fillId="6" borderId="14" xfId="0" applyNumberFormat="1" applyFont="1" applyFill="1" applyBorder="1" applyAlignment="1">
      <alignment horizontal="center" vertical="center"/>
    </xf>
    <xf numFmtId="2" fontId="4" fillId="6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9" fillId="0" borderId="15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4" fillId="3" borderId="8" xfId="2" applyFont="1" applyFill="1" applyBorder="1" applyAlignment="1">
      <alignment horizontal="left" vertical="center"/>
    </xf>
    <xf numFmtId="0" fontId="4" fillId="3" borderId="7" xfId="2" applyFont="1" applyFill="1" applyBorder="1" applyAlignment="1">
      <alignment horizontal="left" vertical="center"/>
    </xf>
    <xf numFmtId="2" fontId="4" fillId="3" borderId="7" xfId="0" applyNumberFormat="1" applyFont="1" applyFill="1" applyBorder="1" applyAlignment="1">
      <alignment horizontal="center" vertical="center"/>
    </xf>
    <xf numFmtId="2" fontId="4" fillId="3" borderId="10" xfId="0" applyNumberFormat="1" applyFont="1" applyFill="1" applyBorder="1" applyAlignment="1">
      <alignment horizontal="center" vertical="center"/>
    </xf>
    <xf numFmtId="2" fontId="4" fillId="3" borderId="13" xfId="0" applyNumberFormat="1" applyFont="1" applyFill="1" applyBorder="1" applyAlignment="1">
      <alignment horizontal="center" vertical="center"/>
    </xf>
    <xf numFmtId="0" fontId="4" fillId="3" borderId="9" xfId="2" applyFont="1" applyFill="1" applyBorder="1" applyAlignment="1">
      <alignment horizontal="left" vertical="center"/>
    </xf>
    <xf numFmtId="0" fontId="4" fillId="3" borderId="10" xfId="2" applyFont="1" applyFill="1" applyBorder="1" applyAlignment="1">
      <alignment horizontal="left" vertical="center"/>
    </xf>
    <xf numFmtId="0" fontId="4" fillId="3" borderId="12" xfId="2" applyFont="1" applyFill="1" applyBorder="1" applyAlignment="1">
      <alignment horizontal="left" vertical="center"/>
    </xf>
    <xf numFmtId="0" fontId="4" fillId="3" borderId="13" xfId="2" applyFont="1" applyFill="1" applyBorder="1" applyAlignment="1">
      <alignment horizontal="left" vertical="center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2" fontId="4" fillId="3" borderId="15" xfId="0" applyNumberFormat="1" applyFont="1" applyFill="1" applyBorder="1" applyAlignment="1">
      <alignment horizontal="center" vertical="center"/>
    </xf>
    <xf numFmtId="2" fontId="4" fillId="3" borderId="0" xfId="0" applyNumberFormat="1" applyFont="1" applyFill="1" applyBorder="1" applyAlignment="1">
      <alignment horizontal="center" vertical="center"/>
    </xf>
    <xf numFmtId="2" fontId="4" fillId="3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">
    <cellStyle name="40% - Accent1" xfId="2" builtinId="31"/>
    <cellStyle name="Normal" xfId="0" builtinId="0"/>
    <cellStyle name="Normal 2" xfId="1" xr:uid="{00000000-0005-0000-0000-000002000000}"/>
    <cellStyle name="Percent" xfId="3" builtinId="5"/>
  </cellStyles>
  <dxfs count="119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</a:t>
            </a:r>
            <a:r>
              <a:rPr lang="en-US" baseline="0"/>
              <a:t> Impervious Cover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0.13899831881942171"/>
                  <c:y val="-0.3508690280639740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'Reference Standards'!#REF!</c:f>
            </c:numRef>
          </c:xVal>
          <c:yVal>
            <c:numRef>
              <c:f>'Reference Standards'!#REF!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1A-4B46-B753-5EE7BFC8112A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5.9288715306053522E-2"/>
                  <c:y val="-0.1837337377616655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'Reference Standards'!#REF!</c:f>
            </c:numRef>
          </c:xVal>
          <c:yVal>
            <c:numRef>
              <c:f>'Reference Standards'!#REF!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53-49FD-BCE0-42FA69BC7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643520"/>
        <c:axId val="409643912"/>
      </c:scatterChart>
      <c:valAx>
        <c:axId val="409643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643912"/>
        <c:crosses val="autoZero"/>
        <c:crossBetween val="midCat"/>
      </c:valAx>
      <c:valAx>
        <c:axId val="4096439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643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20</xdr:row>
      <xdr:rowOff>0</xdr:rowOff>
    </xdr:from>
    <xdr:to>
      <xdr:col>3</xdr:col>
      <xdr:colOff>2598419</xdr:colOff>
      <xdr:row>23</xdr:row>
      <xdr:rowOff>106679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77C9C77-5261-411E-B82D-4C960BC8F36D}"/>
            </a:ext>
          </a:extLst>
        </xdr:cNvPr>
        <xdr:cNvSpPr txBox="1"/>
      </xdr:nvSpPr>
      <xdr:spPr>
        <a:xfrm>
          <a:off x="47624" y="4152900"/>
          <a:ext cx="4303395" cy="67055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300" b="1"/>
            <a:t>NOTICE: </a:t>
          </a:r>
          <a:r>
            <a:rPr lang="en-US" sz="1100" baseline="0">
              <a:solidFill>
                <a:sysClr val="windowText" lastClr="000000"/>
              </a:solidFill>
            </a:rPr>
            <a:t>If you find errors or problems, please contact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Joshua Carpenter at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Joshua.G.Carpenter@usace.army.mil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29028</xdr:colOff>
      <xdr:row>127</xdr:row>
      <xdr:rowOff>0</xdr:rowOff>
    </xdr:from>
    <xdr:to>
      <xdr:col>7</xdr:col>
      <xdr:colOff>0</xdr:colOff>
      <xdr:row>127</xdr:row>
      <xdr:rowOff>0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9"/>
  <sheetViews>
    <sheetView tabSelected="1" workbookViewId="0">
      <selection activeCell="D3" sqref="D3"/>
    </sheetView>
  </sheetViews>
  <sheetFormatPr defaultRowHeight="14.25" x14ac:dyDescent="0.45"/>
  <cols>
    <col min="1" max="1" width="13.3984375" customWidth="1"/>
    <col min="2" max="2" width="13.3984375" style="5" customWidth="1"/>
    <col min="3" max="3" width="8.86328125" customWidth="1"/>
    <col min="4" max="4" width="45.1328125" bestFit="1" customWidth="1"/>
    <col min="5" max="5" width="12.73046875" customWidth="1"/>
    <col min="7" max="7" width="7.86328125" customWidth="1"/>
    <col min="11" max="12" width="8.86328125" style="5"/>
  </cols>
  <sheetData>
    <row r="1" spans="1:28" x14ac:dyDescent="0.45">
      <c r="A1" s="5" t="s">
        <v>360</v>
      </c>
      <c r="C1" s="5"/>
      <c r="D1" s="5"/>
      <c r="E1" s="5"/>
      <c r="F1" s="5"/>
      <c r="G1" s="5"/>
      <c r="H1" s="5"/>
      <c r="I1" s="5"/>
      <c r="J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x14ac:dyDescent="0.45">
      <c r="A2" s="5" t="s">
        <v>72</v>
      </c>
      <c r="C2" s="5"/>
      <c r="D2" s="296">
        <v>44019</v>
      </c>
      <c r="E2" s="5"/>
      <c r="F2" s="5"/>
      <c r="G2" s="5"/>
      <c r="H2" s="5"/>
      <c r="I2" s="5"/>
      <c r="J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5" customFormat="1" ht="7.9" customHeight="1" x14ac:dyDescent="0.45">
      <c r="D3" s="107"/>
    </row>
    <row r="4" spans="1:28" ht="18.399999999999999" thickBot="1" x14ac:dyDescent="0.6">
      <c r="A4" s="333" t="s">
        <v>350</v>
      </c>
      <c r="B4" s="333"/>
      <c r="C4" s="334"/>
      <c r="D4" s="334"/>
      <c r="E4" s="334"/>
      <c r="F4" s="334"/>
      <c r="G4" s="334"/>
      <c r="H4" s="334"/>
      <c r="I4" s="334"/>
    </row>
    <row r="5" spans="1:28" ht="18.399999999999999" thickBot="1" x14ac:dyDescent="0.6">
      <c r="A5" s="335" t="s">
        <v>125</v>
      </c>
      <c r="B5" s="336"/>
      <c r="C5" s="337"/>
      <c r="D5" s="338"/>
      <c r="E5" s="339"/>
      <c r="F5" s="340"/>
      <c r="G5" s="341" t="s">
        <v>126</v>
      </c>
      <c r="H5" s="342"/>
      <c r="I5" s="343"/>
      <c r="K5"/>
      <c r="L5"/>
    </row>
    <row r="6" spans="1:28" ht="18.399999999999999" thickBot="1" x14ac:dyDescent="0.6">
      <c r="A6" s="344" t="s">
        <v>127</v>
      </c>
      <c r="B6" s="342"/>
      <c r="C6" s="343"/>
      <c r="D6" s="345"/>
      <c r="E6" s="346"/>
      <c r="F6" s="347"/>
      <c r="G6" s="327">
        <f>'Debit Calculator'!I17</f>
        <v>0</v>
      </c>
      <c r="H6" s="328"/>
      <c r="I6" s="329"/>
      <c r="J6" s="21"/>
      <c r="K6" s="21"/>
      <c r="L6" s="21"/>
      <c r="M6" s="21"/>
      <c r="N6" s="5"/>
      <c r="O6" s="52"/>
      <c r="P6" s="53"/>
    </row>
    <row r="7" spans="1:28" ht="34.9" customHeight="1" thickBot="1" x14ac:dyDescent="0.6">
      <c r="A7" s="348" t="s">
        <v>128</v>
      </c>
      <c r="B7" s="349"/>
      <c r="C7" s="350"/>
      <c r="D7" s="299"/>
      <c r="E7" s="87" t="s">
        <v>129</v>
      </c>
      <c r="F7" s="303"/>
      <c r="G7" s="330"/>
      <c r="H7" s="331"/>
      <c r="I7" s="332"/>
      <c r="J7" s="21"/>
      <c r="K7" s="21"/>
      <c r="L7" s="21"/>
      <c r="M7" s="21"/>
      <c r="N7" s="5"/>
      <c r="O7" s="52"/>
      <c r="P7" s="53"/>
    </row>
    <row r="8" spans="1:28" ht="34.9" customHeight="1" thickBot="1" x14ac:dyDescent="0.5">
      <c r="A8" s="351" t="s">
        <v>130</v>
      </c>
      <c r="B8" s="352"/>
      <c r="C8" s="353"/>
      <c r="D8" s="354"/>
      <c r="E8" s="355"/>
      <c r="F8" s="355"/>
      <c r="G8" s="355"/>
      <c r="H8" s="355"/>
      <c r="I8" s="356"/>
      <c r="J8" s="21"/>
      <c r="K8" s="21"/>
      <c r="L8" s="21"/>
      <c r="M8" s="21"/>
      <c r="N8" s="5"/>
      <c r="O8" s="52"/>
      <c r="P8" s="53"/>
    </row>
    <row r="9" spans="1:28" ht="28.9" thickBot="1" x14ac:dyDescent="0.5">
      <c r="A9" s="304" t="s">
        <v>131</v>
      </c>
      <c r="B9" s="308" t="s">
        <v>362</v>
      </c>
      <c r="C9" s="264" t="s">
        <v>363</v>
      </c>
      <c r="D9" s="294" t="s">
        <v>132</v>
      </c>
      <c r="E9" s="264" t="s">
        <v>298</v>
      </c>
      <c r="F9" s="322" t="s">
        <v>133</v>
      </c>
      <c r="G9" s="322"/>
      <c r="H9" s="322" t="s">
        <v>134</v>
      </c>
      <c r="I9" s="323"/>
      <c r="J9" s="21"/>
      <c r="K9" s="21"/>
      <c r="L9" s="21"/>
      <c r="M9" s="21"/>
      <c r="N9" s="5"/>
      <c r="O9" s="52"/>
      <c r="P9" s="53"/>
    </row>
    <row r="10" spans="1:28" ht="15.75" x14ac:dyDescent="0.45">
      <c r="A10" s="305"/>
      <c r="B10" s="187"/>
      <c r="C10" s="187"/>
      <c r="D10" s="300"/>
      <c r="E10" s="265"/>
      <c r="F10" s="324"/>
      <c r="G10" s="324"/>
      <c r="H10" s="324"/>
      <c r="I10" s="325"/>
      <c r="J10" s="21"/>
      <c r="K10" s="21"/>
      <c r="L10" s="21"/>
      <c r="M10" s="21"/>
      <c r="N10" s="5"/>
      <c r="O10" s="52"/>
      <c r="P10" s="53"/>
    </row>
    <row r="11" spans="1:28" ht="15.75" x14ac:dyDescent="0.45">
      <c r="A11" s="306"/>
      <c r="B11" s="187"/>
      <c r="C11" s="187"/>
      <c r="D11" s="300"/>
      <c r="E11" s="266"/>
      <c r="F11" s="321"/>
      <c r="G11" s="321"/>
      <c r="H11" s="321"/>
      <c r="I11" s="326"/>
      <c r="J11" s="21"/>
      <c r="K11" s="21"/>
      <c r="L11" s="21"/>
      <c r="M11" s="21"/>
      <c r="N11" s="5"/>
      <c r="O11" s="52"/>
      <c r="P11" s="53"/>
    </row>
    <row r="12" spans="1:28" ht="15.75" x14ac:dyDescent="0.45">
      <c r="A12" s="306"/>
      <c r="B12" s="187"/>
      <c r="C12" s="187"/>
      <c r="D12" s="300"/>
      <c r="E12" s="266"/>
      <c r="F12" s="321"/>
      <c r="G12" s="321"/>
      <c r="H12" s="321"/>
      <c r="I12" s="326"/>
      <c r="J12" s="21"/>
      <c r="K12" s="21"/>
      <c r="L12" s="21"/>
      <c r="M12" s="21"/>
      <c r="N12" s="5"/>
      <c r="O12" s="52"/>
      <c r="P12" s="53"/>
    </row>
    <row r="13" spans="1:28" ht="15.75" x14ac:dyDescent="0.45">
      <c r="A13" s="306"/>
      <c r="B13" s="187"/>
      <c r="C13" s="187"/>
      <c r="D13" s="301"/>
      <c r="E13" s="266"/>
      <c r="F13" s="321"/>
      <c r="G13" s="321"/>
      <c r="H13" s="321"/>
      <c r="I13" s="326"/>
      <c r="J13" s="21"/>
      <c r="K13" s="21"/>
      <c r="L13" s="21"/>
      <c r="M13" s="21"/>
      <c r="N13" s="5"/>
      <c r="O13" s="52"/>
      <c r="P13" s="53"/>
    </row>
    <row r="14" spans="1:28" ht="15.75" x14ac:dyDescent="0.45">
      <c r="A14" s="306"/>
      <c r="B14" s="187"/>
      <c r="C14" s="187"/>
      <c r="D14" s="301"/>
      <c r="E14" s="266"/>
      <c r="F14" s="321"/>
      <c r="G14" s="321"/>
      <c r="H14" s="321"/>
      <c r="I14" s="326"/>
      <c r="J14" s="21"/>
      <c r="K14" s="21"/>
      <c r="L14" s="21"/>
      <c r="M14" s="21"/>
      <c r="N14" s="5"/>
      <c r="O14" s="52"/>
      <c r="P14" s="53"/>
    </row>
    <row r="15" spans="1:28" ht="15.75" x14ac:dyDescent="0.45">
      <c r="A15" s="306"/>
      <c r="B15" s="187"/>
      <c r="C15" s="187"/>
      <c r="D15" s="301"/>
      <c r="E15" s="266"/>
      <c r="F15" s="321"/>
      <c r="G15" s="321"/>
      <c r="H15" s="321"/>
      <c r="I15" s="326"/>
      <c r="J15" s="21"/>
      <c r="K15" s="21"/>
      <c r="L15" s="21"/>
      <c r="M15" s="21"/>
      <c r="N15" s="5"/>
      <c r="O15" s="52"/>
      <c r="P15" s="53"/>
    </row>
    <row r="16" spans="1:28" ht="15.75" x14ac:dyDescent="0.45">
      <c r="A16" s="306"/>
      <c r="B16" s="187"/>
      <c r="C16" s="187"/>
      <c r="D16" s="301"/>
      <c r="E16" s="266"/>
      <c r="F16" s="321"/>
      <c r="G16" s="321"/>
      <c r="H16" s="321"/>
      <c r="I16" s="326"/>
      <c r="J16" s="21"/>
      <c r="K16" s="21"/>
      <c r="L16" s="21"/>
      <c r="M16" s="21"/>
      <c r="N16" s="5"/>
      <c r="O16" s="52"/>
      <c r="P16" s="53"/>
    </row>
    <row r="17" spans="1:28" ht="15.75" x14ac:dyDescent="0.45">
      <c r="A17" s="306"/>
      <c r="B17" s="187"/>
      <c r="C17" s="187"/>
      <c r="D17" s="301"/>
      <c r="E17" s="266"/>
      <c r="F17" s="321"/>
      <c r="G17" s="321"/>
      <c r="H17" s="321"/>
      <c r="I17" s="326"/>
      <c r="J17" s="21"/>
      <c r="K17" s="21"/>
      <c r="L17" s="21"/>
      <c r="M17" s="21"/>
      <c r="N17" s="5"/>
      <c r="O17" s="52"/>
      <c r="P17" s="53"/>
    </row>
    <row r="18" spans="1:28" ht="15.75" x14ac:dyDescent="0.45">
      <c r="A18" s="306"/>
      <c r="B18" s="187"/>
      <c r="C18" s="187"/>
      <c r="D18" s="301"/>
      <c r="E18" s="266"/>
      <c r="F18" s="321"/>
      <c r="G18" s="321"/>
      <c r="H18" s="321"/>
      <c r="I18" s="326"/>
      <c r="J18" s="21"/>
      <c r="K18" s="21"/>
      <c r="L18" s="21"/>
      <c r="M18" s="21"/>
      <c r="N18" s="5"/>
      <c r="O18" s="52"/>
      <c r="P18" s="53"/>
    </row>
    <row r="19" spans="1:28" ht="16.149999999999999" thickBot="1" x14ac:dyDescent="0.5">
      <c r="A19" s="307"/>
      <c r="B19" s="309"/>
      <c r="C19" s="309"/>
      <c r="D19" s="302"/>
      <c r="E19" s="267"/>
      <c r="F19" s="360"/>
      <c r="G19" s="360"/>
      <c r="H19" s="360"/>
      <c r="I19" s="361"/>
      <c r="J19" s="21"/>
      <c r="K19" s="21"/>
      <c r="L19" s="21"/>
      <c r="M19" s="21"/>
      <c r="N19" s="5"/>
      <c r="O19" s="52"/>
      <c r="P19" s="53"/>
    </row>
    <row r="20" spans="1:28" x14ac:dyDescent="0.4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5"/>
      <c r="O20" s="5"/>
      <c r="P20" s="5"/>
    </row>
    <row r="21" spans="1:28" ht="15.75" x14ac:dyDescent="0.45">
      <c r="E21" s="357" t="s">
        <v>111</v>
      </c>
      <c r="F21" s="358"/>
      <c r="G21" s="358"/>
      <c r="H21" s="359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s="5" customFormat="1" x14ac:dyDescent="0.45"/>
    <row r="23" spans="1:28" s="5" customFormat="1" x14ac:dyDescent="0.45"/>
    <row r="24" spans="1:28" s="5" customFormat="1" x14ac:dyDescent="0.45"/>
    <row r="25" spans="1:28" x14ac:dyDescent="0.45">
      <c r="A25" s="6" t="s">
        <v>177</v>
      </c>
      <c r="B25" s="6"/>
      <c r="C25" s="5"/>
      <c r="D25" s="5"/>
      <c r="E25" s="5"/>
      <c r="F25" s="5"/>
      <c r="G25" s="5"/>
      <c r="H25" s="5"/>
      <c r="I25" s="5"/>
      <c r="J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s="5" customFormat="1" x14ac:dyDescent="0.45">
      <c r="A26" s="5" t="s">
        <v>174</v>
      </c>
    </row>
    <row r="27" spans="1:28" s="4" customFormat="1" x14ac:dyDescent="0.45">
      <c r="A27" s="6" t="s">
        <v>89</v>
      </c>
      <c r="B27" s="6"/>
      <c r="C27" s="5"/>
      <c r="D27" s="5" t="s">
        <v>90</v>
      </c>
      <c r="E27" s="5"/>
    </row>
    <row r="28" spans="1:28" s="4" customFormat="1" x14ac:dyDescent="0.45">
      <c r="A28" s="5"/>
      <c r="B28" s="5"/>
      <c r="C28" s="5"/>
      <c r="D28" s="5" t="s">
        <v>175</v>
      </c>
      <c r="E28" s="5"/>
    </row>
    <row r="29" spans="1:28" s="4" customFormat="1" x14ac:dyDescent="0.45">
      <c r="A29" s="5"/>
      <c r="B29" s="5"/>
      <c r="C29" s="5"/>
      <c r="D29" s="5" t="s">
        <v>351</v>
      </c>
      <c r="E29" s="5"/>
    </row>
    <row r="30" spans="1:28" s="4" customFormat="1" x14ac:dyDescent="0.45">
      <c r="A30" s="5"/>
      <c r="B30" s="5"/>
      <c r="C30" s="5"/>
      <c r="D30" s="5" t="s">
        <v>176</v>
      </c>
      <c r="E30" s="5"/>
    </row>
    <row r="31" spans="1:28" s="4" customFormat="1" x14ac:dyDescent="0.45">
      <c r="A31" s="6" t="s">
        <v>91</v>
      </c>
      <c r="B31" s="6"/>
      <c r="C31" s="5"/>
      <c r="D31" s="5"/>
      <c r="E31" s="5"/>
    </row>
    <row r="32" spans="1:28" s="5" customFormat="1" x14ac:dyDescent="0.45">
      <c r="A32" s="5" t="s">
        <v>135</v>
      </c>
    </row>
    <row r="33" spans="1:28" s="4" customFormat="1" x14ac:dyDescent="0.45">
      <c r="A33" s="5" t="s">
        <v>136</v>
      </c>
      <c r="B33" s="5"/>
      <c r="C33" s="5"/>
      <c r="D33" s="5"/>
      <c r="E33" s="5"/>
    </row>
    <row r="34" spans="1:28" x14ac:dyDescent="0.45">
      <c r="A34" s="5" t="s">
        <v>137</v>
      </c>
      <c r="C34" s="5"/>
      <c r="D34" s="5"/>
      <c r="E34" s="5"/>
      <c r="F34" s="5"/>
      <c r="G34" s="5"/>
      <c r="H34" s="5"/>
      <c r="I34" s="5"/>
      <c r="J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x14ac:dyDescent="0.45">
      <c r="A35" s="5"/>
      <c r="C35" s="5"/>
      <c r="D35" s="5"/>
      <c r="E35" s="5"/>
      <c r="F35" s="5"/>
      <c r="G35" s="5"/>
      <c r="H35" s="5"/>
      <c r="I35" s="5"/>
      <c r="J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x14ac:dyDescent="0.45">
      <c r="D36" s="5"/>
      <c r="E36" s="5"/>
      <c r="F36" s="5"/>
      <c r="G36" s="5"/>
      <c r="H36" s="5"/>
      <c r="I36" s="5"/>
      <c r="J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x14ac:dyDescent="0.45">
      <c r="D37" s="5"/>
      <c r="E37" s="5"/>
      <c r="F37" s="5"/>
      <c r="G37" s="5"/>
      <c r="H37" s="5"/>
      <c r="I37" s="5"/>
      <c r="J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x14ac:dyDescent="0.45">
      <c r="D38" s="5"/>
      <c r="E38" s="5"/>
      <c r="F38" s="5"/>
      <c r="G38" s="5"/>
      <c r="H38" s="5"/>
      <c r="I38" s="5"/>
      <c r="J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x14ac:dyDescent="0.45">
      <c r="D39" s="5"/>
      <c r="E39" s="5"/>
      <c r="F39" s="5"/>
      <c r="G39" s="5"/>
      <c r="H39" s="5"/>
      <c r="I39" s="5"/>
      <c r="J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</sheetData>
  <mergeCells count="33">
    <mergeCell ref="E21:H21"/>
    <mergeCell ref="F17:G17"/>
    <mergeCell ref="F18:G18"/>
    <mergeCell ref="F19:G19"/>
    <mergeCell ref="H17:I17"/>
    <mergeCell ref="H18:I18"/>
    <mergeCell ref="H19:I19"/>
    <mergeCell ref="F15:G15"/>
    <mergeCell ref="F16:G16"/>
    <mergeCell ref="H14:I14"/>
    <mergeCell ref="H15:I15"/>
    <mergeCell ref="H16:I16"/>
    <mergeCell ref="A8:C8"/>
    <mergeCell ref="D8:I8"/>
    <mergeCell ref="F9:G9"/>
    <mergeCell ref="F10:G10"/>
    <mergeCell ref="F14:G14"/>
    <mergeCell ref="G6:I7"/>
    <mergeCell ref="A4:I4"/>
    <mergeCell ref="A5:C5"/>
    <mergeCell ref="D5:F5"/>
    <mergeCell ref="G5:I5"/>
    <mergeCell ref="A6:C6"/>
    <mergeCell ref="D6:F6"/>
    <mergeCell ref="A7:C7"/>
    <mergeCell ref="F11:G11"/>
    <mergeCell ref="F12:G12"/>
    <mergeCell ref="F13:G13"/>
    <mergeCell ref="H9:I9"/>
    <mergeCell ref="H10:I10"/>
    <mergeCell ref="H11:I11"/>
    <mergeCell ref="H12:I12"/>
    <mergeCell ref="H13:I13"/>
  </mergeCells>
  <conditionalFormatting sqref="E21">
    <cfRule type="beginsWith" dxfId="1192" priority="25" stopIfTrue="1" operator="beginsWith" text="Functioning At Risk">
      <formula>LEFT(E21,LEN("Functioning At Risk"))="Functioning At Risk"</formula>
    </cfRule>
    <cfRule type="beginsWith" dxfId="1191" priority="26" stopIfTrue="1" operator="beginsWith" text="Not Functioning">
      <formula>LEFT(E21,LEN("Not Functioning"))="Not Functioning"</formula>
    </cfRule>
    <cfRule type="containsText" dxfId="1190" priority="27" operator="containsText" text="Functioning">
      <formula>NOT(ISERROR(SEARCH("Functioning",E21)))</formula>
    </cfRule>
  </conditionalFormatting>
  <conditionalFormatting sqref="C10">
    <cfRule type="beginsWith" dxfId="1189" priority="22" stopIfTrue="1" operator="beginsWith" text="Functioning At Risk">
      <formula>LEFT(C10,LEN("Functioning At Risk"))="Functioning At Risk"</formula>
    </cfRule>
    <cfRule type="beginsWith" dxfId="1188" priority="23" stopIfTrue="1" operator="beginsWith" text="Not Functioning">
      <formula>LEFT(C10,LEN("Not Functioning"))="Not Functioning"</formula>
    </cfRule>
    <cfRule type="containsText" dxfId="1187" priority="24" operator="containsText" text="Functioning">
      <formula>NOT(ISERROR(SEARCH("Functioning",C10)))</formula>
    </cfRule>
  </conditionalFormatting>
  <conditionalFormatting sqref="B10">
    <cfRule type="beginsWith" dxfId="1186" priority="19" stopIfTrue="1" operator="beginsWith" text="Functioning At Risk">
      <formula>LEFT(B10,LEN("Functioning At Risk"))="Functioning At Risk"</formula>
    </cfRule>
    <cfRule type="beginsWith" dxfId="1185" priority="20" stopIfTrue="1" operator="beginsWith" text="Not Functioning">
      <formula>LEFT(B10,LEN("Not Functioning"))="Not Functioning"</formula>
    </cfRule>
    <cfRule type="containsText" dxfId="1184" priority="21" operator="containsText" text="Functioning">
      <formula>NOT(ISERROR(SEARCH("Functioning",B10)))</formula>
    </cfRule>
  </conditionalFormatting>
  <conditionalFormatting sqref="C11:C19">
    <cfRule type="beginsWith" dxfId="1183" priority="16" stopIfTrue="1" operator="beginsWith" text="Functioning At Risk">
      <formula>LEFT(C11,LEN("Functioning At Risk"))="Functioning At Risk"</formula>
    </cfRule>
    <cfRule type="beginsWith" dxfId="1182" priority="17" stopIfTrue="1" operator="beginsWith" text="Not Functioning">
      <formula>LEFT(C11,LEN("Not Functioning"))="Not Functioning"</formula>
    </cfRule>
    <cfRule type="containsText" dxfId="1181" priority="18" operator="containsText" text="Functioning">
      <formula>NOT(ISERROR(SEARCH("Functioning",C11)))</formula>
    </cfRule>
  </conditionalFormatting>
  <conditionalFormatting sqref="B11:B12 B19">
    <cfRule type="beginsWith" dxfId="1180" priority="13" stopIfTrue="1" operator="beginsWith" text="Functioning At Risk">
      <formula>LEFT(B11,LEN("Functioning At Risk"))="Functioning At Risk"</formula>
    </cfRule>
    <cfRule type="beginsWith" dxfId="1179" priority="14" stopIfTrue="1" operator="beginsWith" text="Not Functioning">
      <formula>LEFT(B11,LEN("Not Functioning"))="Not Functioning"</formula>
    </cfRule>
    <cfRule type="containsText" dxfId="1178" priority="15" operator="containsText" text="Functioning">
      <formula>NOT(ISERROR(SEARCH("Functioning",B11)))</formula>
    </cfRule>
  </conditionalFormatting>
  <conditionalFormatting sqref="B13">
    <cfRule type="beginsWith" dxfId="1177" priority="10" stopIfTrue="1" operator="beginsWith" text="Functioning At Risk">
      <formula>LEFT(B13,LEN("Functioning At Risk"))="Functioning At Risk"</formula>
    </cfRule>
    <cfRule type="beginsWith" dxfId="1176" priority="11" stopIfTrue="1" operator="beginsWith" text="Not Functioning">
      <formula>LEFT(B13,LEN("Not Functioning"))="Not Functioning"</formula>
    </cfRule>
    <cfRule type="containsText" dxfId="1175" priority="12" operator="containsText" text="Functioning">
      <formula>NOT(ISERROR(SEARCH("Functioning",B13)))</formula>
    </cfRule>
  </conditionalFormatting>
  <conditionalFormatting sqref="B14:B15">
    <cfRule type="beginsWith" dxfId="1174" priority="7" stopIfTrue="1" operator="beginsWith" text="Functioning At Risk">
      <formula>LEFT(B14,LEN("Functioning At Risk"))="Functioning At Risk"</formula>
    </cfRule>
    <cfRule type="beginsWith" dxfId="1173" priority="8" stopIfTrue="1" operator="beginsWith" text="Not Functioning">
      <formula>LEFT(B14,LEN("Not Functioning"))="Not Functioning"</formula>
    </cfRule>
    <cfRule type="containsText" dxfId="1172" priority="9" operator="containsText" text="Functioning">
      <formula>NOT(ISERROR(SEARCH("Functioning",B14)))</formula>
    </cfRule>
  </conditionalFormatting>
  <conditionalFormatting sqref="B16">
    <cfRule type="beginsWith" dxfId="1171" priority="4" stopIfTrue="1" operator="beginsWith" text="Functioning At Risk">
      <formula>LEFT(B16,LEN("Functioning At Risk"))="Functioning At Risk"</formula>
    </cfRule>
    <cfRule type="beginsWith" dxfId="1170" priority="5" stopIfTrue="1" operator="beginsWith" text="Not Functioning">
      <formula>LEFT(B16,LEN("Not Functioning"))="Not Functioning"</formula>
    </cfRule>
    <cfRule type="containsText" dxfId="1169" priority="6" operator="containsText" text="Functioning">
      <formula>NOT(ISERROR(SEARCH("Functioning",B16)))</formula>
    </cfRule>
  </conditionalFormatting>
  <conditionalFormatting sqref="B17:B18">
    <cfRule type="beginsWith" dxfId="1168" priority="1" stopIfTrue="1" operator="beginsWith" text="Functioning At Risk">
      <formula>LEFT(B17,LEN("Functioning At Risk"))="Functioning At Risk"</formula>
    </cfRule>
    <cfRule type="beginsWith" dxfId="1167" priority="2" stopIfTrue="1" operator="beginsWith" text="Not Functioning">
      <formula>LEFT(B17,LEN("Not Functioning"))="Not Functioning"</formula>
    </cfRule>
    <cfRule type="containsText" dxfId="1166" priority="3" operator="containsText" text="Functioning">
      <formula>NOT(ISERROR(SEARCH("Functioning",B17)))</formula>
    </cfRule>
  </conditionalFormatting>
  <pageMargins left="0.7" right="0.7" top="0.75" bottom="0.75" header="0.3" footer="0.3"/>
  <pageSetup scale="95" fitToHeight="0" orientation="landscape" r:id="rId1"/>
  <headerFooter>
    <oddFooter>&amp;LCSQT v1.0
Debit Calculator Project Assessment</oddFooter>
  </headerFooter>
  <colBreaks count="1" manualBreakCount="1">
    <brk id="9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2AEF905-FDEC-4E72-8CD4-35E9B03CC43D}">
          <x14:formula1>
            <xm:f>'Pull Down Notes'!$B$61:$B$63</xm:f>
          </x14:formula1>
          <xm:sqref>E10:E19</xm:sqref>
        </x14:dataValidation>
        <x14:dataValidation type="list" allowBlank="1" showErrorMessage="1" xr:uid="{8A2BBC43-3D80-4E95-BC64-628D1F638D60}">
          <x14:formula1>
            <xm:f>'Pull Down Notes'!$F$42:$F$47</xm:f>
          </x14:formula1>
          <xm:sqref>C10:C19</xm:sqref>
        </x14:dataValidation>
        <x14:dataValidation type="list" allowBlank="1" showErrorMessage="1" xr:uid="{33056BB2-CDC8-4619-90F9-8320089B2A51}">
          <x14:formula1>
            <xm:f>'Pull Down Notes'!$F$37:$F$40</xm:f>
          </x14:formula1>
          <xm:sqref>B10:B19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61"/>
  <sheetViews>
    <sheetView zoomScaleNormal="100" zoomScaleSheetLayoutView="87" workbookViewId="0">
      <selection activeCell="C10" sqref="C10"/>
    </sheetView>
  </sheetViews>
  <sheetFormatPr defaultColWidth="9.1328125" defaultRowHeight="14.25" x14ac:dyDescent="0.45"/>
  <cols>
    <col min="1" max="1" width="12.33203125" style="66" customWidth="1"/>
    <col min="2" max="2" width="11.86328125" style="66" customWidth="1"/>
    <col min="3" max="3" width="14.265625" style="66" customWidth="1"/>
    <col min="4" max="6" width="14.73046875" style="66" customWidth="1"/>
    <col min="7" max="7" width="12.19921875" style="66" customWidth="1"/>
    <col min="8" max="8" width="14.73046875" style="66" customWidth="1"/>
    <col min="9" max="9" width="17.3984375" style="66" customWidth="1"/>
    <col min="10" max="10" width="20.3984375" style="66" customWidth="1"/>
    <col min="11" max="12" width="14.73046875" style="66" customWidth="1"/>
    <col min="13" max="13" width="41.265625" style="66" customWidth="1"/>
    <col min="14" max="14" width="27" style="66" bestFit="1" customWidth="1"/>
    <col min="15" max="15" width="9.86328125" style="66" customWidth="1"/>
    <col min="16" max="16384" width="9.1328125" style="66"/>
  </cols>
  <sheetData>
    <row r="1" spans="1:22" x14ac:dyDescent="0.45">
      <c r="A1" s="66" t="s">
        <v>162</v>
      </c>
      <c r="B1" s="391" t="str">
        <f>IF('Project Assessment'!D5="","",'Project Assessment'!D5)</f>
        <v/>
      </c>
      <c r="C1" s="391"/>
      <c r="D1" s="391"/>
      <c r="E1" s="88"/>
    </row>
    <row r="2" spans="1:22" ht="14.65" thickBot="1" x14ac:dyDescent="0.5">
      <c r="A2" s="66" t="s">
        <v>163</v>
      </c>
      <c r="B2" s="392" t="str">
        <f>IF('Project Assessment'!F7="","",'Project Assessment'!F7)</f>
        <v/>
      </c>
      <c r="C2" s="392"/>
      <c r="D2" s="392"/>
      <c r="E2" s="88"/>
    </row>
    <row r="3" spans="1:22" ht="30.75" customHeight="1" x14ac:dyDescent="0.45">
      <c r="A3" s="397" t="s">
        <v>172</v>
      </c>
      <c r="B3" s="393" t="str">
        <f>IF('Project Assessment'!D6="","",'Project Assessment'!D6)</f>
        <v/>
      </c>
      <c r="C3" s="393"/>
      <c r="D3" s="393"/>
      <c r="E3" s="89"/>
      <c r="F3" s="383" t="s">
        <v>111</v>
      </c>
      <c r="G3" s="384"/>
      <c r="H3" s="384"/>
      <c r="I3" s="385"/>
      <c r="N3" s="90"/>
      <c r="O3" s="90"/>
      <c r="P3" s="90"/>
      <c r="Q3" s="90"/>
      <c r="R3" s="90"/>
      <c r="S3" s="90"/>
      <c r="T3" s="90"/>
      <c r="U3" s="90"/>
      <c r="V3" s="91"/>
    </row>
    <row r="4" spans="1:22" ht="32.25" customHeight="1" thickBot="1" x14ac:dyDescent="0.5">
      <c r="A4" s="397"/>
      <c r="B4" s="393" t="str">
        <f>IF('Project Assessment'!D7="","",'Project Assessment'!D7)</f>
        <v/>
      </c>
      <c r="C4" s="393"/>
      <c r="D4" s="393"/>
      <c r="F4" s="386" t="s">
        <v>110</v>
      </c>
      <c r="G4" s="387"/>
      <c r="H4" s="387"/>
      <c r="I4" s="388"/>
      <c r="N4" s="90"/>
      <c r="O4" s="90"/>
      <c r="P4" s="90"/>
      <c r="Q4" s="90"/>
      <c r="R4" s="90"/>
      <c r="S4" s="90"/>
      <c r="T4" s="90"/>
      <c r="U4" s="90"/>
      <c r="V4" s="91"/>
    </row>
    <row r="5" spans="1:22" ht="21.75" customHeight="1" x14ac:dyDescent="0.65">
      <c r="A5" s="380" t="s">
        <v>344</v>
      </c>
      <c r="B5" s="381"/>
      <c r="C5" s="381"/>
      <c r="D5" s="381"/>
      <c r="E5" s="381"/>
      <c r="F5" s="381"/>
      <c r="G5" s="381"/>
      <c r="H5" s="381"/>
      <c r="I5" s="381"/>
      <c r="J5" s="382"/>
      <c r="N5" s="90"/>
      <c r="O5" s="90"/>
      <c r="P5" s="90"/>
      <c r="Q5" s="90"/>
      <c r="R5" s="90"/>
      <c r="S5" s="90"/>
      <c r="T5" s="90"/>
      <c r="U5" s="90"/>
      <c r="V5" s="91"/>
    </row>
    <row r="6" spans="1:22" ht="28.5" x14ac:dyDescent="0.45">
      <c r="A6" s="84" t="s">
        <v>118</v>
      </c>
      <c r="B6" s="85" t="s">
        <v>298</v>
      </c>
      <c r="C6" s="85" t="s">
        <v>169</v>
      </c>
      <c r="D6" s="85" t="s">
        <v>119</v>
      </c>
      <c r="E6" s="85" t="s">
        <v>115</v>
      </c>
      <c r="F6" s="85" t="s">
        <v>99</v>
      </c>
      <c r="G6" s="85" t="s">
        <v>100</v>
      </c>
      <c r="H6" s="85" t="s">
        <v>116</v>
      </c>
      <c r="I6" s="311" t="s">
        <v>117</v>
      </c>
      <c r="J6" s="314" t="s">
        <v>365</v>
      </c>
      <c r="N6" s="90"/>
      <c r="O6" s="90"/>
      <c r="P6" s="90"/>
      <c r="Q6" s="90"/>
      <c r="R6" s="90"/>
      <c r="S6" s="90"/>
      <c r="T6" s="90"/>
      <c r="U6" s="90"/>
      <c r="V6" s="91"/>
    </row>
    <row r="7" spans="1:22" x14ac:dyDescent="0.45">
      <c r="A7" s="235">
        <f>'Project Assessment'!A10:C10</f>
        <v>0</v>
      </c>
      <c r="B7" s="236">
        <f>'Project Assessment'!E10</f>
        <v>0</v>
      </c>
      <c r="C7" s="94"/>
      <c r="D7" s="93"/>
      <c r="E7" s="234">
        <f>IF(OR(C7=1,C7=2), IF(OR(G7="Tier 4",G7="Tier 5"),C21,B21), IF(B7="No", IF(OR(G7="Tier 4",G7="Tier 5"),H$22,H$21), IF(OR(G7="Tier 4",G7="Tier 5"),G$22,G$21)))</f>
        <v>0.6</v>
      </c>
      <c r="F7" s="93"/>
      <c r="G7" s="94"/>
      <c r="H7" s="95" t="str">
        <f t="shared" ref="H7:H16" si="0">IF(C7=1,D21,IFERROR(ROUND(E7*VLOOKUP(G7,F$25:G$30,2,FALSE),2),""))</f>
        <v/>
      </c>
      <c r="I7" s="312" t="str">
        <f>IFERROR(IF((F7*H7)-(D7*E7)&gt;=0,0,(F7*H7)-(D7*E7)),"")</f>
        <v/>
      </c>
      <c r="J7" s="315" t="str">
        <f>_xlfn.CONCAT(LEFT('Project Assessment'!B10,1),'Project Assessment'!C10)</f>
        <v/>
      </c>
      <c r="N7" s="90"/>
      <c r="O7" s="90"/>
      <c r="P7" s="90"/>
      <c r="Q7" s="90"/>
      <c r="R7" s="90"/>
      <c r="S7" s="90"/>
      <c r="T7" s="90"/>
      <c r="U7" s="90"/>
      <c r="V7" s="91"/>
    </row>
    <row r="8" spans="1:22" ht="14.45" customHeight="1" x14ac:dyDescent="0.45">
      <c r="A8" s="235">
        <f>'Project Assessment'!A11:C11</f>
        <v>0</v>
      </c>
      <c r="B8" s="236">
        <f>'Project Assessment'!E11</f>
        <v>0</v>
      </c>
      <c r="C8" s="94"/>
      <c r="D8" s="93"/>
      <c r="E8" s="234">
        <f t="shared" ref="E8:E16" si="1">IF(OR(C8=1,C8=2), IF(OR(G8="Tier 4",G8="Tier 5"),C22,B22), IF(B8="No", IF(OR(G8="Tier 4",G8="Tier 5"),H$22,H$21), IF(OR(G8="Tier 4",G8="Tier 5"),G$22,G$21)))</f>
        <v>0.6</v>
      </c>
      <c r="F8" s="93"/>
      <c r="G8" s="94"/>
      <c r="H8" s="95" t="str">
        <f t="shared" si="0"/>
        <v/>
      </c>
      <c r="I8" s="312" t="str">
        <f t="shared" ref="I8:I16" si="2">IFERROR(IF((F8*H8)-(D8*E8)&gt;=0,0,(F8*H8)-(D8*E8)),"")</f>
        <v/>
      </c>
      <c r="J8" s="315" t="str">
        <f>_xlfn.CONCAT(LEFT('Project Assessment'!B11,1),'Project Assessment'!C11)</f>
        <v/>
      </c>
      <c r="N8" s="90"/>
      <c r="O8" s="90"/>
      <c r="P8" s="90"/>
      <c r="Q8" s="90"/>
      <c r="R8" s="90"/>
      <c r="S8" s="90"/>
      <c r="T8" s="90"/>
      <c r="U8" s="90"/>
      <c r="V8" s="91"/>
    </row>
    <row r="9" spans="1:22" ht="14.45" customHeight="1" x14ac:dyDescent="0.45">
      <c r="A9" s="235">
        <f>'Project Assessment'!A12:C12</f>
        <v>0</v>
      </c>
      <c r="B9" s="236">
        <f>'Project Assessment'!E12</f>
        <v>0</v>
      </c>
      <c r="C9" s="94"/>
      <c r="D9" s="93"/>
      <c r="E9" s="234">
        <f t="shared" si="1"/>
        <v>0.6</v>
      </c>
      <c r="F9" s="93"/>
      <c r="G9" s="94"/>
      <c r="H9" s="95" t="str">
        <f t="shared" si="0"/>
        <v/>
      </c>
      <c r="I9" s="312" t="str">
        <f t="shared" si="2"/>
        <v/>
      </c>
      <c r="J9" s="315" t="str">
        <f>_xlfn.CONCAT(LEFT('Project Assessment'!B12,1),'Project Assessment'!C12)</f>
        <v/>
      </c>
      <c r="N9" s="90"/>
      <c r="O9" s="90"/>
      <c r="P9" s="90"/>
      <c r="Q9" s="90"/>
      <c r="R9" s="90"/>
      <c r="S9" s="90"/>
      <c r="T9" s="90"/>
      <c r="U9" s="90"/>
      <c r="V9" s="91"/>
    </row>
    <row r="10" spans="1:22" ht="14.45" customHeight="1" x14ac:dyDescent="0.45">
      <c r="A10" s="235">
        <f>'Project Assessment'!A13:C13</f>
        <v>0</v>
      </c>
      <c r="B10" s="236">
        <f>'Project Assessment'!E13</f>
        <v>0</v>
      </c>
      <c r="C10" s="94"/>
      <c r="D10" s="93"/>
      <c r="E10" s="234">
        <f t="shared" si="1"/>
        <v>0.6</v>
      </c>
      <c r="F10" s="93"/>
      <c r="G10" s="94"/>
      <c r="H10" s="95" t="str">
        <f t="shared" si="0"/>
        <v/>
      </c>
      <c r="I10" s="312" t="str">
        <f t="shared" si="2"/>
        <v/>
      </c>
      <c r="J10" s="315" t="str">
        <f>_xlfn.CONCAT(LEFT('Project Assessment'!B13,1),'Project Assessment'!C13)</f>
        <v/>
      </c>
      <c r="N10" s="90"/>
      <c r="O10" s="90"/>
      <c r="P10" s="90"/>
      <c r="Q10" s="90"/>
      <c r="R10" s="90"/>
      <c r="S10" s="90"/>
      <c r="T10" s="90"/>
      <c r="U10" s="90"/>
      <c r="V10" s="91"/>
    </row>
    <row r="11" spans="1:22" ht="14.45" customHeight="1" x14ac:dyDescent="0.45">
      <c r="A11" s="235">
        <f>'Project Assessment'!A14:C14</f>
        <v>0</v>
      </c>
      <c r="B11" s="236">
        <f>'Project Assessment'!E14</f>
        <v>0</v>
      </c>
      <c r="C11" s="94"/>
      <c r="D11" s="93"/>
      <c r="E11" s="234">
        <f t="shared" si="1"/>
        <v>0.6</v>
      </c>
      <c r="F11" s="93"/>
      <c r="G11" s="94"/>
      <c r="H11" s="95" t="str">
        <f t="shared" si="0"/>
        <v/>
      </c>
      <c r="I11" s="312" t="str">
        <f t="shared" si="2"/>
        <v/>
      </c>
      <c r="J11" s="315" t="str">
        <f>_xlfn.CONCAT(LEFT('Project Assessment'!B14,1),'Project Assessment'!C14)</f>
        <v/>
      </c>
      <c r="N11" s="90"/>
      <c r="O11" s="90"/>
      <c r="P11" s="90"/>
      <c r="Q11" s="90"/>
      <c r="R11" s="90"/>
      <c r="S11" s="90"/>
      <c r="T11" s="90"/>
      <c r="U11" s="90"/>
      <c r="V11" s="91"/>
    </row>
    <row r="12" spans="1:22" ht="14.45" customHeight="1" x14ac:dyDescent="0.45">
      <c r="A12" s="235">
        <f>'Project Assessment'!A15:C15</f>
        <v>0</v>
      </c>
      <c r="B12" s="236">
        <f>'Project Assessment'!E15</f>
        <v>0</v>
      </c>
      <c r="C12" s="94"/>
      <c r="D12" s="93"/>
      <c r="E12" s="234">
        <f t="shared" si="1"/>
        <v>0.6</v>
      </c>
      <c r="F12" s="93"/>
      <c r="G12" s="94"/>
      <c r="H12" s="95" t="str">
        <f t="shared" si="0"/>
        <v/>
      </c>
      <c r="I12" s="312" t="str">
        <f t="shared" si="2"/>
        <v/>
      </c>
      <c r="J12" s="315" t="str">
        <f>_xlfn.CONCAT(LEFT('Project Assessment'!B15,1),'Project Assessment'!C15)</f>
        <v/>
      </c>
      <c r="O12" s="91"/>
      <c r="P12" s="91"/>
      <c r="Q12" s="91"/>
      <c r="R12" s="91"/>
      <c r="S12" s="91"/>
      <c r="T12" s="91"/>
      <c r="U12" s="91"/>
      <c r="V12" s="91"/>
    </row>
    <row r="13" spans="1:22" ht="14.45" customHeight="1" x14ac:dyDescent="0.45">
      <c r="A13" s="235">
        <f>'Project Assessment'!A16:C16</f>
        <v>0</v>
      </c>
      <c r="B13" s="236">
        <f>'Project Assessment'!E16</f>
        <v>0</v>
      </c>
      <c r="C13" s="94"/>
      <c r="D13" s="93"/>
      <c r="E13" s="234">
        <f t="shared" si="1"/>
        <v>0.6</v>
      </c>
      <c r="F13" s="93"/>
      <c r="G13" s="94"/>
      <c r="H13" s="95" t="str">
        <f t="shared" si="0"/>
        <v/>
      </c>
      <c r="I13" s="312" t="str">
        <f t="shared" si="2"/>
        <v/>
      </c>
      <c r="J13" s="315" t="str">
        <f>_xlfn.CONCAT(LEFT('Project Assessment'!B16,1),'Project Assessment'!C16)</f>
        <v/>
      </c>
      <c r="O13" s="91"/>
      <c r="P13" s="91"/>
      <c r="Q13" s="91"/>
      <c r="R13" s="91"/>
      <c r="S13" s="91"/>
      <c r="T13" s="91"/>
      <c r="U13" s="91"/>
      <c r="V13" s="91"/>
    </row>
    <row r="14" spans="1:22" ht="14.45" customHeight="1" x14ac:dyDescent="0.45">
      <c r="A14" s="235">
        <f>'Project Assessment'!A17:C17</f>
        <v>0</v>
      </c>
      <c r="B14" s="236">
        <f>'Project Assessment'!E17</f>
        <v>0</v>
      </c>
      <c r="C14" s="94"/>
      <c r="D14" s="93"/>
      <c r="E14" s="234">
        <f t="shared" si="1"/>
        <v>0.6</v>
      </c>
      <c r="F14" s="93"/>
      <c r="G14" s="94"/>
      <c r="H14" s="95" t="str">
        <f t="shared" si="0"/>
        <v/>
      </c>
      <c r="I14" s="312" t="str">
        <f t="shared" si="2"/>
        <v/>
      </c>
      <c r="J14" s="315" t="str">
        <f>_xlfn.CONCAT(LEFT('Project Assessment'!B17,1),'Project Assessment'!C17)</f>
        <v/>
      </c>
      <c r="O14" s="91"/>
      <c r="P14" s="91"/>
      <c r="Q14" s="91"/>
      <c r="R14" s="91"/>
      <c r="S14" s="91"/>
      <c r="T14" s="91"/>
      <c r="U14" s="91"/>
      <c r="V14" s="91"/>
    </row>
    <row r="15" spans="1:22" ht="14.45" customHeight="1" x14ac:dyDescent="0.45">
      <c r="A15" s="235">
        <f>'Project Assessment'!A18:C18</f>
        <v>0</v>
      </c>
      <c r="B15" s="236">
        <f>'Project Assessment'!E18</f>
        <v>0</v>
      </c>
      <c r="C15" s="94"/>
      <c r="D15" s="93"/>
      <c r="E15" s="234">
        <f t="shared" si="1"/>
        <v>0.6</v>
      </c>
      <c r="F15" s="93"/>
      <c r="G15" s="94"/>
      <c r="H15" s="95" t="str">
        <f t="shared" si="0"/>
        <v/>
      </c>
      <c r="I15" s="312" t="str">
        <f t="shared" si="2"/>
        <v/>
      </c>
      <c r="J15" s="315" t="str">
        <f>_xlfn.CONCAT(LEFT('Project Assessment'!B18,1),'Project Assessment'!C18)</f>
        <v/>
      </c>
      <c r="O15" s="91"/>
      <c r="P15" s="91"/>
      <c r="Q15" s="91"/>
      <c r="R15" s="91"/>
      <c r="S15" s="91"/>
      <c r="T15" s="91"/>
      <c r="U15" s="91"/>
      <c r="V15" s="91"/>
    </row>
    <row r="16" spans="1:22" ht="14.45" customHeight="1" x14ac:dyDescent="0.45">
      <c r="A16" s="235">
        <f>'Project Assessment'!A19:C19</f>
        <v>0</v>
      </c>
      <c r="B16" s="236">
        <f>'Project Assessment'!E19</f>
        <v>0</v>
      </c>
      <c r="C16" s="94"/>
      <c r="D16" s="93"/>
      <c r="E16" s="234">
        <f t="shared" si="1"/>
        <v>0.6</v>
      </c>
      <c r="F16" s="93"/>
      <c r="G16" s="94"/>
      <c r="H16" s="95" t="str">
        <f t="shared" si="0"/>
        <v/>
      </c>
      <c r="I16" s="312" t="str">
        <f t="shared" si="2"/>
        <v/>
      </c>
      <c r="J16" s="315" t="str">
        <f>_xlfn.CONCAT(LEFT('Project Assessment'!B19,1),'Project Assessment'!C19)</f>
        <v/>
      </c>
      <c r="O16" s="91"/>
      <c r="P16" s="91"/>
      <c r="Q16" s="91"/>
      <c r="R16" s="91"/>
      <c r="S16" s="91"/>
      <c r="T16" s="91"/>
      <c r="U16" s="91"/>
      <c r="V16" s="91"/>
    </row>
    <row r="17" spans="1:18" ht="31.5" customHeight="1" thickBot="1" x14ac:dyDescent="0.5">
      <c r="A17" s="389" t="s">
        <v>120</v>
      </c>
      <c r="B17" s="390"/>
      <c r="C17" s="390"/>
      <c r="D17" s="390"/>
      <c r="E17" s="390"/>
      <c r="F17" s="390"/>
      <c r="G17" s="390"/>
      <c r="H17" s="390"/>
      <c r="I17" s="313">
        <f>SUM(I7:I16)</f>
        <v>0</v>
      </c>
      <c r="J17" s="316"/>
    </row>
    <row r="18" spans="1:18" ht="14.25" customHeight="1" thickBot="1" x14ac:dyDescent="0.7">
      <c r="A18" s="89"/>
      <c r="B18" s="89"/>
      <c r="C18" s="89"/>
      <c r="D18" s="89"/>
      <c r="E18" s="89"/>
      <c r="F18" s="89"/>
      <c r="G18" s="89"/>
      <c r="H18" s="96"/>
      <c r="I18" s="96"/>
      <c r="J18" s="59"/>
    </row>
    <row r="19" spans="1:18" ht="15" customHeight="1" thickBot="1" x14ac:dyDescent="0.5">
      <c r="A19" s="394" t="s">
        <v>347</v>
      </c>
      <c r="B19" s="395"/>
      <c r="C19" s="395"/>
      <c r="D19" s="396"/>
      <c r="F19" s="270"/>
      <c r="G19" s="310" t="s">
        <v>343</v>
      </c>
      <c r="H19" s="271" t="s">
        <v>342</v>
      </c>
      <c r="J19" s="92"/>
      <c r="Q19" s="97"/>
      <c r="R19" s="97"/>
    </row>
    <row r="20" spans="1:18" ht="15" customHeight="1" thickTop="1" x14ac:dyDescent="0.45">
      <c r="A20" s="273" t="s">
        <v>297</v>
      </c>
      <c r="B20" s="274" t="s">
        <v>341</v>
      </c>
      <c r="C20" s="274" t="s">
        <v>296</v>
      </c>
      <c r="D20" s="275" t="s">
        <v>160</v>
      </c>
      <c r="F20" s="104" t="s">
        <v>340</v>
      </c>
      <c r="G20" s="101">
        <v>1</v>
      </c>
      <c r="H20" s="268">
        <v>0.8</v>
      </c>
      <c r="J20" s="92"/>
      <c r="Q20" s="97"/>
      <c r="R20" s="97"/>
    </row>
    <row r="21" spans="1:18" ht="15" customHeight="1" x14ac:dyDescent="0.45">
      <c r="A21" s="317">
        <f>'Existing Conditions'!B4</f>
        <v>0</v>
      </c>
      <c r="B21" s="95" t="str">
        <f>'Existing Conditions'!J13</f>
        <v/>
      </c>
      <c r="C21" s="95">
        <f>'Existing Conditions'!$J34</f>
        <v>0.32</v>
      </c>
      <c r="D21" s="231" t="str">
        <f>'Proposed Conditions'!$J12</f>
        <v/>
      </c>
      <c r="F21" s="105" t="s">
        <v>339</v>
      </c>
      <c r="G21" s="221">
        <f>0.6</f>
        <v>0.6</v>
      </c>
      <c r="H21" s="272">
        <f>0.6*H20</f>
        <v>0.48</v>
      </c>
      <c r="J21" s="92"/>
      <c r="Q21" s="97"/>
      <c r="R21" s="97"/>
    </row>
    <row r="22" spans="1:18" ht="15" customHeight="1" thickBot="1" x14ac:dyDescent="0.5">
      <c r="A22" s="317">
        <f>'Existing Conditions'!B44</f>
        <v>0</v>
      </c>
      <c r="B22" s="95" t="str">
        <f>'Existing Conditions'!J53</f>
        <v/>
      </c>
      <c r="C22" s="95">
        <f>'Existing Conditions'!$J74</f>
        <v>0.32</v>
      </c>
      <c r="D22" s="231" t="str">
        <f>'Proposed Conditions'!$J52</f>
        <v/>
      </c>
      <c r="F22" s="106" t="s">
        <v>290</v>
      </c>
      <c r="G22" s="222">
        <f>1</f>
        <v>1</v>
      </c>
      <c r="H22" s="269">
        <v>0.8</v>
      </c>
      <c r="J22" s="92"/>
      <c r="Q22" s="97"/>
      <c r="R22" s="97"/>
    </row>
    <row r="23" spans="1:18" ht="15" customHeight="1" thickBot="1" x14ac:dyDescent="0.5">
      <c r="A23" s="317">
        <f>'Existing Conditions'!B84</f>
        <v>0</v>
      </c>
      <c r="B23" s="95" t="str">
        <f>'Existing Conditions'!J93</f>
        <v/>
      </c>
      <c r="C23" s="95">
        <f>'Existing Conditions'!$J114</f>
        <v>0.32</v>
      </c>
      <c r="D23" s="231" t="str">
        <f>'Proposed Conditions'!$J92</f>
        <v/>
      </c>
      <c r="J23" s="92"/>
      <c r="Q23" s="97"/>
      <c r="R23" s="97"/>
    </row>
    <row r="24" spans="1:18" ht="15" customHeight="1" thickBot="1" x14ac:dyDescent="0.5">
      <c r="A24" s="317">
        <f>'Existing Conditions'!B124</f>
        <v>0</v>
      </c>
      <c r="B24" s="95" t="str">
        <f>'Existing Conditions'!J133</f>
        <v/>
      </c>
      <c r="C24" s="95">
        <f>'Existing Conditions'!$J154</f>
        <v>0.32</v>
      </c>
      <c r="D24" s="231" t="str">
        <f>'Proposed Conditions'!$J132</f>
        <v/>
      </c>
      <c r="F24" s="103" t="s">
        <v>102</v>
      </c>
      <c r="G24" s="100" t="s">
        <v>103</v>
      </c>
      <c r="H24" s="80" t="s">
        <v>104</v>
      </c>
      <c r="O24" s="97"/>
      <c r="P24" s="97"/>
    </row>
    <row r="25" spans="1:18" ht="14.25" customHeight="1" thickTop="1" x14ac:dyDescent="0.45">
      <c r="A25" s="317">
        <f>'Existing Conditions'!B164</f>
        <v>0</v>
      </c>
      <c r="B25" s="95" t="str">
        <f>'Existing Conditions'!J173</f>
        <v/>
      </c>
      <c r="C25" s="95">
        <f>'Existing Conditions'!$J194</f>
        <v>0.32</v>
      </c>
      <c r="D25" s="231" t="str">
        <f>'Proposed Conditions'!$J172</f>
        <v/>
      </c>
      <c r="F25" s="104" t="s">
        <v>101</v>
      </c>
      <c r="G25" s="101">
        <v>1</v>
      </c>
      <c r="H25" s="81">
        <v>0</v>
      </c>
      <c r="O25" s="86"/>
      <c r="P25" s="11"/>
    </row>
    <row r="26" spans="1:18" ht="15" customHeight="1" x14ac:dyDescent="0.45">
      <c r="A26" s="317">
        <f>'Existing Conditions'!B204</f>
        <v>0</v>
      </c>
      <c r="B26" s="95" t="str">
        <f>'Existing Conditions'!J213</f>
        <v/>
      </c>
      <c r="C26" s="95">
        <f>'Existing Conditions'!$J234</f>
        <v>0.32</v>
      </c>
      <c r="D26" s="231" t="str">
        <f>'Proposed Conditions'!$J212</f>
        <v/>
      </c>
      <c r="F26" s="105" t="s">
        <v>105</v>
      </c>
      <c r="G26" s="102">
        <v>0.71</v>
      </c>
      <c r="H26" s="82">
        <v>0.28999999999999998</v>
      </c>
      <c r="O26" s="90"/>
      <c r="P26" s="90"/>
    </row>
    <row r="27" spans="1:18" ht="17.25" customHeight="1" x14ac:dyDescent="0.45">
      <c r="A27" s="317">
        <f>'Existing Conditions'!B244</f>
        <v>0</v>
      </c>
      <c r="B27" s="95" t="str">
        <f>'Existing Conditions'!J253</f>
        <v/>
      </c>
      <c r="C27" s="95">
        <f>'Existing Conditions'!$J274</f>
        <v>0.32</v>
      </c>
      <c r="D27" s="231" t="str">
        <f>'Proposed Conditions'!$J252</f>
        <v/>
      </c>
      <c r="F27" s="105" t="s">
        <v>106</v>
      </c>
      <c r="G27" s="102">
        <v>0.42</v>
      </c>
      <c r="H27" s="82">
        <v>0.57999999999999996</v>
      </c>
      <c r="O27" s="90"/>
      <c r="P27" s="90"/>
    </row>
    <row r="28" spans="1:18" ht="16.5" customHeight="1" x14ac:dyDescent="0.45">
      <c r="A28" s="317">
        <f>'Existing Conditions'!B284</f>
        <v>0</v>
      </c>
      <c r="B28" s="95" t="str">
        <f>'Existing Conditions'!J293</f>
        <v/>
      </c>
      <c r="C28" s="95">
        <f>'Existing Conditions'!$J314</f>
        <v>0.32</v>
      </c>
      <c r="D28" s="231" t="str">
        <f>'Proposed Conditions'!$J292</f>
        <v/>
      </c>
      <c r="F28" s="105" t="s">
        <v>107</v>
      </c>
      <c r="G28" s="102">
        <v>0.16</v>
      </c>
      <c r="H28" s="82">
        <v>0.84</v>
      </c>
      <c r="O28" s="90"/>
      <c r="P28" s="90"/>
    </row>
    <row r="29" spans="1:18" ht="15" customHeight="1" x14ac:dyDescent="0.45">
      <c r="A29" s="317">
        <f>'Existing Conditions'!B324</f>
        <v>0</v>
      </c>
      <c r="B29" s="95" t="str">
        <f>'Existing Conditions'!J333</f>
        <v/>
      </c>
      <c r="C29" s="95">
        <f>'Existing Conditions'!$J354</f>
        <v>0.32</v>
      </c>
      <c r="D29" s="231" t="str">
        <f>'Proposed Conditions'!$J332</f>
        <v/>
      </c>
      <c r="F29" s="105" t="s">
        <v>108</v>
      </c>
      <c r="G29" s="221">
        <v>0.2</v>
      </c>
      <c r="H29" s="82">
        <v>0.8</v>
      </c>
      <c r="O29" s="90"/>
      <c r="P29" s="90"/>
    </row>
    <row r="30" spans="1:18" ht="18" customHeight="1" thickBot="1" x14ac:dyDescent="0.5">
      <c r="A30" s="318">
        <f>'Existing Conditions'!B364</f>
        <v>0</v>
      </c>
      <c r="B30" s="232" t="str">
        <f>'Existing Conditions'!J373</f>
        <v/>
      </c>
      <c r="C30" s="232">
        <f>'Existing Conditions'!$J394</f>
        <v>0.32</v>
      </c>
      <c r="D30" s="233" t="str">
        <f>'Proposed Conditions'!$J372</f>
        <v/>
      </c>
      <c r="F30" s="106" t="s">
        <v>109</v>
      </c>
      <c r="G30" s="222">
        <v>0</v>
      </c>
      <c r="H30" s="83">
        <v>1</v>
      </c>
      <c r="O30" s="90"/>
      <c r="P30" s="90"/>
    </row>
    <row r="31" spans="1:18" ht="32.65" customHeight="1" x14ac:dyDescent="0.45">
      <c r="A31" s="378" t="s">
        <v>348</v>
      </c>
      <c r="B31" s="379"/>
      <c r="C31" s="379"/>
      <c r="D31" s="379"/>
      <c r="E31" s="90"/>
      <c r="F31" s="90"/>
      <c r="G31" s="90"/>
      <c r="H31" s="90"/>
      <c r="I31" s="90"/>
      <c r="O31" s="90"/>
      <c r="P31" s="90"/>
    </row>
    <row r="32" spans="1:18" ht="14.65" thickBot="1" x14ac:dyDescent="0.5">
      <c r="F32" s="220"/>
      <c r="G32" s="220"/>
      <c r="H32" s="220"/>
      <c r="I32" s="220"/>
      <c r="O32" s="90"/>
      <c r="P32" s="90"/>
    </row>
    <row r="33" spans="1:16" ht="32.65" customHeight="1" x14ac:dyDescent="0.45">
      <c r="A33" s="295" t="s">
        <v>165</v>
      </c>
      <c r="B33" s="364" t="s">
        <v>168</v>
      </c>
      <c r="C33" s="364"/>
      <c r="D33" s="364"/>
      <c r="E33" s="367" t="s">
        <v>166</v>
      </c>
      <c r="F33" s="368"/>
      <c r="G33" s="320" t="s">
        <v>161</v>
      </c>
      <c r="H33" s="373" t="s">
        <v>98</v>
      </c>
      <c r="I33" s="373"/>
      <c r="J33" s="319" t="s">
        <v>164</v>
      </c>
      <c r="O33" s="90"/>
      <c r="P33" s="90"/>
    </row>
    <row r="34" spans="1:16" ht="28.9" customHeight="1" x14ac:dyDescent="0.45">
      <c r="A34" s="239">
        <v>0</v>
      </c>
      <c r="B34" s="362" t="s">
        <v>167</v>
      </c>
      <c r="C34" s="362"/>
      <c r="D34" s="362"/>
      <c r="E34" s="369" t="s">
        <v>304</v>
      </c>
      <c r="F34" s="370"/>
      <c r="G34" s="365">
        <v>1</v>
      </c>
      <c r="H34" s="374" t="s">
        <v>291</v>
      </c>
      <c r="I34" s="374"/>
      <c r="J34" s="376" t="s">
        <v>294</v>
      </c>
      <c r="O34" s="90"/>
      <c r="P34" s="90"/>
    </row>
    <row r="35" spans="1:16" ht="43.15" customHeight="1" x14ac:dyDescent="0.45">
      <c r="A35" s="237">
        <v>1</v>
      </c>
      <c r="B35" s="362" t="s">
        <v>299</v>
      </c>
      <c r="C35" s="362"/>
      <c r="D35" s="362"/>
      <c r="E35" s="369" t="s">
        <v>305</v>
      </c>
      <c r="F35" s="370"/>
      <c r="G35" s="365"/>
      <c r="H35" s="374"/>
      <c r="I35" s="374"/>
      <c r="J35" s="376"/>
      <c r="O35" s="90"/>
      <c r="P35" s="90"/>
    </row>
    <row r="36" spans="1:16" ht="43.15" customHeight="1" x14ac:dyDescent="0.45">
      <c r="A36" s="237">
        <v>2</v>
      </c>
      <c r="B36" s="362" t="s">
        <v>300</v>
      </c>
      <c r="C36" s="362"/>
      <c r="D36" s="362"/>
      <c r="E36" s="369" t="s">
        <v>306</v>
      </c>
      <c r="F36" s="370"/>
      <c r="G36" s="365">
        <v>2</v>
      </c>
      <c r="H36" s="374" t="s">
        <v>291</v>
      </c>
      <c r="I36" s="374"/>
      <c r="J36" s="376" t="s">
        <v>295</v>
      </c>
      <c r="O36" s="90"/>
      <c r="P36" s="90"/>
    </row>
    <row r="37" spans="1:16" ht="43.15" customHeight="1" x14ac:dyDescent="0.45">
      <c r="A37" s="237">
        <v>3</v>
      </c>
      <c r="B37" s="362" t="s">
        <v>301</v>
      </c>
      <c r="C37" s="362"/>
      <c r="D37" s="362"/>
      <c r="E37" s="369" t="s">
        <v>307</v>
      </c>
      <c r="F37" s="370"/>
      <c r="G37" s="365"/>
      <c r="H37" s="374"/>
      <c r="I37" s="374"/>
      <c r="J37" s="376"/>
      <c r="O37" s="90"/>
      <c r="P37" s="90"/>
    </row>
    <row r="38" spans="1:16" ht="86.45" customHeight="1" x14ac:dyDescent="0.45">
      <c r="A38" s="237">
        <v>4</v>
      </c>
      <c r="B38" s="362" t="s">
        <v>302</v>
      </c>
      <c r="C38" s="362"/>
      <c r="D38" s="362"/>
      <c r="E38" s="369" t="s">
        <v>308</v>
      </c>
      <c r="F38" s="370"/>
      <c r="G38" s="365">
        <v>3</v>
      </c>
      <c r="H38" s="374" t="s">
        <v>292</v>
      </c>
      <c r="I38" s="374"/>
      <c r="J38" s="376" t="s">
        <v>295</v>
      </c>
      <c r="K38" s="90"/>
      <c r="L38" s="90"/>
      <c r="M38" s="90"/>
      <c r="N38" s="90"/>
      <c r="O38" s="90"/>
      <c r="P38" s="90"/>
    </row>
    <row r="39" spans="1:16" ht="15" customHeight="1" thickBot="1" x14ac:dyDescent="0.5">
      <c r="A39" s="238">
        <v>5</v>
      </c>
      <c r="B39" s="363" t="s">
        <v>303</v>
      </c>
      <c r="C39" s="363"/>
      <c r="D39" s="363"/>
      <c r="E39" s="371" t="s">
        <v>309</v>
      </c>
      <c r="F39" s="372"/>
      <c r="G39" s="366"/>
      <c r="H39" s="375"/>
      <c r="I39" s="375"/>
      <c r="J39" s="377"/>
      <c r="K39" s="90"/>
      <c r="L39" s="90"/>
      <c r="M39" s="90"/>
      <c r="N39" s="90"/>
    </row>
    <row r="40" spans="1:16" ht="15.75" x14ac:dyDescent="0.45">
      <c r="A40" s="98"/>
      <c r="B40" s="98"/>
      <c r="G40" s="241" t="s">
        <v>170</v>
      </c>
    </row>
    <row r="41" spans="1:16" ht="15.75" x14ac:dyDescent="0.45">
      <c r="A41" s="98"/>
      <c r="B41" s="98"/>
      <c r="G41" s="240" t="s">
        <v>293</v>
      </c>
    </row>
    <row r="42" spans="1:16" x14ac:dyDescent="0.45">
      <c r="A42" s="98"/>
      <c r="B42" s="98"/>
    </row>
    <row r="43" spans="1:16" x14ac:dyDescent="0.45">
      <c r="A43" s="98"/>
      <c r="B43" s="98"/>
    </row>
    <row r="44" spans="1:16" x14ac:dyDescent="0.45">
      <c r="A44" s="98"/>
      <c r="B44" s="98"/>
      <c r="G44" s="97"/>
      <c r="H44" s="97"/>
      <c r="I44" s="97"/>
    </row>
    <row r="45" spans="1:16" x14ac:dyDescent="0.45">
      <c r="A45" s="98"/>
      <c r="B45" s="98"/>
      <c r="G45" s="97"/>
      <c r="H45" s="97"/>
      <c r="I45" s="97"/>
    </row>
    <row r="46" spans="1:16" x14ac:dyDescent="0.45">
      <c r="G46" s="97"/>
      <c r="H46" s="97"/>
      <c r="I46" s="97"/>
    </row>
    <row r="47" spans="1:16" x14ac:dyDescent="0.45">
      <c r="G47" s="97"/>
      <c r="H47" s="97"/>
      <c r="I47" s="97"/>
    </row>
    <row r="48" spans="1:16" x14ac:dyDescent="0.45">
      <c r="G48" s="220"/>
      <c r="H48" s="220"/>
      <c r="I48" s="220"/>
    </row>
    <row r="61" spans="10:10" x14ac:dyDescent="0.45">
      <c r="J61" s="99"/>
    </row>
  </sheetData>
  <sheetProtection algorithmName="SHA-512" hashValue="XhYZ4TnKfm2MXA/L21iBtXe7mIR1w8U5XDJnibZzCNPBUaVxGnQthsZ93jo8V4RjLpWJolA81M3C6i4S8hpSQg==" saltValue="UsCh+mtyZBdXGi4HHJQ6zQ==" spinCount="100000" sheet="1" objects="1" scenarios="1"/>
  <mergeCells count="35">
    <mergeCell ref="B1:D1"/>
    <mergeCell ref="B2:D2"/>
    <mergeCell ref="B3:D3"/>
    <mergeCell ref="B4:D4"/>
    <mergeCell ref="A19:D19"/>
    <mergeCell ref="A3:A4"/>
    <mergeCell ref="A31:D31"/>
    <mergeCell ref="A5:J5"/>
    <mergeCell ref="F3:I3"/>
    <mergeCell ref="F4:I4"/>
    <mergeCell ref="A17:H17"/>
    <mergeCell ref="H33:I33"/>
    <mergeCell ref="H34:I35"/>
    <mergeCell ref="H36:I37"/>
    <mergeCell ref="H38:I39"/>
    <mergeCell ref="J34:J35"/>
    <mergeCell ref="J36:J37"/>
    <mergeCell ref="J38:J39"/>
    <mergeCell ref="G34:G35"/>
    <mergeCell ref="G36:G37"/>
    <mergeCell ref="G38:G39"/>
    <mergeCell ref="E33:F33"/>
    <mergeCell ref="E34:F34"/>
    <mergeCell ref="E35:F35"/>
    <mergeCell ref="E36:F36"/>
    <mergeCell ref="E37:F37"/>
    <mergeCell ref="E38:F38"/>
    <mergeCell ref="E39:F39"/>
    <mergeCell ref="B38:D38"/>
    <mergeCell ref="B39:D39"/>
    <mergeCell ref="B33:D33"/>
    <mergeCell ref="B34:D34"/>
    <mergeCell ref="B35:D35"/>
    <mergeCell ref="B36:D36"/>
    <mergeCell ref="B37:D37"/>
  </mergeCells>
  <phoneticPr fontId="18" type="noConversion"/>
  <conditionalFormatting sqref="F4">
    <cfRule type="beginsWith" dxfId="1165" priority="36" stopIfTrue="1" operator="beginsWith" text="Functioning At Risk">
      <formula>LEFT(F4,LEN("Functioning At Risk"))="Functioning At Risk"</formula>
    </cfRule>
    <cfRule type="beginsWith" dxfId="1164" priority="37" stopIfTrue="1" operator="beginsWith" text="Not Functioning">
      <formula>LEFT(F4,LEN("Not Functioning"))="Not Functioning"</formula>
    </cfRule>
    <cfRule type="containsText" dxfId="1163" priority="38" operator="containsText" text="Functioning">
      <formula>NOT(ISERROR(SEARCH("Functioning",F4)))</formula>
    </cfRule>
  </conditionalFormatting>
  <conditionalFormatting sqref="F3">
    <cfRule type="beginsWith" dxfId="1162" priority="39" stopIfTrue="1" operator="beginsWith" text="Functioning At Risk">
      <formula>LEFT(F3,LEN("Functioning At Risk"))="Functioning At Risk"</formula>
    </cfRule>
    <cfRule type="beginsWith" dxfId="1161" priority="40" stopIfTrue="1" operator="beginsWith" text="Not Functioning">
      <formula>LEFT(F3,LEN("Not Functioning"))="Not Functioning"</formula>
    </cfRule>
    <cfRule type="containsText" dxfId="1160" priority="41" operator="containsText" text="Functioning">
      <formula>NOT(ISERROR(SEARCH("Functioning",F3)))</formula>
    </cfRule>
  </conditionalFormatting>
  <conditionalFormatting sqref="F7">
    <cfRule type="expression" dxfId="1159" priority="35">
      <formula>F7&gt;D7</formula>
    </cfRule>
  </conditionalFormatting>
  <conditionalFormatting sqref="F8">
    <cfRule type="expression" dxfId="1158" priority="34">
      <formula>F8&gt;D8</formula>
    </cfRule>
  </conditionalFormatting>
  <conditionalFormatting sqref="F9">
    <cfRule type="expression" dxfId="1157" priority="33">
      <formula>F9&gt;D9</formula>
    </cfRule>
  </conditionalFormatting>
  <conditionalFormatting sqref="F10">
    <cfRule type="expression" dxfId="1156" priority="32">
      <formula>F10&gt;D10</formula>
    </cfRule>
  </conditionalFormatting>
  <conditionalFormatting sqref="F11">
    <cfRule type="expression" dxfId="1155" priority="31">
      <formula>F11&gt;D11</formula>
    </cfRule>
  </conditionalFormatting>
  <conditionalFormatting sqref="F13">
    <cfRule type="expression" dxfId="1154" priority="29">
      <formula>F13&gt;D13</formula>
    </cfRule>
  </conditionalFormatting>
  <conditionalFormatting sqref="F14">
    <cfRule type="expression" dxfId="1153" priority="28">
      <formula>F14&gt;D14</formula>
    </cfRule>
  </conditionalFormatting>
  <conditionalFormatting sqref="F15">
    <cfRule type="expression" dxfId="1152" priority="27">
      <formula>F15&gt;D15</formula>
    </cfRule>
  </conditionalFormatting>
  <conditionalFormatting sqref="F16">
    <cfRule type="expression" dxfId="1151" priority="26">
      <formula>F16&gt;D16</formula>
    </cfRule>
  </conditionalFormatting>
  <conditionalFormatting sqref="F12">
    <cfRule type="expression" dxfId="1150" priority="30">
      <formula>F12&gt;D12</formula>
    </cfRule>
  </conditionalFormatting>
  <dataValidations xWindow="456" yWindow="444" count="1">
    <dataValidation type="list" allowBlank="1" showInputMessage="1" showErrorMessage="1" sqref="G7:G16" xr:uid="{00000000-0002-0000-0100-000001000000}">
      <formula1>$F$25:$F$30</formula1>
    </dataValidation>
  </dataValidations>
  <pageMargins left="0.7" right="0.7" top="0.75" bottom="0.75" header="0.3" footer="0.3"/>
  <pageSetup scale="84" fitToHeight="0" orientation="landscape" horizontalDpi="4294967292" verticalDpi="1200" r:id="rId1"/>
  <headerFooter>
    <oddFooter>&amp;LCSQT v1.0
Debit Calculator</oddFooter>
  </headerFooter>
  <colBreaks count="1" manualBreakCount="1">
    <brk id="9" max="29" man="1"/>
  </colBreaks>
  <ignoredErrors>
    <ignoredError sqref="A21" unlockedFormula="1"/>
  </ignoredErrors>
  <extLst>
    <ext xmlns:x14="http://schemas.microsoft.com/office/spreadsheetml/2009/9/main" uri="{CCE6A557-97BC-4b89-ADB6-D9C93CAAB3DF}">
      <x14:dataValidations xmlns:xm="http://schemas.microsoft.com/office/excel/2006/main" xWindow="456" yWindow="444" count="1">
        <x14:dataValidation type="list" showErrorMessage="1" xr:uid="{C0C5BB8B-FCB1-4369-9674-029F2BEC1BF2}">
          <x14:formula1>
            <xm:f>'Pull Down Notes'!$B$103:$B$106</xm:f>
          </x14:formula1>
          <xm:sqref>C7:C16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35"/>
  <sheetViews>
    <sheetView zoomScaleNormal="100" workbookViewId="0">
      <selection activeCell="D44" sqref="D44:D48"/>
    </sheetView>
  </sheetViews>
  <sheetFormatPr defaultRowHeight="14.25" x14ac:dyDescent="0.45"/>
  <cols>
    <col min="1" max="1" width="23.73046875" customWidth="1"/>
    <col min="2" max="2" width="27.1328125" customWidth="1"/>
    <col min="3" max="3" width="28" customWidth="1"/>
    <col min="4" max="4" width="23.265625" style="5" customWidth="1"/>
    <col min="5" max="5" width="14.3984375" customWidth="1"/>
    <col min="6" max="6" width="21.1328125" customWidth="1"/>
    <col min="7" max="7" width="18.86328125" style="5" customWidth="1"/>
    <col min="8" max="8" width="12.73046875" customWidth="1"/>
    <col min="9" max="9" width="17.265625" style="55" customWidth="1"/>
    <col min="10" max="10" width="16.1328125" customWidth="1"/>
    <col min="11" max="11" width="18.59765625" customWidth="1"/>
    <col min="12" max="12" width="13.73046875" customWidth="1"/>
    <col min="13" max="13" width="30.86328125" customWidth="1"/>
  </cols>
  <sheetData>
    <row r="1" spans="1:14" s="5" customFormat="1" x14ac:dyDescent="0.45">
      <c r="A1" s="242" t="s">
        <v>346</v>
      </c>
      <c r="B1" s="262"/>
      <c r="C1" s="262"/>
      <c r="D1" s="262"/>
    </row>
    <row r="2" spans="1:14" s="5" customFormat="1" x14ac:dyDescent="0.45">
      <c r="I2" s="55"/>
    </row>
    <row r="3" spans="1:14" ht="21" customHeight="1" x14ac:dyDescent="0.45">
      <c r="A3" s="408" t="s">
        <v>349</v>
      </c>
      <c r="B3" s="409"/>
      <c r="C3" s="409"/>
      <c r="D3" s="409"/>
      <c r="E3" s="409"/>
      <c r="F3" s="409"/>
      <c r="G3" s="409"/>
      <c r="H3" s="409"/>
      <c r="I3" s="409"/>
      <c r="J3" s="410"/>
      <c r="L3" s="5"/>
      <c r="M3" s="5"/>
    </row>
    <row r="4" spans="1:14" s="5" customFormat="1" ht="16.149999999999999" customHeight="1" x14ac:dyDescent="0.45">
      <c r="A4" s="184" t="s">
        <v>65</v>
      </c>
      <c r="B4" s="224">
        <f>'Project Assessment'!A10</f>
        <v>0</v>
      </c>
      <c r="C4" s="276" t="s">
        <v>355</v>
      </c>
      <c r="D4" s="290"/>
      <c r="E4" s="402" t="s">
        <v>245</v>
      </c>
      <c r="F4" s="403"/>
      <c r="G4" s="187"/>
      <c r="H4" s="406" t="s">
        <v>121</v>
      </c>
      <c r="I4" s="407"/>
      <c r="J4" s="185"/>
    </row>
    <row r="5" spans="1:14" s="5" customFormat="1" ht="16.149999999999999" customHeight="1" x14ac:dyDescent="0.45">
      <c r="A5" s="184" t="s">
        <v>352</v>
      </c>
      <c r="B5" s="187"/>
      <c r="C5" s="196" t="s">
        <v>354</v>
      </c>
      <c r="D5" s="185"/>
      <c r="E5" s="402" t="s">
        <v>247</v>
      </c>
      <c r="F5" s="403"/>
      <c r="G5" s="187"/>
      <c r="H5" s="406" t="s">
        <v>122</v>
      </c>
      <c r="I5" s="407"/>
      <c r="J5" s="185"/>
    </row>
    <row r="6" spans="1:14" s="5" customFormat="1" ht="16.149999999999999" customHeight="1" x14ac:dyDescent="0.65">
      <c r="A6" s="198" t="s">
        <v>353</v>
      </c>
      <c r="B6" s="224">
        <f>'Project Assessment'!B10</f>
        <v>0</v>
      </c>
      <c r="C6" s="186" t="s">
        <v>83</v>
      </c>
      <c r="D6" s="187"/>
      <c r="E6" s="402" t="s">
        <v>261</v>
      </c>
      <c r="F6" s="403"/>
      <c r="G6" s="187"/>
      <c r="H6" s="406" t="s">
        <v>123</v>
      </c>
      <c r="I6" s="407"/>
      <c r="J6" s="34"/>
      <c r="K6" s="26"/>
    </row>
    <row r="7" spans="1:14" ht="16.149999999999999" customHeight="1" x14ac:dyDescent="0.5">
      <c r="A7" s="197" t="s">
        <v>262</v>
      </c>
      <c r="B7" s="224">
        <f>'Project Assessment'!C10</f>
        <v>0</v>
      </c>
      <c r="C7" s="199" t="s">
        <v>254</v>
      </c>
      <c r="D7" s="187"/>
      <c r="E7" s="404" t="s">
        <v>271</v>
      </c>
      <c r="F7" s="405"/>
      <c r="G7" s="187"/>
      <c r="H7" s="406" t="s">
        <v>124</v>
      </c>
      <c r="I7" s="407"/>
      <c r="J7" s="185"/>
      <c r="K7" s="39"/>
      <c r="L7" s="5"/>
      <c r="M7" s="5"/>
    </row>
    <row r="8" spans="1:14" s="5" customFormat="1" ht="18" customHeight="1" x14ac:dyDescent="0.5">
      <c r="A8" s="184" t="s">
        <v>260</v>
      </c>
      <c r="B8" s="224">
        <f>'Project Assessment'!E10</f>
        <v>0</v>
      </c>
      <c r="C8" s="186" t="s">
        <v>256</v>
      </c>
      <c r="D8" s="263"/>
      <c r="E8" s="402" t="s">
        <v>248</v>
      </c>
      <c r="F8" s="403"/>
      <c r="G8" s="187"/>
      <c r="H8" s="201"/>
      <c r="I8" s="201"/>
      <c r="J8" s="201"/>
      <c r="K8" s="39"/>
    </row>
    <row r="9" spans="1:14" s="5" customFormat="1" ht="4.5" customHeight="1" x14ac:dyDescent="0.5">
      <c r="B9" s="58"/>
      <c r="C9" s="58"/>
      <c r="D9" s="58"/>
      <c r="E9" s="58"/>
      <c r="F9" s="58"/>
      <c r="G9" s="58"/>
      <c r="H9" s="58"/>
      <c r="I9" s="56"/>
      <c r="J9" s="10"/>
      <c r="K9" s="39"/>
    </row>
    <row r="10" spans="1:14" ht="19.899999999999999" customHeight="1" x14ac:dyDescent="0.65">
      <c r="A10" s="431" t="str">
        <f>_xlfn.CONCAT("EXISTING CONDITION ASSESSMENT for Reach ",B4)</f>
        <v>EXISTING CONDITION ASSESSMENT for Reach 0</v>
      </c>
      <c r="B10" s="431"/>
      <c r="C10" s="431"/>
      <c r="D10" s="431"/>
      <c r="E10" s="431"/>
      <c r="F10" s="431"/>
      <c r="G10" s="431" t="s">
        <v>13</v>
      </c>
      <c r="H10" s="431"/>
      <c r="I10" s="431"/>
      <c r="J10" s="431"/>
      <c r="K10" s="10"/>
      <c r="L10" s="5"/>
      <c r="M10" s="5"/>
      <c r="N10" s="5"/>
    </row>
    <row r="11" spans="1:14" ht="15.75" x14ac:dyDescent="0.5">
      <c r="A11" s="13" t="s">
        <v>1</v>
      </c>
      <c r="B11" s="13" t="s">
        <v>2</v>
      </c>
      <c r="C11" s="432" t="s">
        <v>3</v>
      </c>
      <c r="D11" s="433"/>
      <c r="E11" s="32" t="s">
        <v>11</v>
      </c>
      <c r="F11" s="31" t="s">
        <v>12</v>
      </c>
      <c r="G11" s="13" t="s">
        <v>14</v>
      </c>
      <c r="H11" s="13" t="s">
        <v>15</v>
      </c>
      <c r="I11" s="57" t="s">
        <v>15</v>
      </c>
      <c r="J11" s="13" t="s">
        <v>98</v>
      </c>
      <c r="K11" s="10"/>
      <c r="L11" s="5"/>
      <c r="M11" s="5"/>
      <c r="N11" s="5"/>
    </row>
    <row r="12" spans="1:14" ht="15.75" x14ac:dyDescent="0.5">
      <c r="A12" s="434" t="s">
        <v>173</v>
      </c>
      <c r="B12" s="437" t="s">
        <v>71</v>
      </c>
      <c r="C12" s="132" t="s">
        <v>138</v>
      </c>
      <c r="D12" s="149"/>
      <c r="E12" s="30"/>
      <c r="F12" s="202" t="str">
        <f>IF(E12="","",IF(E12&gt;78,0,IF(E12&lt;=55,1,ROUND(E12*'Reference Curves'!$B$3+'Reference Curves'!$B$4,2))))</f>
        <v/>
      </c>
      <c r="G12" s="411" t="str">
        <f>IFERROR(AVERAGE(F12:F13),"")</f>
        <v/>
      </c>
      <c r="H12" s="411" t="str">
        <f>IFERROR(ROUND(AVERAGE(G12:G18),2),"")</f>
        <v/>
      </c>
      <c r="I12" s="438" t="str">
        <f>IF(H12="","",IF(H12:H18&gt;0.69,"Functioning",IF(H12&gt;0.29,"Functioning At Risk",IF(H12&gt;-1,"Not Functioning"))))</f>
        <v/>
      </c>
      <c r="J12" s="219" t="s">
        <v>339</v>
      </c>
      <c r="K12" s="10"/>
      <c r="L12" s="5"/>
      <c r="M12" s="5"/>
      <c r="N12" s="5"/>
    </row>
    <row r="13" spans="1:14" s="5" customFormat="1" ht="15.75" x14ac:dyDescent="0.5">
      <c r="A13" s="434"/>
      <c r="B13" s="437"/>
      <c r="C13" s="133" t="s">
        <v>184</v>
      </c>
      <c r="D13" s="150"/>
      <c r="E13" s="35"/>
      <c r="F13" s="203" t="str">
        <f>IF(E13="","",   IF(E13&gt;3.2,0, IF(E13&lt;0, "", ROUND('Reference Curves'!$B$8*E13+'Reference Curves'!$B$9,2))))</f>
        <v/>
      </c>
      <c r="G13" s="412"/>
      <c r="H13" s="412"/>
      <c r="I13" s="439"/>
      <c r="J13" s="442" t="str">
        <f>IF(AND(H12="",H19=""),"",ROUND((IF(H12="",0,H12)*0.3)+(IF(H19="",0,H19)*0.3),2))</f>
        <v/>
      </c>
      <c r="K13" s="10"/>
    </row>
    <row r="14" spans="1:14" s="5" customFormat="1" ht="15.75" x14ac:dyDescent="0.5">
      <c r="A14" s="434"/>
      <c r="B14" s="400" t="s">
        <v>185</v>
      </c>
      <c r="C14" s="134" t="s">
        <v>186</v>
      </c>
      <c r="D14" s="149"/>
      <c r="E14" s="34"/>
      <c r="F14" s="204" t="s">
        <v>285</v>
      </c>
      <c r="G14" s="411" t="str">
        <f>IFERROR(IF(AND(ISNUMBER(E14),E14&lt;1),0,AVERAGE(F14:F15)),"")</f>
        <v/>
      </c>
      <c r="H14" s="412"/>
      <c r="I14" s="439"/>
      <c r="J14" s="443"/>
      <c r="K14" s="10"/>
    </row>
    <row r="15" spans="1:14" s="5" customFormat="1" ht="15.75" x14ac:dyDescent="0.5">
      <c r="A15" s="434"/>
      <c r="B15" s="401"/>
      <c r="C15" s="151" t="s">
        <v>187</v>
      </c>
      <c r="D15" s="152"/>
      <c r="E15" s="34"/>
      <c r="F15" s="205" t="str">
        <f>IF(E15="","",IF(G4= "CS-II", ROUND(IF(E15&lt;=0.6,0, IF(E15&gt;=2.3,1,E15*'Reference Curves'!$D$14+'Reference Curves'!$D$15)),2),IF(AND(D5&lt;20,LEFT(G4,2)="CS"), ROUND(IF(E15&lt;=0.2,0, IF(E15&gt;=1,1,E15*'Reference Curves'!$B$14+'Reference Curves'!$B$15)),2), IF(AND(D5&gt;=20,LEFT(G4,2)= "CS"), ROUND(IF(E15&lt;=0.4,0, IF(E15&gt;=1.5,1,E15*'Reference Curves'!$C$14+'Reference Curves'!$C$15)),2),"FALSE"))))</f>
        <v/>
      </c>
      <c r="G15" s="413"/>
      <c r="H15" s="412"/>
      <c r="I15" s="439"/>
      <c r="J15" s="443"/>
      <c r="K15" s="10"/>
    </row>
    <row r="16" spans="1:14" s="5" customFormat="1" ht="15.75" x14ac:dyDescent="0.5">
      <c r="A16" s="434"/>
      <c r="B16" s="437" t="s">
        <v>4</v>
      </c>
      <c r="C16" s="133" t="s">
        <v>5</v>
      </c>
      <c r="D16" s="14"/>
      <c r="E16" s="30"/>
      <c r="F16" s="206" t="str">
        <f>IF( E16="","",
IF( E16&gt;1.71,0, IF( E16&gt;1, ROUND(E16*'Reference Curves'!C$20+'Reference Curves'!C$21,2),
IF( D8="Transport", ROUND(IF( E16&lt;0.35,0, E16*'Reference Curves'!$B$20+'Reference Curves'!$B$21 ),2), 1 ))))</f>
        <v/>
      </c>
      <c r="G16" s="411" t="str">
        <f>IFERROR(AVERAGE(F16:F18),"")</f>
        <v/>
      </c>
      <c r="H16" s="412"/>
      <c r="I16" s="439"/>
      <c r="J16" s="443"/>
      <c r="K16" s="10"/>
      <c r="N16" s="9"/>
    </row>
    <row r="17" spans="1:14" s="5" customFormat="1" ht="15.75" x14ac:dyDescent="0.5">
      <c r="A17" s="434"/>
      <c r="B17" s="437"/>
      <c r="C17" s="133" t="s">
        <v>6</v>
      </c>
      <c r="D17" s="14"/>
      <c r="E17" s="34"/>
      <c r="F17" s="205" t="str">
        <f>IF(E17="","",IF(OR(LEFT(B5,1)="A",LEFT(B5,1)="B"),IF(E17&lt;1.05,0,IF(E17&gt;=2.2,1,ROUND(IF(E17&lt;1.4,E17*'Reference Curves'!$B$40+'Reference Curves'!$B$41,E17*'Reference Curves'!$C$40+'Reference Curves'!$C$41),2))), IF(B5="C",IF(E17&lt;1.7,0,IF(E17&gt;=4.2,1,ROUND(IF(E17&lt;2.4,E17*'Reference Curves'!$C$25+'Reference Curves'!$C$26,E17*'Reference Curves'!$B$25+'Reference Curves'!$B$26),2))),                                                                                                                                                                                                                    IF(B5="Cb",IF(E17&lt;1.7,0,IF(E17&gt;=3.9,1,ROUND(IF(E17&lt;2.4,E17*'Reference Curves'!$C$30+'Reference Curves'!$C$31,E17*'Reference Curves'!$B$30+'Reference Curves'!$B$31),2))),
IF(LEFT(B5,1)="E",IF(E17&lt;1.7,0,IF(E17&gt;=6.7,1,ROUND(IF(E17&lt;2.4,E17*'Reference Curves'!$C$35+'Reference Curves'!$C$36,E17*'Reference Curves'!$B$35+'Reference Curves'!$B$36),2))))))))</f>
        <v/>
      </c>
      <c r="G17" s="412"/>
      <c r="H17" s="412"/>
      <c r="I17" s="439"/>
      <c r="J17" s="443"/>
      <c r="K17" s="10"/>
      <c r="N17" s="9"/>
    </row>
    <row r="18" spans="1:14" s="5" customFormat="1" ht="15.75" customHeight="1" x14ac:dyDescent="0.5">
      <c r="A18" s="434"/>
      <c r="B18" s="437"/>
      <c r="C18" s="135" t="s">
        <v>188</v>
      </c>
      <c r="D18" s="14"/>
      <c r="E18" s="35"/>
      <c r="F18" s="207" t="str">
        <f>IF(E18="","",IF(D6="Unconfined Alluvial",IF(E18&lt;=0,0, IF(E18&gt;=100,1, ROUND(IF(E18&lt;10,E18*'Reference Curves'!$B$46+'Reference Curves'!$B$47, IF(E18&lt;50,E18*'Reference Curves'!$C$46+'Reference Curves'!$C$47,E18*'Reference Curves'!$D$46+'Reference Curves'!$D$47)),2))), IF(D6="Confined Alluvial",IF(E18&lt;=0,0,IF(E18&gt;=50,1,ROUND(IF(E18&lt;5,E18*'Reference Curves'!$E$46+'Reference Curves'!$E$47,IF(E18&lt;25,E18*'Reference Curves'!$F$46+'Reference Curves'!$F$47,E18*'Reference Curves'!$G$46+'Reference Curves'!$G$47)),2))))))</f>
        <v/>
      </c>
      <c r="G18" s="413"/>
      <c r="H18" s="413"/>
      <c r="I18" s="440"/>
      <c r="J18" s="443"/>
      <c r="K18" s="10"/>
      <c r="N18" s="9"/>
    </row>
    <row r="19" spans="1:14" s="5" customFormat="1" ht="15.75" x14ac:dyDescent="0.5">
      <c r="A19" s="399" t="s">
        <v>20</v>
      </c>
      <c r="B19" s="399" t="s">
        <v>21</v>
      </c>
      <c r="C19" s="16" t="s">
        <v>19</v>
      </c>
      <c r="D19" s="46"/>
      <c r="E19" s="30"/>
      <c r="F19" s="208" t="str">
        <f>IF(E19="","",IF(E19&gt;=660,1,IF(E19&lt;=430,ROUND('Reference Curves'!$I$4*E19+'Reference Curves'!$I$5,2),ROUND('Reference Curves'!$J$4*E19+'Reference Curves'!$J$5,2))))</f>
        <v/>
      </c>
      <c r="G19" s="414" t="str">
        <f>IFERROR(AVERAGE(F19:F20),"")</f>
        <v/>
      </c>
      <c r="H19" s="414" t="str">
        <f>IFERROR(ROUND(AVERAGE(G19:G32),2),"")</f>
        <v/>
      </c>
      <c r="I19" s="417" t="str">
        <f>IF(H19="","",IF(H19&gt;0.69,"Functioning",IF(H19&gt;0.29,"Functioning At Risk",IF(H19&gt;-1,"Not Functioning"))))</f>
        <v/>
      </c>
      <c r="J19" s="443"/>
      <c r="K19" s="10"/>
      <c r="N19" s="9"/>
    </row>
    <row r="20" spans="1:14" s="5" customFormat="1" ht="15.75" x14ac:dyDescent="0.5">
      <c r="A20" s="399"/>
      <c r="B20" s="399"/>
      <c r="C20" s="18" t="s">
        <v>189</v>
      </c>
      <c r="D20" s="47"/>
      <c r="E20" s="35"/>
      <c r="F20" s="209" t="str">
        <f>IF(E20="","",IF(E20&gt;=28,1,ROUND(IF(E20&lt;=13,'Reference Curves'!$I$9*E20,'Reference Curves'!$J$9*E20+'Reference Curves'!$J$10),2)))</f>
        <v/>
      </c>
      <c r="G20" s="416"/>
      <c r="H20" s="415"/>
      <c r="I20" s="418"/>
      <c r="J20" s="443"/>
      <c r="K20" s="10"/>
      <c r="N20" s="9"/>
    </row>
    <row r="21" spans="1:14" s="5" customFormat="1" ht="15.75" x14ac:dyDescent="0.5">
      <c r="A21" s="399"/>
      <c r="B21" s="399" t="s">
        <v>114</v>
      </c>
      <c r="C21" s="16" t="s">
        <v>190</v>
      </c>
      <c r="D21" s="46"/>
      <c r="E21" s="78"/>
      <c r="F21" s="208" t="str">
        <f>IF(E21="","",ROUND(IF(E21&lt;=2,0,IF(E21&gt;=9,1, IF(E21&gt;=5,E21^2*'Reference Curves'!$I$14+E21*'Reference Curves'!$I$15+'Reference Curves'!$I$16, E21*'Reference Curves'!$J$15+'Reference Curves'!$J$16))),2))</f>
        <v/>
      </c>
      <c r="G21" s="414" t="str">
        <f>IFERROR(IF(E24&gt;=50,0,AVERAGE(F21:F24)),"")</f>
        <v/>
      </c>
      <c r="H21" s="415"/>
      <c r="I21" s="418"/>
      <c r="J21" s="443"/>
      <c r="K21" s="10"/>
      <c r="N21" s="9"/>
    </row>
    <row r="22" spans="1:14" s="5" customFormat="1" ht="15.75" x14ac:dyDescent="0.5">
      <c r="A22" s="399"/>
      <c r="B22" s="399"/>
      <c r="C22" s="18" t="s">
        <v>42</v>
      </c>
      <c r="D22" s="67"/>
      <c r="E22" s="78"/>
      <c r="F22" s="210" t="str">
        <f>IF(E22="","",IF(OR(E22="Ex/Ex",E22="Ex/VH",E22="Ex/H",E22="Ex/M",E22="VH/Ex",E22="VH/VH", E22="H/Ex",E22="H/VH"),0, IF(OR(E22="M/Ex"),0.1,IF(OR(E22="VH/H",E22="VH/M",E22="H/H",E22="H/M", E22="M/VH"),0.2, IF(OR(E22="Ex/VL",E22="Ex/L", E22="M/H"),0.3, IF(OR(E22="VH/L",E22="H/L"),0.4, IF(OR(E22="VH/VL",E22="H/VL",E22="M/M"),0.5, IF(OR(E22="M/L",E22="L/Ex"),0.6, IF(OR(E22="M/VL",E22="L/VH", E22="L/H",E22="L/M",E22="L/L",E22="L/VL", LEFT(E22,2)="VL"),1)))))))))</f>
        <v/>
      </c>
      <c r="G22" s="415"/>
      <c r="H22" s="415"/>
      <c r="I22" s="418"/>
      <c r="J22" s="443"/>
      <c r="K22" s="10"/>
      <c r="N22" s="9"/>
    </row>
    <row r="23" spans="1:14" s="5" customFormat="1" ht="15.75" x14ac:dyDescent="0.5">
      <c r="A23" s="399"/>
      <c r="B23" s="399"/>
      <c r="C23" s="136" t="s">
        <v>54</v>
      </c>
      <c r="D23" s="67"/>
      <c r="E23" s="78"/>
      <c r="F23" s="210" t="str">
        <f>IF(E23="","",ROUND(IF(E23&gt;=75,0,IF(E23&lt;=5,1,IF(E23&gt;10,E23*'Reference Curves'!I$20+'Reference Curves'!I$21,'Reference Curves'!$J$20*E23+'Reference Curves'!$J$21))),2))</f>
        <v/>
      </c>
      <c r="G23" s="421"/>
      <c r="H23" s="415"/>
      <c r="I23" s="418"/>
      <c r="J23" s="443"/>
      <c r="K23" s="10"/>
      <c r="N23" s="9"/>
    </row>
    <row r="24" spans="1:14" s="5" customFormat="1" ht="15.75" x14ac:dyDescent="0.5">
      <c r="A24" s="399"/>
      <c r="B24" s="399"/>
      <c r="C24" s="137" t="s">
        <v>113</v>
      </c>
      <c r="D24" s="154"/>
      <c r="E24" s="153"/>
      <c r="F24" s="211" t="str">
        <f>IF(E24="","",IF(E24&gt;=30,0,ROUND(E24*'Reference Curves'!$I$24+'Reference Curves'!$I$25,2)))</f>
        <v/>
      </c>
      <c r="G24" s="416"/>
      <c r="H24" s="415"/>
      <c r="I24" s="418"/>
      <c r="J24" s="443"/>
      <c r="K24" s="10"/>
      <c r="N24" s="9"/>
    </row>
    <row r="25" spans="1:14" s="5" customFormat="1" ht="15.75" x14ac:dyDescent="0.5">
      <c r="A25" s="399"/>
      <c r="B25" s="399" t="s">
        <v>44</v>
      </c>
      <c r="C25" s="16" t="s">
        <v>45</v>
      </c>
      <c r="D25" s="20"/>
      <c r="E25" s="37"/>
      <c r="F25" s="212" t="str">
        <f>IF(E25="","",IF(B5="Bc",IF(OR(E25&gt;=12,E25&lt;=0.1),0,IF(E25&lt;=3.4,1,ROUND('Reference Curves'!$I$33*E25+'Reference Curves'!$I$34,2))),
IF(OR(B5="B",B5="Ba"),IF(OR(E25&gt;=7.5,E25&lt;=0.1),0,IF(E25&lt;=3,1,ROUND(IF(E25&gt;4,'Reference Curves'!$I$29*E25+'Reference Curves'!$I$30,'Reference Curves'!$J$29*E25+'Reference Curves'!$J$30),2))),
IF(B5="Cb",IF(OR(E25&gt;=8.35,E25&lt;1.4),0,IF(AND(E25&gt;=3.7,E25&lt;=5),1,ROUND(IF(E25&lt;3.7,'Reference Curves'!$I$49*E25+'Reference Curves'!$I$50,'Reference Curves'!$J$49*E25+'Reference Curves'!$J$50),2))),
IF(B5="C",IF(OR(E25&gt;=9.3,E25&lt;=3),0,IF(AND(E25&gt;=4,E25&lt;=6),1,ROUND(IF(E25&lt;4,'Reference Curves'!$I$44*E25+'Reference Curves'!$I$45,'Reference Curves'!$J$44*E25+'Reference Curves'!$J$45),2))),
IF(B5="E",IF(OR(E25&gt;=8.3,E25&lt;1.85),0,IF(AND(E25&gt;=3.5,E25&lt;=5),1,ROUND(IF(E25&lt;3.5,'Reference Curves'!$I$38*E25+'Reference Curves'!$I$39,'Reference Curves'!$J$38*E25+'Reference Curves'!$J$39),2)))      ))))))</f>
        <v/>
      </c>
      <c r="G25" s="425" t="str">
        <f>IFERROR(AVERAGE(F25:F28),"")</f>
        <v/>
      </c>
      <c r="H25" s="415"/>
      <c r="I25" s="418"/>
      <c r="J25" s="443"/>
      <c r="K25" s="10"/>
      <c r="N25" s="9"/>
    </row>
    <row r="26" spans="1:14" s="5" customFormat="1" ht="15.75" x14ac:dyDescent="0.5">
      <c r="A26" s="399"/>
      <c r="B26" s="399"/>
      <c r="C26" s="18" t="s">
        <v>46</v>
      </c>
      <c r="D26" s="15"/>
      <c r="E26" s="36"/>
      <c r="F26" s="213" t="str">
        <f>IF(E26="","",IF(E26&lt;=1,0,IF(E26&gt;=3.2,1,IF(E26&gt;=2.2,ROUND('Reference Curves'!$J$54*E26+'Reference Curves'!$J$55,2),(ROUND('Reference Curves'!$I$54*E26+'Reference Curves'!$I$55,2))))))</f>
        <v/>
      </c>
      <c r="G26" s="421"/>
      <c r="H26" s="415"/>
      <c r="I26" s="418"/>
      <c r="J26" s="443"/>
      <c r="K26" s="10"/>
      <c r="N26" s="9"/>
    </row>
    <row r="27" spans="1:14" s="5" customFormat="1" ht="15.75" customHeight="1" x14ac:dyDescent="0.5">
      <c r="A27" s="399"/>
      <c r="B27" s="399"/>
      <c r="C27" s="18" t="s">
        <v>92</v>
      </c>
      <c r="D27" s="15"/>
      <c r="E27" s="36"/>
      <c r="F27" s="283" t="str">
        <f>IF(E27="","", IF(D4="","FALSE",IF(D4&lt;3,IF( OR(E27&gt;=91,E27&lt;=13.5),0, IF(AND(E27&gt;49,E27&lt;61), 1, ROUND(IF(E27&lt;50,'Reference Curves'!$I$60*E27+'Reference Curves'!$I$61, IF(E27&gt;60,'Reference Curves'!$J$60*E27+'Reference Curves'!$J$61)),2))), IF(D4&gt;=3,IF(OR(E27&gt;94.5,E27&lt;41.5),0, IF(AND(E27 &gt;=68, E27&lt;=78),1, ROUND(IF(E27&lt;68,'Reference Curves'!$I$65*E27+'Reference Curves'!$I$66,'Reference Curves'!$J$65*E27+'Reference Curves'!$J$66),2) ))))))</f>
        <v/>
      </c>
      <c r="G27" s="421"/>
      <c r="H27" s="415"/>
      <c r="I27" s="418"/>
      <c r="J27" s="443"/>
      <c r="K27" s="10"/>
      <c r="N27" s="9"/>
    </row>
    <row r="28" spans="1:14" s="5" customFormat="1" ht="15.75" x14ac:dyDescent="0.5">
      <c r="A28" s="399"/>
      <c r="B28" s="399"/>
      <c r="C28" s="19" t="s">
        <v>79</v>
      </c>
      <c r="D28" s="15"/>
      <c r="E28" s="38"/>
      <c r="F28" s="190" t="str">
        <f>IF(E28="","",IF(E28&gt;=1.6,0,IF(E28&lt;=1,1,ROUND('Reference Curves'!$I$74*E28^3+'Reference Curves'!$I$75*E28^2+'Reference Curves'!$I$76*E28+'Reference Curves'!$I$77,2))))</f>
        <v/>
      </c>
      <c r="G28" s="426"/>
      <c r="H28" s="415"/>
      <c r="I28" s="418"/>
      <c r="J28" s="443"/>
      <c r="K28" s="10"/>
      <c r="N28" s="9"/>
    </row>
    <row r="29" spans="1:14" s="5" customFormat="1" ht="15.75" x14ac:dyDescent="0.5">
      <c r="A29" s="399"/>
      <c r="B29" s="399" t="s">
        <v>43</v>
      </c>
      <c r="C29" s="18" t="s">
        <v>201</v>
      </c>
      <c r="D29" s="46"/>
      <c r="E29" s="17"/>
      <c r="F29" s="214" t="str">
        <f>IF( E29="","",
IF( D6="Unconfined Alluvial", IF( E29&gt;=100,1,
ROUND('Reference Curves'!$I$82*E29+'Reference Curves'!$I$83,2) ),
IF( OR(D6="Confined Alluvial", D6="Colluvial/V-Shaped"), ( IF(E29&gt;=100,1,
IF(E29&gt;=60, ROUND('Reference Curves'!$J$82*E29+'Reference Curves'!$J$83,2), ROUND('Reference Curves'!$K$82*E29+'Reference Curves'!$K$83,2) ) ) ) ) ) )</f>
        <v/>
      </c>
      <c r="G29" s="414" t="str">
        <f>IFERROR(AVERAGE(F29:F32),"")</f>
        <v/>
      </c>
      <c r="H29" s="415"/>
      <c r="I29" s="418"/>
      <c r="J29" s="443"/>
      <c r="K29" s="10"/>
      <c r="N29" s="9"/>
    </row>
    <row r="30" spans="1:14" s="5" customFormat="1" ht="15.75" x14ac:dyDescent="0.5">
      <c r="A30" s="399"/>
      <c r="B30" s="399"/>
      <c r="C30" s="18" t="s">
        <v>191</v>
      </c>
      <c r="D30" s="67"/>
      <c r="E30" s="79"/>
      <c r="F30" s="213" t="str">
        <f>IF( E30="","", IF(D7&lt;&gt;"Woody","FALSE", IF( OR(G6="Mountains",G6="Basins"),
IF(E30&lt;=0,0, IF(E30&gt;=122,1, IF(E30&lt;69, ROUND('Reference Curves'!$I$87*E30+'Reference Curves'!$I$88,2), ROUND('Reference Curves'!$J$87*E30+'Reference Curves'!$J$88,2) ) ) ),
IF(G6="Plains",IF(OR(E30&lt;=0,E30&gt;111),0,IF(AND(E30&gt;=69,E30&lt;=76),1,IF(E30&lt;69,ROUND(E30*'Reference Curves'!$I$92+'Reference Curves'!$I$93,2),ROUND(E30*'Reference Curves'!$J$92+'Reference Curves'!$J$93,2))))))))</f>
        <v/>
      </c>
      <c r="G30" s="415"/>
      <c r="H30" s="415"/>
      <c r="I30" s="418"/>
      <c r="J30" s="443"/>
      <c r="K30" s="10"/>
      <c r="N30" s="9"/>
    </row>
    <row r="31" spans="1:14" s="5" customFormat="1" ht="15.75" x14ac:dyDescent="0.5">
      <c r="A31" s="399"/>
      <c r="B31" s="399"/>
      <c r="C31" s="18" t="s">
        <v>141</v>
      </c>
      <c r="D31" s="67"/>
      <c r="E31" s="79"/>
      <c r="F31" s="213" t="str">
        <f>IF(E31="","",IF(D7="Herbaceous",IF(E31&lt;=34,0,IF(E31&gt;=120,1,IF(E31&gt;73,ROUND(E31*'Reference Curves'!$J$98+'Reference Curves'!$J$99,2),ROUND(E31*'Reference Curves'!$I$98+'Reference Curves'!$I$99,2))))))</f>
        <v/>
      </c>
      <c r="G31" s="421"/>
      <c r="H31" s="415"/>
      <c r="I31" s="418"/>
      <c r="J31" s="443"/>
      <c r="K31" s="10"/>
      <c r="N31" s="9"/>
    </row>
    <row r="32" spans="1:14" s="5" customFormat="1" ht="15.75" x14ac:dyDescent="0.5">
      <c r="A32" s="399"/>
      <c r="B32" s="399"/>
      <c r="C32" s="138" t="s">
        <v>192</v>
      </c>
      <c r="D32" s="158"/>
      <c r="E32" s="162"/>
      <c r="F32" s="189" t="str">
        <f>IF(E32="","",IF(E32&lt;=46,0,IF(E32&gt;=100,1,IF(AND(E32&lt;=100,E32&gt;91),ROUND(E32*'Reference Curves'!$J$103+'Reference Curves'!$J$104,2),ROUND(E32*'Reference Curves'!$I$103+'Reference Curves'!$I$104,2)))))</f>
        <v/>
      </c>
      <c r="G32" s="416"/>
      <c r="H32" s="416"/>
      <c r="I32" s="419"/>
      <c r="J32" s="444"/>
      <c r="K32" s="10"/>
      <c r="N32" s="9"/>
    </row>
    <row r="33" spans="1:14" ht="15.75" x14ac:dyDescent="0.5">
      <c r="A33" s="436" t="s">
        <v>47</v>
      </c>
      <c r="B33" s="441" t="s">
        <v>139</v>
      </c>
      <c r="C33" s="139" t="s">
        <v>193</v>
      </c>
      <c r="D33" s="160"/>
      <c r="E33" s="30"/>
      <c r="F33" s="215" t="str">
        <f>IF(E33="","",IF(G4="","Enter Stream Temperature",  IF(G4="CS-I (MWF)",IF(E33&gt;=21.2,0,1),  IF(G4="CS-I",IF(E33&gt;=21.7,0,1),  IF(G4="CS-II",IF(E33&gt;=23.9,0,1),  IF(G4="WS-I",IF(E33&gt;=29,0,1),  IF(G4="WS-II",IF(E33&gt;=28.6,0,1), IF(G4="WS-III",IF(E33&gt;=31.8,0,1)))))))))</f>
        <v/>
      </c>
      <c r="G33" s="422" t="str">
        <f>IFERROR(AVERAGE(F33:F34),"")</f>
        <v/>
      </c>
      <c r="H33" s="422">
        <f>IF(OR(G33&lt;&gt;"",G35&lt;&gt;"",G36&lt;&gt;""),ROUND(AVERAGE(G33:G36),2),IF(B8="Yes",1,0.8))</f>
        <v>0.8</v>
      </c>
      <c r="I33" s="430" t="str">
        <f>IF(H33="","",IF(H33&gt;0.69,"Functioning",IF(H33&gt;0.29,"Functioning At Risk",IF(H33&gt;-1,"Not Functioning"))))</f>
        <v>Functioning</v>
      </c>
      <c r="J33" s="219" t="s">
        <v>290</v>
      </c>
      <c r="K33" s="10"/>
      <c r="L33" s="5"/>
      <c r="M33" s="5"/>
      <c r="N33" s="9"/>
    </row>
    <row r="34" spans="1:14" s="5" customFormat="1" ht="15.75" x14ac:dyDescent="0.5">
      <c r="A34" s="436"/>
      <c r="B34" s="441"/>
      <c r="C34" s="140" t="s">
        <v>194</v>
      </c>
      <c r="D34" s="155"/>
      <c r="E34" s="35"/>
      <c r="F34" s="216" t="str">
        <f>IF(E34="","",IF(G4="","Enter Stream Temperature",  IF(G4="CS-I (MWF)",IF(E34&gt;=18.3,0,IF(E34&lt;=13.8,1,ROUND(E34*'Reference Curves'!$M$4+'Reference Curves'!$M$5,2))),  IF(G4="CS-I",IF(E34&gt;=17.6,0,IF(E34&lt;=15.7,1,ROUND(E34*'Reference Curves'!$N$4+'Reference Curves'!$N$5,2))),  IF(G4="CS-II",IF(E34&gt;=19.1,0,IF(E34&lt;=16.6,1,ROUND(E34*'Reference Curves'!$O$4+'Reference Curves'!$O$5,2))),  IF(G4="WS-I",IF(E34&gt;=25.7,0,IF(E34&lt;=20.9,1,ROUND(E34*'Reference Curves'!$P$4+'Reference Curves'!$P$5,2))),  IF(G4="WS-II",IF(E34&gt;=29.7,0,IF(E34&lt;=22.5,1,ROUND(E34*'Reference Curves'!$Q$4+'Reference Curves'!$Q$5,2))), IF(G4="WS-III",IF(E34&gt;=30,0,IF(E34&lt;=25.9,1,ROUND(E34*'Reference Curves'!$R$4+'Reference Curves'!$R$5,2)))    ))))))))</f>
        <v/>
      </c>
      <c r="G34" s="424"/>
      <c r="H34" s="423"/>
      <c r="I34" s="430"/>
      <c r="J34" s="442">
        <f>IF(AND(H12="",H19="",H33="",H37=""),"",ROUND((IF(H12="",0,H12)*0.3)+(IF(H19="",0,H19)*0.3)+(IF(H33="",0,H33)*0.2)+(IF(H37="",0,H37)*0.2),2))</f>
        <v>0.32</v>
      </c>
      <c r="K34" s="10"/>
      <c r="N34" s="9"/>
    </row>
    <row r="35" spans="1:14" s="5" customFormat="1" ht="15.75" x14ac:dyDescent="0.5">
      <c r="A35" s="436"/>
      <c r="B35" s="141" t="s">
        <v>140</v>
      </c>
      <c r="C35" s="142" t="s">
        <v>195</v>
      </c>
      <c r="D35" s="156"/>
      <c r="E35" s="54"/>
      <c r="F35" s="216" t="str">
        <f>IF(E35="","",ROUND( IF(E35&lt;=6,0, IF(E35&gt;=10.31,1,E35*'Reference Curves'!$M$8+'Reference Curves'!$M$9)),2))</f>
        <v/>
      </c>
      <c r="G35" s="163" t="str">
        <f>IFERROR(AVERAGE(F35),"")</f>
        <v/>
      </c>
      <c r="H35" s="423"/>
      <c r="I35" s="430"/>
      <c r="J35" s="443"/>
      <c r="K35" s="10"/>
      <c r="N35" s="9"/>
    </row>
    <row r="36" spans="1:14" ht="15.75" x14ac:dyDescent="0.5">
      <c r="A36" s="436"/>
      <c r="B36" s="141" t="s">
        <v>196</v>
      </c>
      <c r="C36" s="143" t="s">
        <v>357</v>
      </c>
      <c r="D36" s="157"/>
      <c r="E36" s="54"/>
      <c r="F36" s="216" t="str">
        <f>IF(E36="","",IF(OR(G5=3),IF(E36&gt;=150,0,IF(E36&lt;=16,1,ROUND('Reference Curves'!$M$13*LN(E36)+'Reference Curves'!$M$14,2))), IF(OR(G5=1,G5=2),  IF(E36&gt;=97,0,IF(E36&lt;=12,1,ROUND('Reference Curves'!$N$13*LN(E36)+'Reference Curves'!$N$14,2))))))</f>
        <v/>
      </c>
      <c r="G36" s="163" t="str">
        <f>IFERROR(AVERAGE(F36),"")</f>
        <v/>
      </c>
      <c r="H36" s="424"/>
      <c r="I36" s="430"/>
      <c r="J36" s="443"/>
      <c r="K36" s="10"/>
      <c r="L36" s="5"/>
      <c r="M36" s="5"/>
      <c r="N36" s="9"/>
    </row>
    <row r="37" spans="1:14" ht="15.75" x14ac:dyDescent="0.5">
      <c r="A37" s="435" t="s">
        <v>48</v>
      </c>
      <c r="B37" s="144" t="s">
        <v>93</v>
      </c>
      <c r="C37" s="145" t="s">
        <v>197</v>
      </c>
      <c r="D37" s="28"/>
      <c r="E37" s="54"/>
      <c r="F37" s="217" t="str">
        <f>IF(E37="","",IF(G5="","Enter Biotype",IF(G5=1,IF(E37&lt;=0,0,IF(E37&gt;=57,1,ROUND(IF(E37&lt;=34,'Reference Curves'!$T$5*E37+'Reference Curves'!$T$6,  IF(E37&lt;=45, 'Reference Curves'!$U$5*E37+'Reference Curves'!$U$6,  'Reference Curves'!$V$5*E37+'Reference Curves'!$V$6)),2))),   IF(G5=2,IF(E37&lt;=0,0,IF(E37&gt;=63,1,ROUND(IF(E37&lt;=40,'Reference Curves'!$W$5*E37+'Reference Curves'!$W$6,  IF(E37&lt;=48,'Reference Curves'!$X$5*E37+'Reference Curves'!$X$6,  'Reference Curves'!$Y$5*E37+'Reference Curves'!$Y$6)),2))),   IF(OR(G5=3),IF(E37&lt;=0,0,IF(E37&gt;=52,1,ROUND(IF(E37&lt;=29,'Reference Curves'!$Z$5*E37+'Reference Curves'!$Z$6, IF(E37&lt;=42, 'Reference Curves'!$AA$5*E37+'Reference Curves'!$AA$6,  'Reference Curves'!$AB$5*E37+'Reference Curves'!$AB$6)),2))))))))</f>
        <v/>
      </c>
      <c r="G37" s="164" t="str">
        <f>IFERROR(AVERAGE(F37),"")</f>
        <v/>
      </c>
      <c r="H37" s="420">
        <f>IF(OR(G37&lt;&gt;"",G38&lt;&gt;""),ROUND(AVERAGE(G37:G40),2),IF(B8="Yes",1,0.8))</f>
        <v>0.8</v>
      </c>
      <c r="I37" s="430" t="str">
        <f>IF(H37="","",IF(H37&gt;0.69,"Functioning",IF(H37&gt;0.29,"Functioning At Risk",IF(H37&gt;-1,"Not Functioning"))))</f>
        <v>Functioning</v>
      </c>
      <c r="J37" s="443"/>
      <c r="K37" s="10"/>
      <c r="L37" s="5"/>
      <c r="M37" s="5"/>
      <c r="N37" s="9"/>
    </row>
    <row r="38" spans="1:14" s="5" customFormat="1" ht="15.75" x14ac:dyDescent="0.5">
      <c r="A38" s="435"/>
      <c r="B38" s="398" t="s">
        <v>51</v>
      </c>
      <c r="C38" s="146" t="s">
        <v>198</v>
      </c>
      <c r="D38" s="28"/>
      <c r="E38" s="30"/>
      <c r="F38" s="164" t="str">
        <f>IF(E38="","",IF(E38&lt;=0,0,IF(E38&gt;=100,1,ROUND(IF(E38&lt;80,E38*'Reference Curves'!$T$10+'Reference Curves'!$T$11,E38*'Reference Curves'!$U$10+'Reference Curves'!$U$11),2))))</f>
        <v/>
      </c>
      <c r="G38" s="427" t="str">
        <f>IFERROR(AVERAGE(F38:F40),"")</f>
        <v/>
      </c>
      <c r="H38" s="420"/>
      <c r="I38" s="430"/>
      <c r="J38" s="443"/>
      <c r="K38" s="10"/>
      <c r="N38" s="9"/>
    </row>
    <row r="39" spans="1:14" s="5" customFormat="1" ht="15.75" x14ac:dyDescent="0.5">
      <c r="A39" s="435"/>
      <c r="B39" s="398"/>
      <c r="C39" s="147" t="s">
        <v>199</v>
      </c>
      <c r="D39" s="159"/>
      <c r="E39" s="34"/>
      <c r="F39" s="164" t="str">
        <f>IF(E39="","",ROUND(IF(E39&gt;=3,0,IF(E39&gt;=2,0.3,IF(E39&gt;=1,0.69,1))),2))</f>
        <v/>
      </c>
      <c r="G39" s="428"/>
      <c r="H39" s="420"/>
      <c r="I39" s="430"/>
      <c r="J39" s="443"/>
      <c r="K39" s="10"/>
      <c r="N39" s="9"/>
    </row>
    <row r="40" spans="1:14" s="5" customFormat="1" ht="15.75" x14ac:dyDescent="0.5">
      <c r="A40" s="435"/>
      <c r="B40" s="398"/>
      <c r="C40" s="148" t="s">
        <v>200</v>
      </c>
      <c r="D40" s="161"/>
      <c r="E40" s="35"/>
      <c r="F40" s="218" t="str">
        <f>IF(E40="","",IF(G8="","Enter Stream Producitvity Rating",IF(G8="High",IF(E40&lt;5,0,IF(E40&gt;=40,1,ROUND(E40*'Reference Curves'!$T$15+'Reference Curves'!$T$16,2))),IF(G8="Moderate",IF(E40&lt;10,0,IF(E40&gt;=80,1,ROUND(E40*'Reference Curves'!$U$15+'Reference Curves'!$U$16,2))),IF(G8="Low",IF(E40&lt;15,0,IF(E40&gt;=119,1,ROUND(E40*'Reference Curves'!$V$15+'Reference Curves'!$V$16,2)))   )))))</f>
        <v/>
      </c>
      <c r="G40" s="429"/>
      <c r="H40" s="420"/>
      <c r="I40" s="430"/>
      <c r="J40" s="444"/>
      <c r="K40" s="10"/>
      <c r="N40" s="9"/>
    </row>
    <row r="41" spans="1:14" x14ac:dyDescent="0.45">
      <c r="J41" s="4"/>
      <c r="K41" s="10"/>
      <c r="L41" s="5"/>
      <c r="M41" s="5"/>
    </row>
    <row r="42" spans="1:14" x14ac:dyDescent="0.45">
      <c r="H42" s="5"/>
      <c r="J42" s="5"/>
      <c r="K42" s="10"/>
      <c r="L42" s="5"/>
      <c r="M42" s="5"/>
    </row>
    <row r="43" spans="1:14" s="5" customFormat="1" ht="21" customHeight="1" x14ac:dyDescent="0.45">
      <c r="A43" s="408" t="s">
        <v>349</v>
      </c>
      <c r="B43" s="409"/>
      <c r="C43" s="409"/>
      <c r="D43" s="409"/>
      <c r="E43" s="409"/>
      <c r="F43" s="409"/>
      <c r="G43" s="409"/>
      <c r="H43" s="409"/>
      <c r="I43" s="409"/>
      <c r="J43" s="410"/>
    </row>
    <row r="44" spans="1:14" s="5" customFormat="1" ht="16.149999999999999" customHeight="1" x14ac:dyDescent="0.45">
      <c r="A44" s="184" t="str">
        <f>A4</f>
        <v>Reach ID:</v>
      </c>
      <c r="B44" s="224">
        <f>'Project Assessment'!A11</f>
        <v>0</v>
      </c>
      <c r="C44" s="200" t="str">
        <f>C4</f>
        <v>Stream Slope (%):</v>
      </c>
      <c r="D44" s="290"/>
      <c r="E44" s="402" t="str">
        <f>E4</f>
        <v>Stream Temperature:</v>
      </c>
      <c r="F44" s="403"/>
      <c r="G44" s="187"/>
      <c r="H44" s="406" t="str">
        <f>H4</f>
        <v>Upstream Latitude:</v>
      </c>
      <c r="I44" s="407"/>
      <c r="J44" s="185"/>
    </row>
    <row r="45" spans="1:14" s="5" customFormat="1" ht="16.149999999999999" customHeight="1" x14ac:dyDescent="0.45">
      <c r="A45" s="184" t="str">
        <f t="shared" ref="A45:A48" si="0">A5</f>
        <v>Reference Stream Type:</v>
      </c>
      <c r="B45" s="187"/>
      <c r="C45" s="276" t="str">
        <f t="shared" ref="C45:C48" si="1">C5</f>
        <v>Proposed Bankfull Width (ft):</v>
      </c>
      <c r="D45" s="185"/>
      <c r="E45" s="402" t="str">
        <f t="shared" ref="E45:E48" si="2">E5</f>
        <v>Biotype:</v>
      </c>
      <c r="F45" s="403"/>
      <c r="G45" s="187"/>
      <c r="H45" s="406" t="str">
        <f t="shared" ref="H45:H47" si="3">H5</f>
        <v>Upstream Longitude:</v>
      </c>
      <c r="I45" s="407"/>
      <c r="J45" s="185"/>
    </row>
    <row r="46" spans="1:14" s="5" customFormat="1" ht="16.149999999999999" customHeight="1" x14ac:dyDescent="0.65">
      <c r="A46" s="184" t="str">
        <f t="shared" si="0"/>
        <v>Flow Permanence:</v>
      </c>
      <c r="B46" s="224">
        <f>'Project Assessment'!B11</f>
        <v>0</v>
      </c>
      <c r="C46" s="276" t="str">
        <f t="shared" si="1"/>
        <v>Valley Type:</v>
      </c>
      <c r="D46" s="187"/>
      <c r="E46" s="402" t="str">
        <f t="shared" si="2"/>
        <v>Ecoregion:</v>
      </c>
      <c r="F46" s="403"/>
      <c r="G46" s="187"/>
      <c r="H46" s="406" t="str">
        <f t="shared" si="3"/>
        <v>Downstream Latitude:</v>
      </c>
      <c r="I46" s="407"/>
      <c r="J46" s="185"/>
      <c r="K46" s="26"/>
    </row>
    <row r="47" spans="1:14" s="5" customFormat="1" ht="16.149999999999999" customHeight="1" x14ac:dyDescent="0.5">
      <c r="A47" s="184" t="str">
        <f t="shared" si="0"/>
        <v>Strahler Stream Order:</v>
      </c>
      <c r="B47" s="224">
        <f>'Project Assessment'!C11</f>
        <v>0</v>
      </c>
      <c r="C47" s="276" t="str">
        <f t="shared" si="1"/>
        <v>Reference Vegetation Cover:</v>
      </c>
      <c r="D47" s="187"/>
      <c r="E47" s="402" t="str">
        <f t="shared" si="2"/>
        <v>River Basin:</v>
      </c>
      <c r="F47" s="403"/>
      <c r="G47" s="187"/>
      <c r="H47" s="406" t="str">
        <f t="shared" si="3"/>
        <v>Downstream Longitude:</v>
      </c>
      <c r="I47" s="407"/>
      <c r="J47" s="185"/>
      <c r="K47" s="39"/>
    </row>
    <row r="48" spans="1:14" s="5" customFormat="1" ht="18" customHeight="1" x14ac:dyDescent="0.5">
      <c r="A48" s="184" t="str">
        <f t="shared" si="0"/>
        <v>Outstanding Water:</v>
      </c>
      <c r="B48" s="224">
        <f>'Project Assessment'!E11</f>
        <v>0</v>
      </c>
      <c r="C48" s="276" t="str">
        <f t="shared" si="1"/>
        <v>Sediment Regime:</v>
      </c>
      <c r="D48" s="263"/>
      <c r="E48" s="402" t="str">
        <f t="shared" si="2"/>
        <v>Stream Productivity Class:</v>
      </c>
      <c r="F48" s="403"/>
      <c r="G48" s="187"/>
      <c r="H48" s="201"/>
      <c r="I48" s="201"/>
      <c r="J48" s="201"/>
      <c r="K48" s="39"/>
    </row>
    <row r="49" spans="1:14" s="5" customFormat="1" ht="4.5" customHeight="1" x14ac:dyDescent="0.5">
      <c r="B49" s="58"/>
      <c r="C49" s="58"/>
      <c r="D49" s="58"/>
      <c r="E49" s="58"/>
      <c r="F49" s="58"/>
      <c r="G49" s="58"/>
      <c r="H49" s="58"/>
      <c r="I49" s="56"/>
      <c r="J49" s="10"/>
      <c r="K49" s="39"/>
    </row>
    <row r="50" spans="1:14" s="5" customFormat="1" ht="19.899999999999999" customHeight="1" x14ac:dyDescent="0.65">
      <c r="A50" s="431" t="str">
        <f>_xlfn.CONCAT("EXISTING CONDITION ASSESSMENT for Reach ",B44)</f>
        <v>EXISTING CONDITION ASSESSMENT for Reach 0</v>
      </c>
      <c r="B50" s="431"/>
      <c r="C50" s="431"/>
      <c r="D50" s="431"/>
      <c r="E50" s="431"/>
      <c r="F50" s="431"/>
      <c r="G50" s="431" t="s">
        <v>13</v>
      </c>
      <c r="H50" s="431"/>
      <c r="I50" s="431"/>
      <c r="J50" s="431"/>
      <c r="K50" s="10"/>
    </row>
    <row r="51" spans="1:14" s="5" customFormat="1" ht="15.75" x14ac:dyDescent="0.5">
      <c r="A51" s="32" t="s">
        <v>1</v>
      </c>
      <c r="B51" s="32" t="s">
        <v>2</v>
      </c>
      <c r="C51" s="432" t="s">
        <v>3</v>
      </c>
      <c r="D51" s="433"/>
      <c r="E51" s="32" t="s">
        <v>11</v>
      </c>
      <c r="F51" s="31" t="s">
        <v>12</v>
      </c>
      <c r="G51" s="32" t="s">
        <v>14</v>
      </c>
      <c r="H51" s="32" t="s">
        <v>15</v>
      </c>
      <c r="I51" s="57" t="s">
        <v>15</v>
      </c>
      <c r="J51" s="32" t="s">
        <v>98</v>
      </c>
      <c r="K51" s="10"/>
    </row>
    <row r="52" spans="1:14" s="5" customFormat="1" ht="15.75" x14ac:dyDescent="0.5">
      <c r="A52" s="434" t="s">
        <v>173</v>
      </c>
      <c r="B52" s="437" t="s">
        <v>71</v>
      </c>
      <c r="C52" s="132" t="s">
        <v>138</v>
      </c>
      <c r="D52" s="149"/>
      <c r="E52" s="30"/>
      <c r="F52" s="202" t="str">
        <f>IF(E52="","",IF(E52&gt;78,0,IF(E52&lt;=55,1,ROUND(E52*'Reference Curves'!$B$3+'Reference Curves'!$B$4,2))))</f>
        <v/>
      </c>
      <c r="G52" s="411" t="str">
        <f>IFERROR(AVERAGE(F52:F53),"")</f>
        <v/>
      </c>
      <c r="H52" s="411" t="str">
        <f>IFERROR(ROUND(AVERAGE(G52:G58),2),"")</f>
        <v/>
      </c>
      <c r="I52" s="438" t="str">
        <f>IF(H52="","",IF(H52:H58&gt;0.69,"Functioning",IF(H52&gt;0.29,"Functioning At Risk",IF(H52&gt;-1,"Not Functioning"))))</f>
        <v/>
      </c>
      <c r="J52" s="219" t="s">
        <v>339</v>
      </c>
      <c r="K52" s="10"/>
    </row>
    <row r="53" spans="1:14" s="5" customFormat="1" ht="15.75" x14ac:dyDescent="0.5">
      <c r="A53" s="434"/>
      <c r="B53" s="437"/>
      <c r="C53" s="133" t="s">
        <v>184</v>
      </c>
      <c r="D53" s="150"/>
      <c r="E53" s="35"/>
      <c r="F53" s="203" t="str">
        <f>IF(E53="","",   IF(E53&gt;3.2,0, IF(E53&lt;0, "", ROUND('Reference Curves'!$B$8*E53+'Reference Curves'!$B$9,2))))</f>
        <v/>
      </c>
      <c r="G53" s="412"/>
      <c r="H53" s="412"/>
      <c r="I53" s="439"/>
      <c r="J53" s="442" t="str">
        <f>IF(AND(H52="",H59=""),"",ROUND((IF(H52="",0,H52)*0.3)+(IF(H59="",0,H59)*0.3),2))</f>
        <v/>
      </c>
      <c r="K53" s="10"/>
    </row>
    <row r="54" spans="1:14" s="5" customFormat="1" ht="15.75" x14ac:dyDescent="0.5">
      <c r="A54" s="434"/>
      <c r="B54" s="400" t="s">
        <v>185</v>
      </c>
      <c r="C54" s="134" t="s">
        <v>186</v>
      </c>
      <c r="D54" s="149"/>
      <c r="E54" s="34"/>
      <c r="F54" s="204" t="s">
        <v>285</v>
      </c>
      <c r="G54" s="411" t="str">
        <f>IFERROR(IF(AND(ISNUMBER(E54),E54&lt;1),0,AVERAGE(F54:F55)),"")</f>
        <v/>
      </c>
      <c r="H54" s="412"/>
      <c r="I54" s="439"/>
      <c r="J54" s="443"/>
      <c r="K54" s="10"/>
    </row>
    <row r="55" spans="1:14" s="5" customFormat="1" ht="15.75" x14ac:dyDescent="0.5">
      <c r="A55" s="434"/>
      <c r="B55" s="401"/>
      <c r="C55" s="151" t="s">
        <v>187</v>
      </c>
      <c r="D55" s="152"/>
      <c r="E55" s="34"/>
      <c r="F55" s="205" t="str">
        <f>IF(E55="","",IF(G44= "CS-II", ROUND(IF(E55&lt;=0.6,0, IF(E55&gt;=2.3,1,E55*'Reference Curves'!$D$14+'Reference Curves'!$D$15)),2),IF(AND(D45&lt;20,LEFT(G44,2)="CS"), ROUND(IF(E55&lt;=0.2,0, IF(E55&gt;=1,1,E55*'Reference Curves'!$B$14+'Reference Curves'!$B$15)),2), IF(AND(D45&gt;=20,LEFT(G44,2)= "CS"), ROUND(IF(E55&lt;=0.4,0, IF(E55&gt;=1.5,1,E55*'Reference Curves'!$C$14+'Reference Curves'!$C$15)),2),"FALSE"))))</f>
        <v/>
      </c>
      <c r="G55" s="413"/>
      <c r="H55" s="412"/>
      <c r="I55" s="439"/>
      <c r="J55" s="443"/>
      <c r="K55" s="10"/>
    </row>
    <row r="56" spans="1:14" s="5" customFormat="1" ht="15.75" x14ac:dyDescent="0.5">
      <c r="A56" s="434"/>
      <c r="B56" s="437" t="s">
        <v>4</v>
      </c>
      <c r="C56" s="133" t="s">
        <v>5</v>
      </c>
      <c r="D56" s="14"/>
      <c r="E56" s="30"/>
      <c r="F56" s="206" t="str">
        <f>IF( E56="","",
IF( E56&gt;1.71,0, IF( E56&gt;1, ROUND(E56*'Reference Curves'!C$20+'Reference Curves'!C$21,2),
IF( D48="Transport", ROUND(IF( E56&lt;0.35,0, E56*'Reference Curves'!$B$20+'Reference Curves'!$B$21 ),2), 1 ))))</f>
        <v/>
      </c>
      <c r="G56" s="411" t="str">
        <f>IFERROR(AVERAGE(F56:F58),"")</f>
        <v/>
      </c>
      <c r="H56" s="412"/>
      <c r="I56" s="439"/>
      <c r="J56" s="443"/>
      <c r="K56" s="10"/>
      <c r="N56" s="9"/>
    </row>
    <row r="57" spans="1:14" s="5" customFormat="1" ht="15.75" x14ac:dyDescent="0.5">
      <c r="A57" s="434"/>
      <c r="B57" s="437"/>
      <c r="C57" s="133" t="s">
        <v>6</v>
      </c>
      <c r="D57" s="14"/>
      <c r="E57" s="34"/>
      <c r="F57" s="205" t="str">
        <f>IF(E57="","",IF(OR(LEFT(B45,1)="A",LEFT(B45,1)="B"),IF(E57&lt;1.05,0,IF(E57&gt;=2.2,1,ROUND(IF(E57&lt;1.4,E57*'Reference Curves'!$B$40+'Reference Curves'!$B$41,E57*'Reference Curves'!$C$40+'Reference Curves'!$C$41),2))), IF(B45="C",IF(E57&lt;1.7,0,IF(E57&gt;=4.2,1,ROUND(IF(E57&lt;2.4,E57*'Reference Curves'!$C$25+'Reference Curves'!$C$26,E57*'Reference Curves'!$B$25+'Reference Curves'!$B$26),2))),                                                                                                                                                                                                                    IF(B45="Cb",IF(E57&lt;1.7,0,IF(E57&gt;=3.9,1,ROUND(IF(E57&lt;2.4,E57*'Reference Curves'!$C$30+'Reference Curves'!$C$31,E57*'Reference Curves'!$B$30+'Reference Curves'!$B$31),2))),
IF(LEFT(B45,1)="E",IF(E57&lt;1.7,0,IF(E57&gt;=6.7,1,ROUND(IF(E57&lt;2.4,E57*'Reference Curves'!$C$35+'Reference Curves'!$C$36,E57*'Reference Curves'!$B$35+'Reference Curves'!$B$36),2))))))))</f>
        <v/>
      </c>
      <c r="G57" s="412"/>
      <c r="H57" s="412"/>
      <c r="I57" s="439"/>
      <c r="J57" s="443"/>
      <c r="K57" s="10"/>
      <c r="N57" s="9"/>
    </row>
    <row r="58" spans="1:14" s="5" customFormat="1" ht="15.75" customHeight="1" x14ac:dyDescent="0.5">
      <c r="A58" s="434"/>
      <c r="B58" s="437"/>
      <c r="C58" s="135" t="s">
        <v>188</v>
      </c>
      <c r="D58" s="14"/>
      <c r="E58" s="35"/>
      <c r="F58" s="207" t="str">
        <f>IF(E58="","",IF(D46="Unconfined Alluvial",IF(E58&lt;=0,0, IF(E58&gt;=100,1, ROUND(IF(E58&lt;10,E58*'Reference Curves'!$B$46+'Reference Curves'!$B$47, IF(E58&lt;50,E58*'Reference Curves'!$C$46+'Reference Curves'!$C$47,E58*'Reference Curves'!$D$46+'Reference Curves'!$D$47)),2))), IF(D46="Confined Alluvial",IF(E58&lt;=0,0,IF(E58&gt;=50,1,ROUND(IF(E58&lt;5,E58*'Reference Curves'!$E$46+'Reference Curves'!$E$47,IF(E58&lt;25,E58*'Reference Curves'!$F$46+'Reference Curves'!$F$47,E58*'Reference Curves'!$G$46+'Reference Curves'!$G$47)),2))))))</f>
        <v/>
      </c>
      <c r="G58" s="413"/>
      <c r="H58" s="413"/>
      <c r="I58" s="440"/>
      <c r="J58" s="443"/>
      <c r="K58" s="10"/>
      <c r="N58" s="9"/>
    </row>
    <row r="59" spans="1:14" s="5" customFormat="1" ht="15.6" customHeight="1" x14ac:dyDescent="0.5">
      <c r="A59" s="399" t="s">
        <v>20</v>
      </c>
      <c r="B59" s="399" t="s">
        <v>21</v>
      </c>
      <c r="C59" s="16" t="s">
        <v>19</v>
      </c>
      <c r="D59" s="46"/>
      <c r="E59" s="30"/>
      <c r="F59" s="208" t="str">
        <f>IF(E59="","",IF(E59&gt;=660,1,IF(E59&lt;=430,ROUND('Reference Curves'!$I$4*E59+'Reference Curves'!$I$5,2),ROUND('Reference Curves'!$J$4*E59+'Reference Curves'!$J$5,2))))</f>
        <v/>
      </c>
      <c r="G59" s="414" t="str">
        <f>IFERROR(AVERAGE(F59:F60),"")</f>
        <v/>
      </c>
      <c r="H59" s="414" t="str">
        <f>IFERROR(ROUND(AVERAGE(G59:G72),2),"")</f>
        <v/>
      </c>
      <c r="I59" s="417" t="str">
        <f>IF(H59="","",IF(H59&gt;0.69,"Functioning",IF(H59&gt;0.29,"Functioning At Risk",IF(H59&gt;-1,"Not Functioning"))))</f>
        <v/>
      </c>
      <c r="J59" s="443"/>
      <c r="K59" s="10"/>
      <c r="N59" s="9"/>
    </row>
    <row r="60" spans="1:14" s="5" customFormat="1" ht="15.75" x14ac:dyDescent="0.5">
      <c r="A60" s="399"/>
      <c r="B60" s="399"/>
      <c r="C60" s="18" t="s">
        <v>189</v>
      </c>
      <c r="D60" s="47"/>
      <c r="E60" s="35"/>
      <c r="F60" s="209" t="str">
        <f>IF(E60="","",IF(E60&gt;=28,1,ROUND(IF(E60&lt;=13,'Reference Curves'!$I$9*E60,'Reference Curves'!$J$9*E60+'Reference Curves'!$J$10),2)))</f>
        <v/>
      </c>
      <c r="G60" s="416"/>
      <c r="H60" s="415"/>
      <c r="I60" s="418"/>
      <c r="J60" s="443"/>
      <c r="K60" s="10"/>
      <c r="N60" s="9"/>
    </row>
    <row r="61" spans="1:14" s="5" customFormat="1" ht="15.75" x14ac:dyDescent="0.5">
      <c r="A61" s="399"/>
      <c r="B61" s="399" t="s">
        <v>114</v>
      </c>
      <c r="C61" s="16" t="s">
        <v>190</v>
      </c>
      <c r="D61" s="46"/>
      <c r="E61" s="78"/>
      <c r="F61" s="208" t="str">
        <f>IF(E61="","",ROUND(IF(E61&lt;=2,0,IF(E61&gt;=9,1, IF(E61&gt;=5,E61^2*'Reference Curves'!$I$14+E61*'Reference Curves'!$I$15+'Reference Curves'!$I$16, E61*'Reference Curves'!$J$15+'Reference Curves'!$J$16))),2))</f>
        <v/>
      </c>
      <c r="G61" s="414" t="str">
        <f>IFERROR(IF(E64&gt;=50,0,AVERAGE(F61:F64)),"")</f>
        <v/>
      </c>
      <c r="H61" s="415"/>
      <c r="I61" s="418"/>
      <c r="J61" s="443"/>
      <c r="K61" s="10"/>
      <c r="N61" s="9"/>
    </row>
    <row r="62" spans="1:14" s="5" customFormat="1" ht="15.75" x14ac:dyDescent="0.5">
      <c r="A62" s="399"/>
      <c r="B62" s="399"/>
      <c r="C62" s="18" t="s">
        <v>42</v>
      </c>
      <c r="D62" s="67"/>
      <c r="E62" s="78"/>
      <c r="F62" s="210" t="str">
        <f>IF(E62="","",IF(OR(E62="Ex/Ex",E62="Ex/VH",E62="Ex/H",E62="Ex/M",E62="VH/Ex",E62="VH/VH", E62="H/Ex",E62="H/VH"),0, IF(OR(E62="M/Ex"),0.1,IF(OR(E62="VH/H",E62="VH/M",E62="H/H",E62="H/M", E62="M/VH"),0.2, IF(OR(E62="Ex/VL",E62="Ex/L", E62="M/H"),0.3, IF(OR(E62="VH/L",E62="H/L"),0.4, IF(OR(E62="VH/VL",E62="H/VL",E62="M/M"),0.5, IF(OR(E62="M/L",E62="L/Ex"),0.6, IF(OR(E62="M/VL",E62="L/VH", E62="L/H",E62="L/M",E62="L/L",E62="L/VL", LEFT(E62,2)="VL"),1)))))))))</f>
        <v/>
      </c>
      <c r="G62" s="415"/>
      <c r="H62" s="415"/>
      <c r="I62" s="418"/>
      <c r="J62" s="443"/>
      <c r="K62" s="10"/>
      <c r="N62" s="9"/>
    </row>
    <row r="63" spans="1:14" s="5" customFormat="1" ht="15.75" x14ac:dyDescent="0.5">
      <c r="A63" s="399"/>
      <c r="B63" s="399"/>
      <c r="C63" s="136" t="s">
        <v>54</v>
      </c>
      <c r="D63" s="67"/>
      <c r="E63" s="78"/>
      <c r="F63" s="210" t="str">
        <f>IF(E63="","",ROUND(IF(E63&gt;=75,0,IF(E63&lt;=5,1,IF(E63&gt;10,E63*'Reference Curves'!I$20+'Reference Curves'!I$21,'Reference Curves'!$J$20*E63+'Reference Curves'!$J$21))),2))</f>
        <v/>
      </c>
      <c r="G63" s="421"/>
      <c r="H63" s="415"/>
      <c r="I63" s="418"/>
      <c r="J63" s="443"/>
      <c r="K63" s="10"/>
      <c r="N63" s="9"/>
    </row>
    <row r="64" spans="1:14" s="5" customFormat="1" ht="15.75" x14ac:dyDescent="0.5">
      <c r="A64" s="399"/>
      <c r="B64" s="399"/>
      <c r="C64" s="137" t="s">
        <v>113</v>
      </c>
      <c r="D64" s="154"/>
      <c r="E64" s="153"/>
      <c r="F64" s="211" t="str">
        <f>IF(E64="","",IF(E64&gt;=30,0,ROUND(E64*'Reference Curves'!$I$24+'Reference Curves'!$I$25,2)))</f>
        <v/>
      </c>
      <c r="G64" s="416"/>
      <c r="H64" s="415"/>
      <c r="I64" s="418"/>
      <c r="J64" s="443"/>
      <c r="K64" s="10"/>
      <c r="N64" s="9"/>
    </row>
    <row r="65" spans="1:14" s="5" customFormat="1" ht="15.75" x14ac:dyDescent="0.5">
      <c r="A65" s="399"/>
      <c r="B65" s="399" t="s">
        <v>44</v>
      </c>
      <c r="C65" s="16" t="s">
        <v>45</v>
      </c>
      <c r="D65" s="20"/>
      <c r="E65" s="37"/>
      <c r="F65" s="212" t="str">
        <f>IF(E65="","",IF(B45="Bc",IF(OR(E65&gt;=12,E65&lt;=0.1),0,IF(E65&lt;=3.4,1,ROUND('Reference Curves'!$I$33*E65+'Reference Curves'!$I$34,2))),
IF(OR(B45="B",B45="Ba"),IF(OR(E65&gt;=7.5,E65&lt;=0.1),0,IF(E65&lt;=3,1,ROUND(IF(E65&gt;4,'Reference Curves'!$I$29*E65+'Reference Curves'!$I$30,'Reference Curves'!$J$29*E65+'Reference Curves'!$J$30),2))),
IF(B45="Cb",IF(OR(E65&gt;=8.35,E65&lt;1.4),0,IF(AND(E65&gt;=3.7,E65&lt;=5),1,ROUND(IF(E65&lt;3.7,'Reference Curves'!$I$49*E65+'Reference Curves'!$I$50,'Reference Curves'!$J$49*E65+'Reference Curves'!$J$50),2))),
IF(B45="C",IF(OR(E65&gt;=9.3,E65&lt;=3),0,IF(AND(E65&gt;=4,E65&lt;=6),1,ROUND(IF(E65&lt;4,'Reference Curves'!$I$44*E65+'Reference Curves'!$I$45,'Reference Curves'!$J$44*E65+'Reference Curves'!$J$45),2))),
IF(B45="E",IF(OR(E65&gt;=8.3,E65&lt;1.85),0,IF(AND(E65&gt;=3.5,E65&lt;=5),1,ROUND(IF(E65&lt;3.5,'Reference Curves'!$I$38*E65+'Reference Curves'!$I$39,'Reference Curves'!$J$38*E65+'Reference Curves'!$J$39),2)))      ))))))</f>
        <v/>
      </c>
      <c r="G65" s="425" t="str">
        <f>IFERROR(AVERAGE(F65:F68),"")</f>
        <v/>
      </c>
      <c r="H65" s="415"/>
      <c r="I65" s="418"/>
      <c r="J65" s="443"/>
      <c r="K65" s="10"/>
      <c r="N65" s="9"/>
    </row>
    <row r="66" spans="1:14" s="5" customFormat="1" ht="15.75" x14ac:dyDescent="0.5">
      <c r="A66" s="399"/>
      <c r="B66" s="399"/>
      <c r="C66" s="18" t="s">
        <v>46</v>
      </c>
      <c r="D66" s="15"/>
      <c r="E66" s="36"/>
      <c r="F66" s="213" t="str">
        <f>IF(E66="","",IF(E66&lt;=1,0,IF(E66&gt;=3.2,1,IF(E66&gt;=2.2,ROUND('Reference Curves'!$J$54*E66+'Reference Curves'!$J$55,2),(ROUND('Reference Curves'!$I$54*E66+'Reference Curves'!$I$55,2))))))</f>
        <v/>
      </c>
      <c r="G66" s="421"/>
      <c r="H66" s="415"/>
      <c r="I66" s="418"/>
      <c r="J66" s="443"/>
      <c r="K66" s="10"/>
      <c r="N66" s="9"/>
    </row>
    <row r="67" spans="1:14" s="5" customFormat="1" ht="15.75" customHeight="1" x14ac:dyDescent="0.5">
      <c r="A67" s="399"/>
      <c r="B67" s="399"/>
      <c r="C67" s="18" t="s">
        <v>92</v>
      </c>
      <c r="D67" s="15"/>
      <c r="E67" s="36"/>
      <c r="F67" s="283" t="str">
        <f>IF(E67="","", IF(D44="","FALSE",IF(D44&lt;3,IF( OR(E67&gt;=91,E67&lt;=13.5),0, IF(AND(E67&gt;49,E67&lt;61), 1, ROUND(IF(E67&lt;50,'Reference Curves'!$I$60*E67+'Reference Curves'!$I$61, IF(E67&gt;60,'Reference Curves'!$J$60*E67+'Reference Curves'!$J$61)),2))), IF(D44&gt;=3,IF(OR(E67&gt;94.5,E67&lt;41.5),0, IF(AND(E67 &gt;=68, E67&lt;=78),1, ROUND(IF(E67&lt;68,'Reference Curves'!$I$65*E67+'Reference Curves'!$I$66,'Reference Curves'!$J$65*E67+'Reference Curves'!$J$66),2) ))))))</f>
        <v/>
      </c>
      <c r="G67" s="421"/>
      <c r="H67" s="415"/>
      <c r="I67" s="418"/>
      <c r="J67" s="443"/>
      <c r="K67" s="10"/>
      <c r="N67" s="9"/>
    </row>
    <row r="68" spans="1:14" s="5" customFormat="1" ht="15.75" x14ac:dyDescent="0.5">
      <c r="A68" s="399"/>
      <c r="B68" s="399"/>
      <c r="C68" s="19" t="s">
        <v>79</v>
      </c>
      <c r="D68" s="15"/>
      <c r="E68" s="38"/>
      <c r="F68" s="284" t="str">
        <f>IF(E68="","",IF(E68&gt;=1.6,0,IF(E68&lt;=1,1,ROUND('Reference Curves'!$I$74*E68^3+'Reference Curves'!$I$75*E68^2+'Reference Curves'!$I$76*E68+'Reference Curves'!$I$77,2))))</f>
        <v/>
      </c>
      <c r="G68" s="426"/>
      <c r="H68" s="415"/>
      <c r="I68" s="418"/>
      <c r="J68" s="443"/>
      <c r="K68" s="10"/>
      <c r="N68" s="9"/>
    </row>
    <row r="69" spans="1:14" s="5" customFormat="1" ht="15.75" x14ac:dyDescent="0.5">
      <c r="A69" s="399"/>
      <c r="B69" s="399" t="s">
        <v>43</v>
      </c>
      <c r="C69" s="18" t="s">
        <v>201</v>
      </c>
      <c r="D69" s="46"/>
      <c r="E69" s="17"/>
      <c r="F69" s="214" t="str">
        <f>IF( E69="","",
IF( D46="Unconfined Alluvial", IF( E69&gt;=100,1,
ROUND('Reference Curves'!$I$82*E69+'Reference Curves'!$I$83,2) ),
IF( OR(D46="Confined Alluvial", D46="Colluvial/V-Shaped"), ( IF(E69&gt;=100,1,
IF(E69&gt;=60, ROUND('Reference Curves'!$J$82*E69+'Reference Curves'!$J$83,2), ROUND('Reference Curves'!$K$82*E69+'Reference Curves'!$K$83,2) ) ) ) ) ) )</f>
        <v/>
      </c>
      <c r="G69" s="414" t="str">
        <f>IFERROR(AVERAGE(F69:F72),"")</f>
        <v/>
      </c>
      <c r="H69" s="415"/>
      <c r="I69" s="418"/>
      <c r="J69" s="443"/>
      <c r="K69" s="10"/>
      <c r="N69" s="9"/>
    </row>
    <row r="70" spans="1:14" s="5" customFormat="1" ht="15.75" x14ac:dyDescent="0.5">
      <c r="A70" s="399"/>
      <c r="B70" s="399"/>
      <c r="C70" s="18" t="s">
        <v>191</v>
      </c>
      <c r="D70" s="67"/>
      <c r="E70" s="79"/>
      <c r="F70" s="213" t="str">
        <f>IF( E70="","", IF(D47&lt;&gt;"Woody","FALSE", IF( OR(G46="Mountains",G46="Basins"),
IF(E70&lt;=0,0, IF(E70&gt;=122,1, IF(E70&lt;69, ROUND('Reference Curves'!$I$87*E70+'Reference Curves'!$I$88,2), ROUND('Reference Curves'!$J$87*E70+'Reference Curves'!$J$88,2) ) ) ),
IF(G46="Plains",IF(OR(E70&lt;=0,E70&gt;111),0,IF(AND(E70&gt;=69,E70&lt;=76),1,IF(E70&lt;69,ROUND(E70*'Reference Curves'!$I$92+'Reference Curves'!$I$93,2),ROUND(E70*'Reference Curves'!$J$92+'Reference Curves'!$J$93,2))))))))</f>
        <v/>
      </c>
      <c r="G70" s="415"/>
      <c r="H70" s="415"/>
      <c r="I70" s="418"/>
      <c r="J70" s="443"/>
      <c r="K70" s="10"/>
      <c r="N70" s="9"/>
    </row>
    <row r="71" spans="1:14" s="5" customFormat="1" ht="15.75" x14ac:dyDescent="0.5">
      <c r="A71" s="399"/>
      <c r="B71" s="399"/>
      <c r="C71" s="18" t="s">
        <v>141</v>
      </c>
      <c r="D71" s="67"/>
      <c r="E71" s="79"/>
      <c r="F71" s="213" t="str">
        <f>IF(E71="","",IF(D47="Herbaceous",IF(E71&lt;=34,0,IF(E71&gt;=120,1,IF(E71&gt;73,ROUND(E71*'Reference Curves'!$J$98+'Reference Curves'!$J$99,2),ROUND(E71*'Reference Curves'!$I$98+'Reference Curves'!$I$99,2))))))</f>
        <v/>
      </c>
      <c r="G71" s="421"/>
      <c r="H71" s="415"/>
      <c r="I71" s="418"/>
      <c r="J71" s="443"/>
      <c r="K71" s="10"/>
      <c r="N71" s="9"/>
    </row>
    <row r="72" spans="1:14" s="5" customFormat="1" ht="15.75" x14ac:dyDescent="0.5">
      <c r="A72" s="399"/>
      <c r="B72" s="399"/>
      <c r="C72" s="138" t="s">
        <v>192</v>
      </c>
      <c r="D72" s="158"/>
      <c r="E72" s="162"/>
      <c r="F72" s="283" t="str">
        <f>IF(E72="","",IF(E72&lt;=46,0,IF(E72&gt;=100,1,IF(AND(E72&lt;=100,E72&gt;91),ROUND(E72*'Reference Curves'!$J$103+'Reference Curves'!$J$104,2),ROUND(E72*'Reference Curves'!$I$103+'Reference Curves'!$I$104,2)))))</f>
        <v/>
      </c>
      <c r="G72" s="416"/>
      <c r="H72" s="416"/>
      <c r="I72" s="419"/>
      <c r="J72" s="444"/>
      <c r="K72" s="10"/>
      <c r="N72" s="9"/>
    </row>
    <row r="73" spans="1:14" s="5" customFormat="1" ht="15.6" customHeight="1" x14ac:dyDescent="0.5">
      <c r="A73" s="436" t="s">
        <v>47</v>
      </c>
      <c r="B73" s="441" t="s">
        <v>139</v>
      </c>
      <c r="C73" s="139" t="s">
        <v>193</v>
      </c>
      <c r="D73" s="160"/>
      <c r="E73" s="30"/>
      <c r="F73" s="215" t="str">
        <f>IF(E73="","",IF(G44="","Enter Stream Temperature",  IF(G44="CS-I (MWF)",IF(E73&gt;=21.2,0,1),  IF(G44="CS-I",IF(E73&gt;=21.7,0,1),  IF(G44="CS-II",IF(E73&gt;=23.9,0,1),  IF(G44="WS-I",IF(E73&gt;=29,0,1),  IF(G44="WS-II",IF(E73&gt;=28.6,0,1), IF(G44="WS-III",IF(E73&gt;=31.8,0,1)))))))))</f>
        <v/>
      </c>
      <c r="G73" s="422" t="str">
        <f>IFERROR(AVERAGE(F73:F74),"")</f>
        <v/>
      </c>
      <c r="H73" s="422">
        <f>IF(OR(G73&lt;&gt;"",G75&lt;&gt;"",G76&lt;&gt;""),ROUND(AVERAGE(G73:G76),2),IF(B48="Yes",1,0.8))</f>
        <v>0.8</v>
      </c>
      <c r="I73" s="430" t="str">
        <f>IF(H73="","",IF(H73&gt;0.69,"Functioning",IF(H73&gt;0.29,"Functioning At Risk",IF(H73&gt;-1,"Not Functioning"))))</f>
        <v>Functioning</v>
      </c>
      <c r="J73" s="219" t="s">
        <v>290</v>
      </c>
      <c r="K73" s="10"/>
      <c r="N73" s="9"/>
    </row>
    <row r="74" spans="1:14" s="5" customFormat="1" ht="15.75" x14ac:dyDescent="0.5">
      <c r="A74" s="436"/>
      <c r="B74" s="441"/>
      <c r="C74" s="140" t="s">
        <v>194</v>
      </c>
      <c r="D74" s="155"/>
      <c r="E74" s="35"/>
      <c r="F74" s="216" t="str">
        <f>IF(E74="","",IF(G44="","Enter Stream Temperature",  IF(G44="CS-I (MWF)",IF(E74&gt;=18.3,0,IF(E74&lt;=13.8,1,ROUND(E74*'Reference Curves'!$M$4+'Reference Curves'!$M$5,2))),  IF(G44="CS-I",IF(E74&gt;=17.6,0,IF(E74&lt;=15.7,1,ROUND(E74*'Reference Curves'!$N$4+'Reference Curves'!$N$5,2))),  IF(G44="CS-II",IF(E74&gt;=19.1,0,IF(E74&lt;=16.6,1,ROUND(E74*'Reference Curves'!$O$4+'Reference Curves'!$O$5,2))),  IF(G44="WS-I",IF(E74&gt;=25.7,0,IF(E74&lt;=20.9,1,ROUND(E74*'Reference Curves'!$P$4+'Reference Curves'!$P$5,2))),  IF(G44="WS-II",IF(E74&gt;=29.7,0,IF(E74&lt;=22.5,1,ROUND(E74*'Reference Curves'!$Q$4+'Reference Curves'!$Q$5,2))), IF(G44="WS-III",IF(E74&gt;=30,0,IF(E74&lt;=25.9,1,ROUND(E74*'Reference Curves'!$R$4+'Reference Curves'!$R$5,2)))    ))))))))</f>
        <v/>
      </c>
      <c r="G74" s="424"/>
      <c r="H74" s="423"/>
      <c r="I74" s="430"/>
      <c r="J74" s="442">
        <f>IF(AND(H52="",H59="",H73="",H77=""),"",ROUND((IF(H52="",0,H52)*0.3)+(IF(H59="",0,H59)*0.3)+(IF(H73="",0,H73)*0.2)+(IF(H77="",0,H77)*0.2),2))</f>
        <v>0.32</v>
      </c>
      <c r="K74" s="10"/>
      <c r="N74" s="9"/>
    </row>
    <row r="75" spans="1:14" s="5" customFormat="1" ht="15.75" x14ac:dyDescent="0.5">
      <c r="A75" s="436"/>
      <c r="B75" s="192" t="s">
        <v>140</v>
      </c>
      <c r="C75" s="142" t="s">
        <v>195</v>
      </c>
      <c r="D75" s="156"/>
      <c r="E75" s="54"/>
      <c r="F75" s="216" t="str">
        <f>IF(E75="","",ROUND( IF(E75&lt;=6,0, IF(E75&gt;=10.31,1,E75*'Reference Curves'!$M$8+'Reference Curves'!$M$9)),2))</f>
        <v/>
      </c>
      <c r="G75" s="163" t="str">
        <f>IFERROR(AVERAGE(F75),"")</f>
        <v/>
      </c>
      <c r="H75" s="423"/>
      <c r="I75" s="430"/>
      <c r="J75" s="443"/>
      <c r="K75" s="10"/>
      <c r="N75" s="9"/>
    </row>
    <row r="76" spans="1:14" s="5" customFormat="1" ht="15.75" x14ac:dyDescent="0.5">
      <c r="A76" s="436"/>
      <c r="B76" s="192" t="s">
        <v>196</v>
      </c>
      <c r="C76" s="143" t="s">
        <v>357</v>
      </c>
      <c r="D76" s="157"/>
      <c r="E76" s="54"/>
      <c r="F76" s="216" t="str">
        <f>IF(E76="","",IF(OR(G45=3),IF(E76&gt;=150,0,IF(E76&lt;=16,1,ROUND('Reference Curves'!$M$13*LN(E76)+'Reference Curves'!$M$14,2))), IF(OR(G45=1,G45=2),  IF(E76&gt;=97,0,IF(E76&lt;=12,1,ROUND('Reference Curves'!$N$13*LN(E76)+'Reference Curves'!$N$14,2))))))</f>
        <v/>
      </c>
      <c r="G76" s="163" t="str">
        <f>IFERROR(AVERAGE(F76),"")</f>
        <v/>
      </c>
      <c r="H76" s="424"/>
      <c r="I76" s="430"/>
      <c r="J76" s="443"/>
      <c r="K76" s="10"/>
      <c r="N76" s="9"/>
    </row>
    <row r="77" spans="1:14" s="5" customFormat="1" ht="15.75" x14ac:dyDescent="0.5">
      <c r="A77" s="435" t="s">
        <v>48</v>
      </c>
      <c r="B77" s="191" t="s">
        <v>93</v>
      </c>
      <c r="C77" s="145" t="s">
        <v>197</v>
      </c>
      <c r="D77" s="28"/>
      <c r="E77" s="54"/>
      <c r="F77" s="217" t="str">
        <f>IF(E77="","",IF(G45="","Enter Biotype",IF(G45=1,IF(E77&lt;=0,0,IF(E77&gt;=57,1,ROUND(IF(E77&lt;=34,'Reference Curves'!$T$5*E77+'Reference Curves'!$T$6,  IF(E77&lt;=45, 'Reference Curves'!$U$5*E77+'Reference Curves'!$U$6,  'Reference Curves'!$V$5*E77+'Reference Curves'!$V$6)),2))),   IF(G45=2,IF(E77&lt;=0,0,IF(E77&gt;=63,1,ROUND(IF(E77&lt;=40,'Reference Curves'!$W$5*E77+'Reference Curves'!$W$6,  IF(E77&lt;=48,'Reference Curves'!$X$5*E77+'Reference Curves'!$X$6,  'Reference Curves'!$Y$5*E77+'Reference Curves'!$Y$6)),2))),   IF(OR(G45=3),IF(E77&lt;=0,0,IF(E77&gt;=52,1,ROUND(IF(E77&lt;=29,'Reference Curves'!$Z$5*E77+'Reference Curves'!$Z$6, IF(E77&lt;=42, 'Reference Curves'!$AA$5*E77+'Reference Curves'!$AA$6,  'Reference Curves'!$AB$5*E77+'Reference Curves'!$AB$6)),2))))))))</f>
        <v/>
      </c>
      <c r="G77" s="164" t="str">
        <f>IFERROR(AVERAGE(F77),"")</f>
        <v/>
      </c>
      <c r="H77" s="420">
        <f>IF(OR(G77&lt;&gt;"",G78&lt;&gt;""),ROUND(AVERAGE(G77:G80),2),IF(B48="Yes",1,0.8))</f>
        <v>0.8</v>
      </c>
      <c r="I77" s="430" t="str">
        <f>IF(H77="","",IF(H77&gt;0.69,"Functioning",IF(H77&gt;0.29,"Functioning At Risk",IF(H77&gt;-1,"Not Functioning"))))</f>
        <v>Functioning</v>
      </c>
      <c r="J77" s="443"/>
      <c r="K77" s="10"/>
      <c r="N77" s="9"/>
    </row>
    <row r="78" spans="1:14" s="5" customFormat="1" ht="15.75" x14ac:dyDescent="0.5">
      <c r="A78" s="435"/>
      <c r="B78" s="398" t="s">
        <v>51</v>
      </c>
      <c r="C78" s="146" t="s">
        <v>198</v>
      </c>
      <c r="D78" s="28"/>
      <c r="E78" s="30"/>
      <c r="F78" s="164" t="str">
        <f>IF(E78="","",IF(E78&lt;=0,0,IF(E78&gt;=100,1,ROUND(IF(E78&lt;80,E78*'Reference Curves'!$T$10+'Reference Curves'!$T$11,E78*'Reference Curves'!$U$10+'Reference Curves'!$U$11),2))))</f>
        <v/>
      </c>
      <c r="G78" s="427" t="str">
        <f>IFERROR(AVERAGE(F78:F80),"")</f>
        <v/>
      </c>
      <c r="H78" s="420"/>
      <c r="I78" s="430"/>
      <c r="J78" s="443"/>
      <c r="K78" s="10"/>
      <c r="N78" s="9"/>
    </row>
    <row r="79" spans="1:14" s="5" customFormat="1" ht="15.75" x14ac:dyDescent="0.5">
      <c r="A79" s="435"/>
      <c r="B79" s="398"/>
      <c r="C79" s="147" t="s">
        <v>199</v>
      </c>
      <c r="D79" s="159"/>
      <c r="E79" s="34"/>
      <c r="F79" s="164" t="str">
        <f>IF(E79="","",ROUND(IF(E79&gt;=3,0,IF(E79&gt;=2,0.3,IF(E79&gt;=1,0.69,1))),2))</f>
        <v/>
      </c>
      <c r="G79" s="428"/>
      <c r="H79" s="420"/>
      <c r="I79" s="430"/>
      <c r="J79" s="443"/>
      <c r="K79" s="10"/>
      <c r="N79" s="9"/>
    </row>
    <row r="80" spans="1:14" s="5" customFormat="1" ht="15.75" x14ac:dyDescent="0.5">
      <c r="A80" s="435"/>
      <c r="B80" s="398"/>
      <c r="C80" s="148" t="s">
        <v>200</v>
      </c>
      <c r="D80" s="161"/>
      <c r="E80" s="35"/>
      <c r="F80" s="218" t="str">
        <f>IF(E80="","",IF(G48="","Enter Stream Producitvity Rating",IF(G48="High",IF(E80&lt;5,0,IF(E80&gt;=40,1,ROUND(E80*'Reference Curves'!$T$15+'Reference Curves'!$T$16,2))),IF(G48="Moderate",IF(E80&lt;10,0,IF(E80&gt;=80,1,ROUND(E80*'Reference Curves'!$U$15+'Reference Curves'!$U$16,2))),IF(G48="Low",IF(E80&lt;15,0,IF(E80&gt;=119,1,ROUND(E80*'Reference Curves'!$V$15+'Reference Curves'!$V$16,2)))   )))))</f>
        <v/>
      </c>
      <c r="G80" s="429"/>
      <c r="H80" s="420"/>
      <c r="I80" s="430"/>
      <c r="J80" s="444"/>
      <c r="K80" s="10"/>
      <c r="N80" s="9"/>
    </row>
    <row r="81" spans="1:14" s="5" customFormat="1" x14ac:dyDescent="0.45">
      <c r="I81" s="55"/>
      <c r="J81" s="4"/>
      <c r="K81" s="10"/>
    </row>
    <row r="82" spans="1:14" x14ac:dyDescent="0.45">
      <c r="L82" s="5"/>
      <c r="M82" s="5"/>
    </row>
    <row r="83" spans="1:14" s="5" customFormat="1" ht="21" customHeight="1" x14ac:dyDescent="0.45">
      <c r="A83" s="408" t="s">
        <v>349</v>
      </c>
      <c r="B83" s="409"/>
      <c r="C83" s="409"/>
      <c r="D83" s="409"/>
      <c r="E83" s="409"/>
      <c r="F83" s="409"/>
      <c r="G83" s="409"/>
      <c r="H83" s="409"/>
      <c r="I83" s="409"/>
      <c r="J83" s="410"/>
    </row>
    <row r="84" spans="1:14" s="5" customFormat="1" ht="16.149999999999999" customHeight="1" x14ac:dyDescent="0.45">
      <c r="A84" s="184" t="str">
        <f>A4</f>
        <v>Reach ID:</v>
      </c>
      <c r="B84" s="224">
        <f>'Project Assessment'!A12</f>
        <v>0</v>
      </c>
      <c r="C84" s="200" t="str">
        <f>C4</f>
        <v>Stream Slope (%):</v>
      </c>
      <c r="D84" s="290"/>
      <c r="E84" s="402" t="str">
        <f>E4</f>
        <v>Stream Temperature:</v>
      </c>
      <c r="F84" s="403"/>
      <c r="G84" s="187"/>
      <c r="H84" s="406" t="str">
        <f>H4</f>
        <v>Upstream Latitude:</v>
      </c>
      <c r="I84" s="407"/>
      <c r="J84" s="185"/>
    </row>
    <row r="85" spans="1:14" s="5" customFormat="1" ht="16.149999999999999" customHeight="1" x14ac:dyDescent="0.45">
      <c r="A85" s="184" t="str">
        <f t="shared" ref="A85:A88" si="4">A5</f>
        <v>Reference Stream Type:</v>
      </c>
      <c r="B85" s="187"/>
      <c r="C85" s="276" t="str">
        <f t="shared" ref="C85:C88" si="5">C5</f>
        <v>Proposed Bankfull Width (ft):</v>
      </c>
      <c r="D85" s="185"/>
      <c r="E85" s="402" t="str">
        <f t="shared" ref="E85:E88" si="6">E5</f>
        <v>Biotype:</v>
      </c>
      <c r="F85" s="403"/>
      <c r="G85" s="187"/>
      <c r="H85" s="406" t="str">
        <f t="shared" ref="H85:H87" si="7">H5</f>
        <v>Upstream Longitude:</v>
      </c>
      <c r="I85" s="407"/>
      <c r="J85" s="185"/>
    </row>
    <row r="86" spans="1:14" s="5" customFormat="1" ht="16.149999999999999" customHeight="1" x14ac:dyDescent="0.65">
      <c r="A86" s="184" t="str">
        <f t="shared" si="4"/>
        <v>Flow Permanence:</v>
      </c>
      <c r="B86" s="224">
        <f>'Project Assessment'!B12</f>
        <v>0</v>
      </c>
      <c r="C86" s="276" t="str">
        <f t="shared" si="5"/>
        <v>Valley Type:</v>
      </c>
      <c r="D86" s="187"/>
      <c r="E86" s="402" t="str">
        <f t="shared" si="6"/>
        <v>Ecoregion:</v>
      </c>
      <c r="F86" s="403"/>
      <c r="G86" s="187"/>
      <c r="H86" s="406" t="str">
        <f t="shared" si="7"/>
        <v>Downstream Latitude:</v>
      </c>
      <c r="I86" s="407"/>
      <c r="J86" s="185"/>
      <c r="K86" s="26"/>
    </row>
    <row r="87" spans="1:14" s="5" customFormat="1" ht="16.149999999999999" customHeight="1" x14ac:dyDescent="0.5">
      <c r="A87" s="184" t="str">
        <f t="shared" si="4"/>
        <v>Strahler Stream Order:</v>
      </c>
      <c r="B87" s="224">
        <f>'Project Assessment'!C12</f>
        <v>0</v>
      </c>
      <c r="C87" s="276" t="str">
        <f t="shared" si="5"/>
        <v>Reference Vegetation Cover:</v>
      </c>
      <c r="D87" s="187"/>
      <c r="E87" s="402" t="str">
        <f t="shared" si="6"/>
        <v>River Basin:</v>
      </c>
      <c r="F87" s="403"/>
      <c r="G87" s="187"/>
      <c r="H87" s="406" t="str">
        <f t="shared" si="7"/>
        <v>Downstream Longitude:</v>
      </c>
      <c r="I87" s="407"/>
      <c r="J87" s="185"/>
      <c r="K87" s="39"/>
    </row>
    <row r="88" spans="1:14" s="5" customFormat="1" ht="18" customHeight="1" x14ac:dyDescent="0.5">
      <c r="A88" s="184" t="str">
        <f t="shared" si="4"/>
        <v>Outstanding Water:</v>
      </c>
      <c r="B88" s="224">
        <f>'Project Assessment'!E12</f>
        <v>0</v>
      </c>
      <c r="C88" s="276" t="str">
        <f t="shared" si="5"/>
        <v>Sediment Regime:</v>
      </c>
      <c r="D88" s="263"/>
      <c r="E88" s="402" t="str">
        <f t="shared" si="6"/>
        <v>Stream Productivity Class:</v>
      </c>
      <c r="F88" s="403"/>
      <c r="G88" s="187"/>
      <c r="H88" s="201"/>
      <c r="I88" s="201"/>
      <c r="J88" s="201"/>
      <c r="K88" s="39"/>
    </row>
    <row r="89" spans="1:14" s="5" customFormat="1" ht="4.5" customHeight="1" x14ac:dyDescent="0.5">
      <c r="B89" s="58"/>
      <c r="C89" s="58"/>
      <c r="D89" s="58"/>
      <c r="E89" s="58"/>
      <c r="F89" s="58"/>
      <c r="G89" s="58"/>
      <c r="H89" s="58"/>
      <c r="I89" s="56"/>
      <c r="J89" s="10"/>
      <c r="K89" s="39"/>
    </row>
    <row r="90" spans="1:14" s="5" customFormat="1" ht="19.899999999999999" customHeight="1" x14ac:dyDescent="0.65">
      <c r="A90" s="431" t="str">
        <f>_xlfn.CONCAT("EXISTING CONDITION ASSESSMENT for Reach ",B84)</f>
        <v>EXISTING CONDITION ASSESSMENT for Reach 0</v>
      </c>
      <c r="B90" s="431"/>
      <c r="C90" s="431"/>
      <c r="D90" s="431"/>
      <c r="E90" s="431"/>
      <c r="F90" s="431"/>
      <c r="G90" s="431" t="s">
        <v>13</v>
      </c>
      <c r="H90" s="431"/>
      <c r="I90" s="431"/>
      <c r="J90" s="431"/>
      <c r="K90" s="10"/>
    </row>
    <row r="91" spans="1:14" s="5" customFormat="1" ht="15.75" x14ac:dyDescent="0.5">
      <c r="A91" s="32" t="s">
        <v>1</v>
      </c>
      <c r="B91" s="32" t="s">
        <v>2</v>
      </c>
      <c r="C91" s="432" t="s">
        <v>3</v>
      </c>
      <c r="D91" s="433"/>
      <c r="E91" s="32" t="s">
        <v>11</v>
      </c>
      <c r="F91" s="31" t="s">
        <v>12</v>
      </c>
      <c r="G91" s="32" t="s">
        <v>14</v>
      </c>
      <c r="H91" s="32" t="s">
        <v>15</v>
      </c>
      <c r="I91" s="57" t="s">
        <v>15</v>
      </c>
      <c r="J91" s="32" t="s">
        <v>98</v>
      </c>
      <c r="K91" s="10"/>
    </row>
    <row r="92" spans="1:14" s="5" customFormat="1" ht="15.75" x14ac:dyDescent="0.5">
      <c r="A92" s="434" t="s">
        <v>173</v>
      </c>
      <c r="B92" s="437" t="s">
        <v>71</v>
      </c>
      <c r="C92" s="132" t="s">
        <v>138</v>
      </c>
      <c r="D92" s="149"/>
      <c r="E92" s="30"/>
      <c r="F92" s="202" t="str">
        <f>IF(E92="","",IF(E92&gt;78,0,IF(E92&lt;=55,1,ROUND(E92*'Reference Curves'!$B$3+'Reference Curves'!$B$4,2))))</f>
        <v/>
      </c>
      <c r="G92" s="411" t="str">
        <f>IFERROR(AVERAGE(F92:F93),"")</f>
        <v/>
      </c>
      <c r="H92" s="411" t="str">
        <f>IFERROR(ROUND(AVERAGE(G92:G98),2),"")</f>
        <v/>
      </c>
      <c r="I92" s="438" t="str">
        <f>IF(H92="","",IF(H92:H98&gt;0.69,"Functioning",IF(H92&gt;0.29,"Functioning At Risk",IF(H92&gt;-1,"Not Functioning"))))</f>
        <v/>
      </c>
      <c r="J92" s="219" t="s">
        <v>339</v>
      </c>
      <c r="K92" s="10"/>
    </row>
    <row r="93" spans="1:14" s="5" customFormat="1" ht="15.75" x14ac:dyDescent="0.5">
      <c r="A93" s="434"/>
      <c r="B93" s="437"/>
      <c r="C93" s="133" t="s">
        <v>184</v>
      </c>
      <c r="D93" s="150"/>
      <c r="E93" s="35"/>
      <c r="F93" s="203" t="str">
        <f>IF(E93="","",   IF(E93&gt;3.2,0, IF(E93&lt;0, "", ROUND('Reference Curves'!$B$8*E93+'Reference Curves'!$B$9,2))))</f>
        <v/>
      </c>
      <c r="G93" s="412"/>
      <c r="H93" s="412"/>
      <c r="I93" s="439"/>
      <c r="J93" s="442" t="str">
        <f>IF(AND(H92="",H99=""),"",ROUND((IF(H92="",0,H92)*0.3)+(IF(H99="",0,H99)*0.3),2))</f>
        <v/>
      </c>
      <c r="K93" s="10"/>
    </row>
    <row r="94" spans="1:14" s="5" customFormat="1" ht="15.75" x14ac:dyDescent="0.5">
      <c r="A94" s="434"/>
      <c r="B94" s="400" t="s">
        <v>185</v>
      </c>
      <c r="C94" s="134" t="s">
        <v>186</v>
      </c>
      <c r="D94" s="149"/>
      <c r="E94" s="34"/>
      <c r="F94" s="204" t="s">
        <v>285</v>
      </c>
      <c r="G94" s="411" t="str">
        <f>IFERROR(IF(AND(ISNUMBER(E94),E94&lt;1),0,AVERAGE(F94:F95)),"")</f>
        <v/>
      </c>
      <c r="H94" s="412"/>
      <c r="I94" s="439"/>
      <c r="J94" s="443"/>
      <c r="K94" s="10"/>
    </row>
    <row r="95" spans="1:14" s="5" customFormat="1" ht="15.75" x14ac:dyDescent="0.5">
      <c r="A95" s="434"/>
      <c r="B95" s="401"/>
      <c r="C95" s="151" t="s">
        <v>187</v>
      </c>
      <c r="D95" s="152"/>
      <c r="E95" s="34"/>
      <c r="F95" s="205" t="str">
        <f>IF(E95="","",IF(G84= "CS-II", ROUND(IF(E95&lt;=0.6,0, IF(E95&gt;=2.3,1,E95*'Reference Curves'!$D$14+'Reference Curves'!$D$15)),2),IF(AND(D85&lt;20,LEFT(G84,2)="CS"), ROUND(IF(E95&lt;=0.2,0, IF(E95&gt;=1,1,E95*'Reference Curves'!$B$14+'Reference Curves'!$B$15)),2), IF(AND(D85&gt;=20,LEFT(G84,2)= "CS"), ROUND(IF(E95&lt;=0.4,0, IF(E95&gt;=1.5,1,E95*'Reference Curves'!$C$14+'Reference Curves'!$C$15)),2),"FALSE"))))</f>
        <v/>
      </c>
      <c r="G95" s="413"/>
      <c r="H95" s="412"/>
      <c r="I95" s="439"/>
      <c r="J95" s="443"/>
      <c r="K95" s="10"/>
    </row>
    <row r="96" spans="1:14" s="5" customFormat="1" ht="15.75" x14ac:dyDescent="0.5">
      <c r="A96" s="434"/>
      <c r="B96" s="437" t="s">
        <v>4</v>
      </c>
      <c r="C96" s="133" t="s">
        <v>5</v>
      </c>
      <c r="D96" s="14"/>
      <c r="E96" s="30"/>
      <c r="F96" s="206" t="str">
        <f>IF( E96="","",
IF( E96&gt;1.71,0, IF( E96&gt;1, ROUND(E96*'Reference Curves'!C$20+'Reference Curves'!C$21,2),
IF( D88="Transport", ROUND(IF( E96&lt;0.35,0, E96*'Reference Curves'!$B$20+'Reference Curves'!$B$21 ),2), 1 ))))</f>
        <v/>
      </c>
      <c r="G96" s="411" t="str">
        <f>IFERROR(AVERAGE(F96:F98),"")</f>
        <v/>
      </c>
      <c r="H96" s="412"/>
      <c r="I96" s="439"/>
      <c r="J96" s="443"/>
      <c r="K96" s="10"/>
      <c r="N96" s="9"/>
    </row>
    <row r="97" spans="1:14" s="5" customFormat="1" ht="15.75" x14ac:dyDescent="0.5">
      <c r="A97" s="434"/>
      <c r="B97" s="437"/>
      <c r="C97" s="133" t="s">
        <v>6</v>
      </c>
      <c r="D97" s="14"/>
      <c r="E97" s="34"/>
      <c r="F97" s="205" t="str">
        <f>IF(E97="","",IF(OR(LEFT(B85,1)="A",LEFT(B85,1)="B"),IF(E97&lt;1.05,0,IF(E97&gt;=2.2,1,ROUND(IF(E97&lt;1.4,E97*'Reference Curves'!$B$40+'Reference Curves'!$B$41,E97*'Reference Curves'!$C$40+'Reference Curves'!$C$41),2))), IF(B85="C",IF(E97&lt;1.7,0,IF(E97&gt;=4.2,1,ROUND(IF(E97&lt;2.4,E97*'Reference Curves'!$C$25+'Reference Curves'!$C$26,E97*'Reference Curves'!$B$25+'Reference Curves'!$B$26),2))),                                                                                                                                                                                                                    IF(B85="Cb",IF(E97&lt;1.7,0,IF(E97&gt;=3.9,1,ROUND(IF(E97&lt;2.4,E97*'Reference Curves'!$C$30+'Reference Curves'!$C$31,E97*'Reference Curves'!$B$30+'Reference Curves'!$B$31),2))),
IF(LEFT(B85,1)="E",IF(E97&lt;1.7,0,IF(E97&gt;=6.7,1,ROUND(IF(E97&lt;2.4,E97*'Reference Curves'!$C$35+'Reference Curves'!$C$36,E97*'Reference Curves'!$B$35+'Reference Curves'!$B$36),2))))))))</f>
        <v/>
      </c>
      <c r="G97" s="412"/>
      <c r="H97" s="412"/>
      <c r="I97" s="439"/>
      <c r="J97" s="443"/>
      <c r="K97" s="10"/>
      <c r="N97" s="9"/>
    </row>
    <row r="98" spans="1:14" s="5" customFormat="1" ht="15.75" customHeight="1" x14ac:dyDescent="0.5">
      <c r="A98" s="434"/>
      <c r="B98" s="437"/>
      <c r="C98" s="135" t="s">
        <v>188</v>
      </c>
      <c r="D98" s="14"/>
      <c r="E98" s="35"/>
      <c r="F98" s="207" t="str">
        <f>IF(E98="","",IF(D86="Unconfined Alluvial",IF(E98&lt;=0,0, IF(E98&gt;=100,1, ROUND(IF(E98&lt;10,E98*'Reference Curves'!$B$46+'Reference Curves'!$B$47, IF(E98&lt;50,E98*'Reference Curves'!$C$46+'Reference Curves'!$C$47,E98*'Reference Curves'!$D$46+'Reference Curves'!$D$47)),2))), IF(D86="Confined Alluvial",IF(E98&lt;=0,0,IF(E98&gt;=50,1,ROUND(IF(E98&lt;5,E98*'Reference Curves'!$E$46+'Reference Curves'!$E$47,IF(E98&lt;25,E98*'Reference Curves'!$F$46+'Reference Curves'!$F$47,E98*'Reference Curves'!$G$46+'Reference Curves'!$G$47)),2))))))</f>
        <v/>
      </c>
      <c r="G98" s="413"/>
      <c r="H98" s="413"/>
      <c r="I98" s="440"/>
      <c r="J98" s="443"/>
      <c r="K98" s="10"/>
      <c r="N98" s="9"/>
    </row>
    <row r="99" spans="1:14" s="5" customFormat="1" ht="15.6" customHeight="1" x14ac:dyDescent="0.5">
      <c r="A99" s="399" t="s">
        <v>20</v>
      </c>
      <c r="B99" s="399" t="s">
        <v>21</v>
      </c>
      <c r="C99" s="16" t="s">
        <v>19</v>
      </c>
      <c r="D99" s="46"/>
      <c r="E99" s="30"/>
      <c r="F99" s="208" t="str">
        <f>IF(E99="","",IF(E99&gt;=660,1,IF(E99&lt;=430,ROUND('Reference Curves'!$I$4*E99+'Reference Curves'!$I$5,2),ROUND('Reference Curves'!$J$4*E99+'Reference Curves'!$J$5,2))))</f>
        <v/>
      </c>
      <c r="G99" s="414" t="str">
        <f>IFERROR(AVERAGE(F99:F100),"")</f>
        <v/>
      </c>
      <c r="H99" s="414" t="str">
        <f>IFERROR(ROUND(AVERAGE(G99:G112),2),"")</f>
        <v/>
      </c>
      <c r="I99" s="417" t="str">
        <f>IF(H99="","",IF(H99&gt;0.69,"Functioning",IF(H99&gt;0.29,"Functioning At Risk",IF(H99&gt;-1,"Not Functioning"))))</f>
        <v/>
      </c>
      <c r="J99" s="443"/>
      <c r="K99" s="10"/>
      <c r="N99" s="9"/>
    </row>
    <row r="100" spans="1:14" s="5" customFormat="1" ht="15.75" x14ac:dyDescent="0.5">
      <c r="A100" s="399"/>
      <c r="B100" s="399"/>
      <c r="C100" s="18" t="s">
        <v>189</v>
      </c>
      <c r="D100" s="47"/>
      <c r="E100" s="35"/>
      <c r="F100" s="209" t="str">
        <f>IF(E100="","",IF(E100&gt;=28,1,ROUND(IF(E100&lt;=13,'Reference Curves'!$I$9*E100,'Reference Curves'!$J$9*E100+'Reference Curves'!$J$10),2)))</f>
        <v/>
      </c>
      <c r="G100" s="416"/>
      <c r="H100" s="415"/>
      <c r="I100" s="418"/>
      <c r="J100" s="443"/>
      <c r="K100" s="10"/>
      <c r="N100" s="9"/>
    </row>
    <row r="101" spans="1:14" s="5" customFormat="1" ht="15.75" x14ac:dyDescent="0.5">
      <c r="A101" s="399"/>
      <c r="B101" s="399" t="s">
        <v>114</v>
      </c>
      <c r="C101" s="16" t="s">
        <v>190</v>
      </c>
      <c r="D101" s="46"/>
      <c r="E101" s="78"/>
      <c r="F101" s="208" t="str">
        <f>IF(E101="","",ROUND(IF(E101&lt;=2,0,IF(E101&gt;=9,1, IF(E101&gt;=5,E101^2*'Reference Curves'!$I$14+E101*'Reference Curves'!$I$15+'Reference Curves'!$I$16, E101*'Reference Curves'!$J$15+'Reference Curves'!$J$16))),2))</f>
        <v/>
      </c>
      <c r="G101" s="414" t="str">
        <f>IFERROR(IF(E104&gt;=50,0,AVERAGE(F101:F104)),"")</f>
        <v/>
      </c>
      <c r="H101" s="415"/>
      <c r="I101" s="418"/>
      <c r="J101" s="443"/>
      <c r="K101" s="10"/>
      <c r="N101" s="9"/>
    </row>
    <row r="102" spans="1:14" s="5" customFormat="1" ht="15.75" x14ac:dyDescent="0.5">
      <c r="A102" s="399"/>
      <c r="B102" s="399"/>
      <c r="C102" s="18" t="s">
        <v>42</v>
      </c>
      <c r="D102" s="67"/>
      <c r="E102" s="78"/>
      <c r="F102" s="210" t="str">
        <f>IF(E102="","",IF(OR(E102="Ex/Ex",E102="Ex/VH",E102="Ex/H",E102="Ex/M",E102="VH/Ex",E102="VH/VH", E102="H/Ex",E102="H/VH"),0, IF(OR(E102="M/Ex"),0.1,IF(OR(E102="VH/H",E102="VH/M",E102="H/H",E102="H/M", E102="M/VH"),0.2, IF(OR(E102="Ex/VL",E102="Ex/L", E102="M/H"),0.3, IF(OR(E102="VH/L",E102="H/L"),0.4, IF(OR(E102="VH/VL",E102="H/VL",E102="M/M"),0.5, IF(OR(E102="M/L",E102="L/Ex"),0.6, IF(OR(E102="M/VL",E102="L/VH", E102="L/H",E102="L/M",E102="L/L",E102="L/VL", LEFT(E102,2)="VL"),1)))))))))</f>
        <v/>
      </c>
      <c r="G102" s="415"/>
      <c r="H102" s="415"/>
      <c r="I102" s="418"/>
      <c r="J102" s="443"/>
      <c r="K102" s="10"/>
      <c r="N102" s="9"/>
    </row>
    <row r="103" spans="1:14" s="5" customFormat="1" ht="15.75" x14ac:dyDescent="0.5">
      <c r="A103" s="399"/>
      <c r="B103" s="399"/>
      <c r="C103" s="136" t="s">
        <v>54</v>
      </c>
      <c r="D103" s="67"/>
      <c r="E103" s="78"/>
      <c r="F103" s="210" t="str">
        <f>IF(E103="","",ROUND(IF(E103&gt;=75,0,IF(E103&lt;=5,1,IF(E103&gt;10,E103*'Reference Curves'!I$20+'Reference Curves'!I$21,'Reference Curves'!$J$20*E103+'Reference Curves'!$J$21))),2))</f>
        <v/>
      </c>
      <c r="G103" s="421"/>
      <c r="H103" s="415"/>
      <c r="I103" s="418"/>
      <c r="J103" s="443"/>
      <c r="K103" s="10"/>
      <c r="N103" s="9"/>
    </row>
    <row r="104" spans="1:14" s="5" customFormat="1" ht="15.75" x14ac:dyDescent="0.5">
      <c r="A104" s="399"/>
      <c r="B104" s="399"/>
      <c r="C104" s="137" t="s">
        <v>113</v>
      </c>
      <c r="D104" s="154"/>
      <c r="E104" s="153"/>
      <c r="F104" s="211" t="str">
        <f>IF(E104="","",IF(E104&gt;=30,0,ROUND(E104*'Reference Curves'!$I$24+'Reference Curves'!$I$25,2)))</f>
        <v/>
      </c>
      <c r="G104" s="416"/>
      <c r="H104" s="415"/>
      <c r="I104" s="418"/>
      <c r="J104" s="443"/>
      <c r="K104" s="10"/>
      <c r="N104" s="9"/>
    </row>
    <row r="105" spans="1:14" s="5" customFormat="1" ht="15.75" x14ac:dyDescent="0.5">
      <c r="A105" s="399"/>
      <c r="B105" s="399" t="s">
        <v>44</v>
      </c>
      <c r="C105" s="16" t="s">
        <v>45</v>
      </c>
      <c r="D105" s="20"/>
      <c r="E105" s="37"/>
      <c r="F105" s="212" t="str">
        <f>IF(E105="","",IF(B85="Bc",IF(OR(E105&gt;=12,E105&lt;=0.1),0,IF(E105&lt;=3.4,1,ROUND('Reference Curves'!$I$33*E105+'Reference Curves'!$I$34,2))),
IF(OR(B85="B",B85="Ba"),IF(OR(E105&gt;=7.5,E105&lt;=0.1),0,IF(E105&lt;=3,1,ROUND(IF(E105&gt;4,'Reference Curves'!$I$29*E105+'Reference Curves'!$I$30,'Reference Curves'!$J$29*E105+'Reference Curves'!$J$30),2))),
IF(B85="Cb",IF(OR(E105&gt;=8.35,E105&lt;1.4),0,IF(AND(E105&gt;=3.7,E105&lt;=5),1,ROUND(IF(E105&lt;3.7,'Reference Curves'!$I$49*E105+'Reference Curves'!$I$50,'Reference Curves'!$J$49*E105+'Reference Curves'!$J$50),2))),
IF(B85="C",IF(OR(E105&gt;=9.3,E105&lt;=3),0,IF(AND(E105&gt;=4,E105&lt;=6),1,ROUND(IF(E105&lt;4,'Reference Curves'!$I$44*E105+'Reference Curves'!$I$45,'Reference Curves'!$J$44*E105+'Reference Curves'!$J$45),2))),
IF(B85="E",IF(OR(E105&gt;=8.3,E105&lt;1.85),0,IF(AND(E105&gt;=3.5,E105&lt;=5),1,ROUND(IF(E105&lt;3.5,'Reference Curves'!$I$38*E105+'Reference Curves'!$I$39,'Reference Curves'!$J$38*E105+'Reference Curves'!$J$39),2)))      ))))))</f>
        <v/>
      </c>
      <c r="G105" s="425" t="str">
        <f>IFERROR(AVERAGE(F105:F108),"")</f>
        <v/>
      </c>
      <c r="H105" s="415"/>
      <c r="I105" s="418"/>
      <c r="J105" s="443"/>
      <c r="K105" s="10"/>
      <c r="N105" s="9"/>
    </row>
    <row r="106" spans="1:14" s="5" customFormat="1" ht="15.75" x14ac:dyDescent="0.5">
      <c r="A106" s="399"/>
      <c r="B106" s="399"/>
      <c r="C106" s="18" t="s">
        <v>46</v>
      </c>
      <c r="D106" s="15"/>
      <c r="E106" s="36"/>
      <c r="F106" s="213" t="str">
        <f>IF(E106="","",IF(E106&lt;=1,0,IF(E106&gt;=3.2,1,IF(E106&gt;=2.2,ROUND('Reference Curves'!$J$54*E106+'Reference Curves'!$J$55,2),(ROUND('Reference Curves'!$I$54*E106+'Reference Curves'!$I$55,2))))))</f>
        <v/>
      </c>
      <c r="G106" s="421"/>
      <c r="H106" s="415"/>
      <c r="I106" s="418"/>
      <c r="J106" s="443"/>
      <c r="K106" s="10"/>
      <c r="N106" s="9"/>
    </row>
    <row r="107" spans="1:14" s="5" customFormat="1" ht="15.75" customHeight="1" x14ac:dyDescent="0.5">
      <c r="A107" s="399"/>
      <c r="B107" s="399"/>
      <c r="C107" s="18" t="s">
        <v>92</v>
      </c>
      <c r="D107" s="15"/>
      <c r="E107" s="36"/>
      <c r="F107" s="283" t="str">
        <f>IF(E107="","", IF(D84="","FALSE",IF(D84&lt;3,IF( OR(E107&gt;=91,E107&lt;=13.5),0, IF(AND(E107&gt;49,E107&lt;61), 1, ROUND(IF(E107&lt;50,'Reference Curves'!$I$60*E107+'Reference Curves'!$I$61, IF(E107&gt;60,'Reference Curves'!$J$60*E107+'Reference Curves'!$J$61)),2))), IF(D84&gt;=3,IF(OR(E107&gt;94.5,E107&lt;41.5),0, IF(AND(E107 &gt;=68, E107&lt;=78),1, ROUND(IF(E107&lt;68,'Reference Curves'!$I$65*E107+'Reference Curves'!$I$66,'Reference Curves'!$J$65*E107+'Reference Curves'!$J$66),2) ))))))</f>
        <v/>
      </c>
      <c r="G107" s="421"/>
      <c r="H107" s="415"/>
      <c r="I107" s="418"/>
      <c r="J107" s="443"/>
      <c r="K107" s="10"/>
      <c r="N107" s="9"/>
    </row>
    <row r="108" spans="1:14" s="5" customFormat="1" ht="15.75" x14ac:dyDescent="0.5">
      <c r="A108" s="399"/>
      <c r="B108" s="399"/>
      <c r="C108" s="19" t="s">
        <v>79</v>
      </c>
      <c r="D108" s="15"/>
      <c r="E108" s="38"/>
      <c r="F108" s="284" t="str">
        <f>IF(E108="","",IF(E108&gt;=1.6,0,IF(E108&lt;=1,1,ROUND('Reference Curves'!$I$74*E108^3+'Reference Curves'!$I$75*E108^2+'Reference Curves'!$I$76*E108+'Reference Curves'!$I$77,2))))</f>
        <v/>
      </c>
      <c r="G108" s="426"/>
      <c r="H108" s="415"/>
      <c r="I108" s="418"/>
      <c r="J108" s="443"/>
      <c r="K108" s="10"/>
      <c r="N108" s="9"/>
    </row>
    <row r="109" spans="1:14" s="5" customFormat="1" ht="15.75" x14ac:dyDescent="0.5">
      <c r="A109" s="399"/>
      <c r="B109" s="399" t="s">
        <v>43</v>
      </c>
      <c r="C109" s="18" t="s">
        <v>201</v>
      </c>
      <c r="D109" s="46"/>
      <c r="E109" s="17"/>
      <c r="F109" s="214" t="str">
        <f>IF( E109="","",
IF( D86="Unconfined Alluvial", IF( E109&gt;=100,1,
ROUND('Reference Curves'!$I$82*E109+'Reference Curves'!$I$83,2) ),
IF( OR(D86="Confined Alluvial", D86="Colluvial/V-Shaped"), ( IF(E109&gt;=100,1,
IF(E109&gt;=60, ROUND('Reference Curves'!$J$82*E109+'Reference Curves'!$J$83,2), ROUND('Reference Curves'!$K$82*E109+'Reference Curves'!$K$83,2) ) ) ) ) ) )</f>
        <v/>
      </c>
      <c r="G109" s="414" t="str">
        <f>IFERROR(AVERAGE(F109:F112),"")</f>
        <v/>
      </c>
      <c r="H109" s="415"/>
      <c r="I109" s="418"/>
      <c r="J109" s="443"/>
      <c r="K109" s="10"/>
      <c r="N109" s="9"/>
    </row>
    <row r="110" spans="1:14" s="5" customFormat="1" ht="15.75" x14ac:dyDescent="0.5">
      <c r="A110" s="399"/>
      <c r="B110" s="399"/>
      <c r="C110" s="18" t="s">
        <v>191</v>
      </c>
      <c r="D110" s="67"/>
      <c r="E110" s="79"/>
      <c r="F110" s="213" t="str">
        <f>IF( E110="","", IF(D87&lt;&gt;"Woody","FALSE", IF( OR(G86="Mountains",G86="Basins"),
IF(E110&lt;=0,0, IF(E110&gt;=122,1, IF(E110&lt;69, ROUND('Reference Curves'!$I$87*E110+'Reference Curves'!$I$88,2), ROUND('Reference Curves'!$J$87*E110+'Reference Curves'!$J$88,2) ) ) ),
IF(G86="Plains",IF(OR(E110&lt;=0,E110&gt;111),0,IF(AND(E110&gt;=69,E110&lt;=76),1,IF(E110&lt;69,ROUND(E110*'Reference Curves'!$I$92+'Reference Curves'!$I$93,2),ROUND(E110*'Reference Curves'!$J$92+'Reference Curves'!$J$93,2))))))))</f>
        <v/>
      </c>
      <c r="G110" s="415"/>
      <c r="H110" s="415"/>
      <c r="I110" s="418"/>
      <c r="J110" s="443"/>
      <c r="K110" s="10"/>
      <c r="N110" s="9"/>
    </row>
    <row r="111" spans="1:14" s="5" customFormat="1" ht="15.75" x14ac:dyDescent="0.5">
      <c r="A111" s="399"/>
      <c r="B111" s="399"/>
      <c r="C111" s="18" t="s">
        <v>141</v>
      </c>
      <c r="D111" s="67"/>
      <c r="E111" s="79"/>
      <c r="F111" s="213" t="str">
        <f>IF(E111="","",IF(D87="Herbaceous",IF(E111&lt;=34,0,IF(E111&gt;=120,1,IF(E111&gt;73,ROUND(E111*'Reference Curves'!$J$98+'Reference Curves'!$J$99,2),ROUND(E111*'Reference Curves'!$I$98+'Reference Curves'!$I$99,2))))))</f>
        <v/>
      </c>
      <c r="G111" s="421"/>
      <c r="H111" s="415"/>
      <c r="I111" s="418"/>
      <c r="J111" s="443"/>
      <c r="K111" s="10"/>
      <c r="N111" s="9"/>
    </row>
    <row r="112" spans="1:14" s="5" customFormat="1" ht="15.75" x14ac:dyDescent="0.5">
      <c r="A112" s="399"/>
      <c r="B112" s="399"/>
      <c r="C112" s="138" t="s">
        <v>192</v>
      </c>
      <c r="D112" s="158"/>
      <c r="E112" s="162"/>
      <c r="F112" s="283" t="str">
        <f>IF(E112="","",IF(E112&lt;=46,0,IF(E112&gt;=100,1,IF(AND(E112&lt;=100,E112&gt;91),ROUND(E112*'Reference Curves'!$J$103+'Reference Curves'!$J$104,2),ROUND(E112*'Reference Curves'!$I$103+'Reference Curves'!$I$104,2)))))</f>
        <v/>
      </c>
      <c r="G112" s="416"/>
      <c r="H112" s="416"/>
      <c r="I112" s="419"/>
      <c r="J112" s="444"/>
      <c r="K112" s="10"/>
      <c r="N112" s="9"/>
    </row>
    <row r="113" spans="1:14" s="5" customFormat="1" ht="15.6" customHeight="1" x14ac:dyDescent="0.5">
      <c r="A113" s="436" t="s">
        <v>47</v>
      </c>
      <c r="B113" s="441" t="s">
        <v>139</v>
      </c>
      <c r="C113" s="139" t="s">
        <v>193</v>
      </c>
      <c r="D113" s="160"/>
      <c r="E113" s="30"/>
      <c r="F113" s="215" t="str">
        <f>IF(E113="","",IF(G84="","Enter Stream Temperature",  IF(G84="CS-I (MWF)",IF(E113&gt;=21.2,0,1),  IF(G84="CS-I",IF(E113&gt;=21.7,0,1),  IF(G84="CS-II",IF(E113&gt;=23.9,0,1),  IF(G84="WS-I",IF(E113&gt;=29,0,1),  IF(G84="WS-II",IF(E113&gt;=28.6,0,1), IF(G84="WS-III",IF(E113&gt;=31.8,0,1)))))))))</f>
        <v/>
      </c>
      <c r="G113" s="422" t="str">
        <f>IFERROR(AVERAGE(F113:F114),"")</f>
        <v/>
      </c>
      <c r="H113" s="422">
        <f>IF(OR(G113&lt;&gt;"",G115&lt;&gt;"",G116&lt;&gt;""),ROUND(AVERAGE(G113:G116),2),IF(B88="Yes",1,0.8))</f>
        <v>0.8</v>
      </c>
      <c r="I113" s="430" t="str">
        <f>IF(H113="","",IF(H113&gt;0.69,"Functioning",IF(H113&gt;0.29,"Functioning At Risk",IF(H113&gt;-1,"Not Functioning"))))</f>
        <v>Functioning</v>
      </c>
      <c r="J113" s="219" t="s">
        <v>290</v>
      </c>
      <c r="K113" s="10"/>
      <c r="N113" s="9"/>
    </row>
    <row r="114" spans="1:14" s="5" customFormat="1" ht="15.75" x14ac:dyDescent="0.5">
      <c r="A114" s="436"/>
      <c r="B114" s="441"/>
      <c r="C114" s="140" t="s">
        <v>194</v>
      </c>
      <c r="D114" s="155"/>
      <c r="E114" s="35"/>
      <c r="F114" s="216" t="str">
        <f>IF(E114="","",IF(G84="","Enter Stream Temperature",  IF(G84="CS-I (MWF)",IF(E114&gt;=18.3,0,IF(E114&lt;=13.8,1,ROUND(E114*'Reference Curves'!$M$4+'Reference Curves'!$M$5,2))),  IF(G84="CS-I",IF(E114&gt;=17.6,0,IF(E114&lt;=15.7,1,ROUND(E114*'Reference Curves'!$N$4+'Reference Curves'!$N$5,2))),  IF(G84="CS-II",IF(E114&gt;=19.1,0,IF(E114&lt;=16.6,1,ROUND(E114*'Reference Curves'!$O$4+'Reference Curves'!$O$5,2))),  IF(G84="WS-I",IF(E114&gt;=25.7,0,IF(E114&lt;=20.9,1,ROUND(E114*'Reference Curves'!$P$4+'Reference Curves'!$P$5,2))),  IF(G84="WS-II",IF(E114&gt;=29.7,0,IF(E114&lt;=22.5,1,ROUND(E114*'Reference Curves'!$Q$4+'Reference Curves'!$Q$5,2))), IF(G84="WS-III",IF(E114&gt;=30,0,IF(E114&lt;=25.9,1,ROUND(E114*'Reference Curves'!$R$4+'Reference Curves'!$R$5,2)))    ))))))))</f>
        <v/>
      </c>
      <c r="G114" s="424"/>
      <c r="H114" s="423"/>
      <c r="I114" s="430"/>
      <c r="J114" s="442">
        <f>IF(AND(H92="",H99="",H113="",H117=""),"",ROUND((IF(H92="",0,H92)*0.3)+(IF(H99="",0,H99)*0.3)+(IF(H113="",0,H113)*0.2)+(IF(H117="",0,H117)*0.2),2))</f>
        <v>0.32</v>
      </c>
      <c r="K114" s="10"/>
      <c r="N114" s="9"/>
    </row>
    <row r="115" spans="1:14" s="5" customFormat="1" ht="15.75" x14ac:dyDescent="0.5">
      <c r="A115" s="436"/>
      <c r="B115" s="192" t="s">
        <v>140</v>
      </c>
      <c r="C115" s="142" t="s">
        <v>195</v>
      </c>
      <c r="D115" s="156"/>
      <c r="E115" s="54"/>
      <c r="F115" s="216" t="str">
        <f>IF(E115="","",ROUND( IF(E115&lt;=6,0, IF(E115&gt;=10.31,1,E115*'Reference Curves'!$M$8+'Reference Curves'!$M$9)),2))</f>
        <v/>
      </c>
      <c r="G115" s="163" t="str">
        <f>IFERROR(AVERAGE(F115),"")</f>
        <v/>
      </c>
      <c r="H115" s="423"/>
      <c r="I115" s="430"/>
      <c r="J115" s="443"/>
      <c r="K115" s="10"/>
      <c r="N115" s="9"/>
    </row>
    <row r="116" spans="1:14" s="5" customFormat="1" ht="15.75" x14ac:dyDescent="0.5">
      <c r="A116" s="436"/>
      <c r="B116" s="192" t="s">
        <v>196</v>
      </c>
      <c r="C116" s="143" t="s">
        <v>357</v>
      </c>
      <c r="D116" s="157"/>
      <c r="E116" s="54"/>
      <c r="F116" s="216" t="str">
        <f>IF(E116="","",IF(OR(G85=3),IF(E116&gt;=150,0,IF(E116&lt;=16,1,ROUND('Reference Curves'!$M$13*LN(E116)+'Reference Curves'!$M$14,2))), IF(OR(G85=1,G85=2),  IF(E116&gt;=97,0,IF(E116&lt;=12,1,ROUND('Reference Curves'!$N$13*LN(E116)+'Reference Curves'!$N$14,2))))))</f>
        <v/>
      </c>
      <c r="G116" s="163" t="str">
        <f>IFERROR(AVERAGE(F116),"")</f>
        <v/>
      </c>
      <c r="H116" s="424"/>
      <c r="I116" s="430"/>
      <c r="J116" s="443"/>
      <c r="K116" s="10"/>
      <c r="N116" s="9"/>
    </row>
    <row r="117" spans="1:14" s="5" customFormat="1" ht="15.75" x14ac:dyDescent="0.5">
      <c r="A117" s="435" t="s">
        <v>48</v>
      </c>
      <c r="B117" s="191" t="s">
        <v>93</v>
      </c>
      <c r="C117" s="145" t="s">
        <v>197</v>
      </c>
      <c r="D117" s="28"/>
      <c r="E117" s="54"/>
      <c r="F117" s="217" t="str">
        <f>IF(E117="","",IF(G85="","Enter Biotype",IF(G85=1,IF(E117&lt;=0,0,IF(E117&gt;=57,1,ROUND(IF(E117&lt;=34,'Reference Curves'!$T$5*E117+'Reference Curves'!$T$6,  IF(E117&lt;=45, 'Reference Curves'!$U$5*E117+'Reference Curves'!$U$6,  'Reference Curves'!$V$5*E117+'Reference Curves'!$V$6)),2))),   IF(G85=2,IF(E117&lt;=0,0,IF(E117&gt;=63,1,ROUND(IF(E117&lt;=40,'Reference Curves'!$W$5*E117+'Reference Curves'!$W$6,  IF(E117&lt;=48,'Reference Curves'!$X$5*E117+'Reference Curves'!$X$6,  'Reference Curves'!$Y$5*E117+'Reference Curves'!$Y$6)),2))),   IF(OR(G85=3),IF(E117&lt;=0,0,IF(E117&gt;=52,1,ROUND(IF(E117&lt;=29,'Reference Curves'!$Z$5*E117+'Reference Curves'!$Z$6, IF(E117&lt;=42, 'Reference Curves'!$AA$5*E117+'Reference Curves'!$AA$6,  'Reference Curves'!$AB$5*E117+'Reference Curves'!$AB$6)),2))))))))</f>
        <v/>
      </c>
      <c r="G117" s="164" t="str">
        <f>IFERROR(AVERAGE(F117),"")</f>
        <v/>
      </c>
      <c r="H117" s="420">
        <f>IF(OR(G117&lt;&gt;"",G118&lt;&gt;""),ROUND(AVERAGE(G117:G120),2),IF(B88="Yes",1,0.8))</f>
        <v>0.8</v>
      </c>
      <c r="I117" s="430" t="str">
        <f>IF(H117="","",IF(H117&gt;0.69,"Functioning",IF(H117&gt;0.29,"Functioning At Risk",IF(H117&gt;-1,"Not Functioning"))))</f>
        <v>Functioning</v>
      </c>
      <c r="J117" s="443"/>
      <c r="K117" s="10"/>
      <c r="N117" s="9"/>
    </row>
    <row r="118" spans="1:14" s="5" customFormat="1" ht="15.75" x14ac:dyDescent="0.5">
      <c r="A118" s="435"/>
      <c r="B118" s="398" t="s">
        <v>51</v>
      </c>
      <c r="C118" s="146" t="s">
        <v>198</v>
      </c>
      <c r="D118" s="28"/>
      <c r="E118" s="30"/>
      <c r="F118" s="164" t="str">
        <f>IF(E118="","",IF(E118&lt;=0,0,IF(E118&gt;=100,1,ROUND(IF(E118&lt;80,E118*'Reference Curves'!$T$10+'Reference Curves'!$T$11,E118*'Reference Curves'!$U$10+'Reference Curves'!$U$11),2))))</f>
        <v/>
      </c>
      <c r="G118" s="427" t="str">
        <f>IFERROR(AVERAGE(F118:F120),"")</f>
        <v/>
      </c>
      <c r="H118" s="420"/>
      <c r="I118" s="430"/>
      <c r="J118" s="443"/>
      <c r="K118" s="10"/>
      <c r="N118" s="9"/>
    </row>
    <row r="119" spans="1:14" s="5" customFormat="1" ht="15.75" x14ac:dyDescent="0.5">
      <c r="A119" s="435"/>
      <c r="B119" s="398"/>
      <c r="C119" s="147" t="s">
        <v>199</v>
      </c>
      <c r="D119" s="159"/>
      <c r="E119" s="34"/>
      <c r="F119" s="164" t="str">
        <f>IF(E119="","",ROUND(IF(E119&gt;=3,0,IF(E119&gt;=2,0.3,IF(E119&gt;=1,0.69,1))),2))</f>
        <v/>
      </c>
      <c r="G119" s="428"/>
      <c r="H119" s="420"/>
      <c r="I119" s="430"/>
      <c r="J119" s="443"/>
      <c r="K119" s="10"/>
      <c r="N119" s="9"/>
    </row>
    <row r="120" spans="1:14" s="5" customFormat="1" ht="15.75" x14ac:dyDescent="0.5">
      <c r="A120" s="435"/>
      <c r="B120" s="398"/>
      <c r="C120" s="148" t="s">
        <v>200</v>
      </c>
      <c r="D120" s="161"/>
      <c r="E120" s="35"/>
      <c r="F120" s="218" t="str">
        <f>IF(E120="","",IF(G88="","Enter Stream Producitvity Rating",IF(G88="High",IF(E120&lt;5,0,IF(E120&gt;=40,1,ROUND(E120*'Reference Curves'!$T$15+'Reference Curves'!$T$16,2))),IF(G88="Moderate",IF(E120&lt;10,0,IF(E120&gt;=80,1,ROUND(E120*'Reference Curves'!$U$15+'Reference Curves'!$U$16,2))),IF(G88="Low",IF(E120&lt;15,0,IF(E120&gt;=119,1,ROUND(E120*'Reference Curves'!$V$15+'Reference Curves'!$V$16,2)))   )))))</f>
        <v/>
      </c>
      <c r="G120" s="429"/>
      <c r="H120" s="420"/>
      <c r="I120" s="430"/>
      <c r="J120" s="444"/>
      <c r="K120" s="10"/>
      <c r="N120" s="9"/>
    </row>
    <row r="121" spans="1:14" s="5" customFormat="1" x14ac:dyDescent="0.45">
      <c r="I121" s="55"/>
      <c r="J121" s="4"/>
      <c r="K121" s="10"/>
    </row>
    <row r="122" spans="1:14" s="5" customFormat="1" x14ac:dyDescent="0.45">
      <c r="I122" s="55"/>
      <c r="J122" s="4"/>
      <c r="K122" s="10"/>
    </row>
    <row r="123" spans="1:14" s="5" customFormat="1" ht="21" customHeight="1" x14ac:dyDescent="0.45">
      <c r="A123" s="408" t="s">
        <v>349</v>
      </c>
      <c r="B123" s="409"/>
      <c r="C123" s="409"/>
      <c r="D123" s="409"/>
      <c r="E123" s="409"/>
      <c r="F123" s="409"/>
      <c r="G123" s="409"/>
      <c r="H123" s="409"/>
      <c r="I123" s="409"/>
      <c r="J123" s="410"/>
    </row>
    <row r="124" spans="1:14" s="5" customFormat="1" ht="16.149999999999999" customHeight="1" x14ac:dyDescent="0.45">
      <c r="A124" s="184" t="str">
        <f>A4</f>
        <v>Reach ID:</v>
      </c>
      <c r="B124" s="224">
        <f>'Project Assessment'!A13</f>
        <v>0</v>
      </c>
      <c r="C124" s="200" t="str">
        <f>C4</f>
        <v>Stream Slope (%):</v>
      </c>
      <c r="D124" s="290"/>
      <c r="E124" s="402" t="str">
        <f>E4</f>
        <v>Stream Temperature:</v>
      </c>
      <c r="F124" s="403"/>
      <c r="G124" s="187"/>
      <c r="H124" s="406" t="str">
        <f>H4</f>
        <v>Upstream Latitude:</v>
      </c>
      <c r="I124" s="407"/>
      <c r="J124" s="185"/>
    </row>
    <row r="125" spans="1:14" s="5" customFormat="1" ht="16.149999999999999" customHeight="1" x14ac:dyDescent="0.45">
      <c r="A125" s="184" t="str">
        <f t="shared" ref="A125:A128" si="8">A5</f>
        <v>Reference Stream Type:</v>
      </c>
      <c r="B125" s="187"/>
      <c r="C125" s="276" t="str">
        <f t="shared" ref="C125:C128" si="9">C5</f>
        <v>Proposed Bankfull Width (ft):</v>
      </c>
      <c r="D125" s="185"/>
      <c r="E125" s="402" t="str">
        <f t="shared" ref="E125:E128" si="10">E5</f>
        <v>Biotype:</v>
      </c>
      <c r="F125" s="403"/>
      <c r="G125" s="187"/>
      <c r="H125" s="406" t="str">
        <f t="shared" ref="H125:H127" si="11">H5</f>
        <v>Upstream Longitude:</v>
      </c>
      <c r="I125" s="407"/>
      <c r="J125" s="185"/>
    </row>
    <row r="126" spans="1:14" s="5" customFormat="1" ht="16.149999999999999" customHeight="1" x14ac:dyDescent="0.65">
      <c r="A126" s="184" t="str">
        <f t="shared" si="8"/>
        <v>Flow Permanence:</v>
      </c>
      <c r="B126" s="224">
        <f>'Project Assessment'!B13</f>
        <v>0</v>
      </c>
      <c r="C126" s="276" t="str">
        <f t="shared" si="9"/>
        <v>Valley Type:</v>
      </c>
      <c r="D126" s="187"/>
      <c r="E126" s="402" t="str">
        <f t="shared" si="10"/>
        <v>Ecoregion:</v>
      </c>
      <c r="F126" s="403"/>
      <c r="G126" s="187"/>
      <c r="H126" s="406" t="str">
        <f t="shared" si="11"/>
        <v>Downstream Latitude:</v>
      </c>
      <c r="I126" s="407"/>
      <c r="J126" s="185"/>
      <c r="K126" s="26"/>
    </row>
    <row r="127" spans="1:14" s="5" customFormat="1" ht="16.149999999999999" customHeight="1" x14ac:dyDescent="0.5">
      <c r="A127" s="184" t="str">
        <f t="shared" si="8"/>
        <v>Strahler Stream Order:</v>
      </c>
      <c r="B127" s="224">
        <f>'Project Assessment'!C13</f>
        <v>0</v>
      </c>
      <c r="C127" s="276" t="str">
        <f t="shared" si="9"/>
        <v>Reference Vegetation Cover:</v>
      </c>
      <c r="D127" s="187"/>
      <c r="E127" s="402" t="str">
        <f t="shared" si="10"/>
        <v>River Basin:</v>
      </c>
      <c r="F127" s="403"/>
      <c r="G127" s="187"/>
      <c r="H127" s="406" t="str">
        <f t="shared" si="11"/>
        <v>Downstream Longitude:</v>
      </c>
      <c r="I127" s="407"/>
      <c r="J127" s="185"/>
      <c r="K127" s="39"/>
    </row>
    <row r="128" spans="1:14" s="5" customFormat="1" ht="18" customHeight="1" x14ac:dyDescent="0.5">
      <c r="A128" s="184" t="str">
        <f t="shared" si="8"/>
        <v>Outstanding Water:</v>
      </c>
      <c r="B128" s="224">
        <f>'Project Assessment'!E13</f>
        <v>0</v>
      </c>
      <c r="C128" s="276" t="str">
        <f t="shared" si="9"/>
        <v>Sediment Regime:</v>
      </c>
      <c r="D128" s="263"/>
      <c r="E128" s="402" t="str">
        <f t="shared" si="10"/>
        <v>Stream Productivity Class:</v>
      </c>
      <c r="F128" s="403"/>
      <c r="G128" s="187"/>
      <c r="H128" s="201"/>
      <c r="I128" s="201"/>
      <c r="J128" s="201"/>
      <c r="K128" s="39"/>
    </row>
    <row r="129" spans="1:14" s="5" customFormat="1" ht="4.5" customHeight="1" x14ac:dyDescent="0.5">
      <c r="B129" s="58"/>
      <c r="C129" s="58"/>
      <c r="D129" s="58"/>
      <c r="E129" s="58"/>
      <c r="F129" s="58"/>
      <c r="G129" s="58"/>
      <c r="H129" s="58"/>
      <c r="I129" s="56"/>
      <c r="J129" s="10"/>
      <c r="K129" s="39"/>
    </row>
    <row r="130" spans="1:14" s="5" customFormat="1" ht="19.899999999999999" customHeight="1" x14ac:dyDescent="0.65">
      <c r="A130" s="431" t="str">
        <f>_xlfn.CONCAT("EXISTING CONDITION ASSESSMENT for Reach ",B124)</f>
        <v>EXISTING CONDITION ASSESSMENT for Reach 0</v>
      </c>
      <c r="B130" s="431"/>
      <c r="C130" s="431"/>
      <c r="D130" s="431"/>
      <c r="E130" s="431"/>
      <c r="F130" s="431"/>
      <c r="G130" s="431" t="s">
        <v>13</v>
      </c>
      <c r="H130" s="431"/>
      <c r="I130" s="431"/>
      <c r="J130" s="431"/>
      <c r="K130" s="10"/>
    </row>
    <row r="131" spans="1:14" s="5" customFormat="1" ht="15.75" x14ac:dyDescent="0.5">
      <c r="A131" s="32" t="s">
        <v>1</v>
      </c>
      <c r="B131" s="32" t="s">
        <v>2</v>
      </c>
      <c r="C131" s="432" t="s">
        <v>3</v>
      </c>
      <c r="D131" s="433"/>
      <c r="E131" s="32" t="s">
        <v>11</v>
      </c>
      <c r="F131" s="31" t="s">
        <v>12</v>
      </c>
      <c r="G131" s="32" t="s">
        <v>14</v>
      </c>
      <c r="H131" s="32" t="s">
        <v>15</v>
      </c>
      <c r="I131" s="57" t="s">
        <v>15</v>
      </c>
      <c r="J131" s="32" t="s">
        <v>98</v>
      </c>
      <c r="K131" s="10"/>
    </row>
    <row r="132" spans="1:14" s="5" customFormat="1" ht="15.75" x14ac:dyDescent="0.5">
      <c r="A132" s="434" t="s">
        <v>173</v>
      </c>
      <c r="B132" s="437" t="s">
        <v>71</v>
      </c>
      <c r="C132" s="132" t="s">
        <v>138</v>
      </c>
      <c r="D132" s="149"/>
      <c r="E132" s="30"/>
      <c r="F132" s="202" t="str">
        <f>IF(E132="","",IF(E132&gt;78,0,IF(E132&lt;=55,1,ROUND(E132*'Reference Curves'!$B$3+'Reference Curves'!$B$4,2))))</f>
        <v/>
      </c>
      <c r="G132" s="411" t="str">
        <f>IFERROR(AVERAGE(F132:F133),"")</f>
        <v/>
      </c>
      <c r="H132" s="411" t="str">
        <f>IFERROR(ROUND(AVERAGE(G132:G138),2),"")</f>
        <v/>
      </c>
      <c r="I132" s="438" t="str">
        <f>IF(H132="","",IF(H132:H138&gt;0.69,"Functioning",IF(H132&gt;0.29,"Functioning At Risk",IF(H132&gt;-1,"Not Functioning"))))</f>
        <v/>
      </c>
      <c r="J132" s="219" t="s">
        <v>339</v>
      </c>
      <c r="K132" s="10"/>
    </row>
    <row r="133" spans="1:14" s="5" customFormat="1" ht="15.75" x14ac:dyDescent="0.5">
      <c r="A133" s="434"/>
      <c r="B133" s="437"/>
      <c r="C133" s="133" t="s">
        <v>184</v>
      </c>
      <c r="D133" s="150"/>
      <c r="E133" s="35"/>
      <c r="F133" s="203" t="str">
        <f>IF(E133="","",   IF(E133&gt;3.2,0, IF(E133&lt;0, "", ROUND('Reference Curves'!$B$8*E133+'Reference Curves'!$B$9,2))))</f>
        <v/>
      </c>
      <c r="G133" s="412"/>
      <c r="H133" s="412"/>
      <c r="I133" s="439"/>
      <c r="J133" s="442" t="str">
        <f>IF(AND(H132="",H139=""),"",ROUND((IF(H132="",0,H132)*0.3)+(IF(H139="",0,H139)*0.3),2))</f>
        <v/>
      </c>
      <c r="K133" s="10"/>
    </row>
    <row r="134" spans="1:14" s="5" customFormat="1" ht="15.75" x14ac:dyDescent="0.5">
      <c r="A134" s="434"/>
      <c r="B134" s="400" t="s">
        <v>185</v>
      </c>
      <c r="C134" s="134" t="s">
        <v>186</v>
      </c>
      <c r="D134" s="149"/>
      <c r="E134" s="34"/>
      <c r="F134" s="204" t="s">
        <v>285</v>
      </c>
      <c r="G134" s="411" t="str">
        <f>IFERROR(IF(AND(ISNUMBER(E134),E134&lt;1),0,AVERAGE(F134:F135)),"")</f>
        <v/>
      </c>
      <c r="H134" s="412"/>
      <c r="I134" s="439"/>
      <c r="J134" s="443"/>
      <c r="K134" s="10"/>
    </row>
    <row r="135" spans="1:14" s="5" customFormat="1" ht="15.75" x14ac:dyDescent="0.5">
      <c r="A135" s="434"/>
      <c r="B135" s="401"/>
      <c r="C135" s="151" t="s">
        <v>187</v>
      </c>
      <c r="D135" s="152"/>
      <c r="E135" s="34"/>
      <c r="F135" s="205" t="str">
        <f>IF(E135="","",IF(G124= "CS-II", ROUND(IF(E135&lt;=0.6,0, IF(E135&gt;=2.3,1,E135*'Reference Curves'!$D$14+'Reference Curves'!$D$15)),2),IF(AND(D125&lt;20,LEFT(G124,2)="CS"), ROUND(IF(E135&lt;=0.2,0, IF(E135&gt;=1,1,E135*'Reference Curves'!$B$14+'Reference Curves'!$B$15)),2), IF(AND(D125&gt;=20,LEFT(G124,2)= "CS"), ROUND(IF(E135&lt;=0.4,0, IF(E135&gt;=1.5,1,E135*'Reference Curves'!$C$14+'Reference Curves'!$C$15)),2),"FALSE"))))</f>
        <v/>
      </c>
      <c r="G135" s="413"/>
      <c r="H135" s="412"/>
      <c r="I135" s="439"/>
      <c r="J135" s="443"/>
      <c r="K135" s="10"/>
    </row>
    <row r="136" spans="1:14" s="5" customFormat="1" ht="15.75" x14ac:dyDescent="0.5">
      <c r="A136" s="434"/>
      <c r="B136" s="437" t="s">
        <v>4</v>
      </c>
      <c r="C136" s="133" t="s">
        <v>5</v>
      </c>
      <c r="D136" s="14"/>
      <c r="E136" s="30"/>
      <c r="F136" s="206" t="str">
        <f>IF( E136="","",
IF( E136&gt;1.71,0, IF( E136&gt;1, ROUND(E136*'Reference Curves'!C$20+'Reference Curves'!C$21,2),
IF( D128="Transport", ROUND(IF( E136&lt;0.35,0, E136*'Reference Curves'!$B$20+'Reference Curves'!$B$21 ),2), 1 ))))</f>
        <v/>
      </c>
      <c r="G136" s="411" t="str">
        <f>IFERROR(AVERAGE(F136:F138),"")</f>
        <v/>
      </c>
      <c r="H136" s="412"/>
      <c r="I136" s="439"/>
      <c r="J136" s="443"/>
      <c r="K136" s="10"/>
      <c r="N136" s="9"/>
    </row>
    <row r="137" spans="1:14" s="5" customFormat="1" ht="15.75" x14ac:dyDescent="0.5">
      <c r="A137" s="434"/>
      <c r="B137" s="437"/>
      <c r="C137" s="133" t="s">
        <v>6</v>
      </c>
      <c r="D137" s="14"/>
      <c r="E137" s="34"/>
      <c r="F137" s="205" t="str">
        <f>IF(E137="","",IF(OR(LEFT(B125,1)="A",LEFT(B125,1)="B"),IF(E137&lt;1.05,0,IF(E137&gt;=2.2,1,ROUND(IF(E137&lt;1.4,E137*'Reference Curves'!$B$40+'Reference Curves'!$B$41,E137*'Reference Curves'!$C$40+'Reference Curves'!$C$41),2))), IF(B125="C",IF(E137&lt;1.7,0,IF(E137&gt;=4.2,1,ROUND(IF(E137&lt;2.4,E137*'Reference Curves'!$C$25+'Reference Curves'!$C$26,E137*'Reference Curves'!$B$25+'Reference Curves'!$B$26),2))),                                                                                                                                                                                                                    IF(B125="Cb",IF(E137&lt;1.7,0,IF(E137&gt;=3.9,1,ROUND(IF(E137&lt;2.4,E137*'Reference Curves'!$C$30+'Reference Curves'!$C$31,E137*'Reference Curves'!$B$30+'Reference Curves'!$B$31),2))),
IF(LEFT(B125,1)="E",IF(E137&lt;1.7,0,IF(E137&gt;=6.7,1,ROUND(IF(E137&lt;2.4,E137*'Reference Curves'!$C$35+'Reference Curves'!$C$36,E137*'Reference Curves'!$B$35+'Reference Curves'!$B$36),2))))))))</f>
        <v/>
      </c>
      <c r="G137" s="412"/>
      <c r="H137" s="412"/>
      <c r="I137" s="439"/>
      <c r="J137" s="443"/>
      <c r="K137" s="10"/>
      <c r="N137" s="9"/>
    </row>
    <row r="138" spans="1:14" s="5" customFormat="1" ht="15.75" customHeight="1" x14ac:dyDescent="0.5">
      <c r="A138" s="434"/>
      <c r="B138" s="437"/>
      <c r="C138" s="135" t="s">
        <v>188</v>
      </c>
      <c r="D138" s="14"/>
      <c r="E138" s="35"/>
      <c r="F138" s="207" t="str">
        <f>IF(E138="","",IF(D126="Unconfined Alluvial",IF(E138&lt;=0,0, IF(E138&gt;=100,1, ROUND(IF(E138&lt;10,E138*'Reference Curves'!$B$46+'Reference Curves'!$B$47, IF(E138&lt;50,E138*'Reference Curves'!$C$46+'Reference Curves'!$C$47,E138*'Reference Curves'!$D$46+'Reference Curves'!$D$47)),2))), IF(D126="Confined Alluvial",IF(E138&lt;=0,0,IF(E138&gt;=50,1,ROUND(IF(E138&lt;5,E138*'Reference Curves'!$E$46+'Reference Curves'!$E$47,IF(E138&lt;25,E138*'Reference Curves'!$F$46+'Reference Curves'!$F$47,E138*'Reference Curves'!$G$46+'Reference Curves'!$G$47)),2))))))</f>
        <v/>
      </c>
      <c r="G138" s="413"/>
      <c r="H138" s="413"/>
      <c r="I138" s="440"/>
      <c r="J138" s="443"/>
      <c r="K138" s="10"/>
      <c r="N138" s="9"/>
    </row>
    <row r="139" spans="1:14" s="5" customFormat="1" ht="15.6" customHeight="1" x14ac:dyDescent="0.5">
      <c r="A139" s="399" t="s">
        <v>20</v>
      </c>
      <c r="B139" s="399" t="s">
        <v>21</v>
      </c>
      <c r="C139" s="16" t="s">
        <v>19</v>
      </c>
      <c r="D139" s="46"/>
      <c r="E139" s="30"/>
      <c r="F139" s="208" t="str">
        <f>IF(E139="","",IF(E139&gt;=660,1,IF(E139&lt;=430,ROUND('Reference Curves'!$I$4*E139+'Reference Curves'!$I$5,2),ROUND('Reference Curves'!$J$4*E139+'Reference Curves'!$J$5,2))))</f>
        <v/>
      </c>
      <c r="G139" s="414" t="str">
        <f>IFERROR(AVERAGE(F139:F140),"")</f>
        <v/>
      </c>
      <c r="H139" s="414" t="str">
        <f>IFERROR(ROUND(AVERAGE(G139:G152),2),"")</f>
        <v/>
      </c>
      <c r="I139" s="417" t="str">
        <f>IF(H139="","",IF(H139&gt;0.69,"Functioning",IF(H139&gt;0.29,"Functioning At Risk",IF(H139&gt;-1,"Not Functioning"))))</f>
        <v/>
      </c>
      <c r="J139" s="443"/>
      <c r="K139" s="10"/>
      <c r="N139" s="9"/>
    </row>
    <row r="140" spans="1:14" s="5" customFormat="1" ht="15.75" x14ac:dyDescent="0.5">
      <c r="A140" s="399"/>
      <c r="B140" s="399"/>
      <c r="C140" s="18" t="s">
        <v>189</v>
      </c>
      <c r="D140" s="47"/>
      <c r="E140" s="35"/>
      <c r="F140" s="209" t="str">
        <f>IF(E140="","",IF(E140&gt;=28,1,ROUND(IF(E140&lt;=13,'Reference Curves'!$I$9*E140,'Reference Curves'!$J$9*E140+'Reference Curves'!$J$10),2)))</f>
        <v/>
      </c>
      <c r="G140" s="416"/>
      <c r="H140" s="415"/>
      <c r="I140" s="418"/>
      <c r="J140" s="443"/>
      <c r="K140" s="10"/>
      <c r="N140" s="9"/>
    </row>
    <row r="141" spans="1:14" s="5" customFormat="1" ht="15.75" x14ac:dyDescent="0.5">
      <c r="A141" s="399"/>
      <c r="B141" s="399" t="s">
        <v>114</v>
      </c>
      <c r="C141" s="16" t="s">
        <v>190</v>
      </c>
      <c r="D141" s="46"/>
      <c r="E141" s="78"/>
      <c r="F141" s="208" t="str">
        <f>IF(E141="","",ROUND(IF(E141&lt;=2,0,IF(E141&gt;=9,1, IF(E141&gt;=5,E141^2*'Reference Curves'!$I$14+E141*'Reference Curves'!$I$15+'Reference Curves'!$I$16, E141*'Reference Curves'!$J$15+'Reference Curves'!$J$16))),2))</f>
        <v/>
      </c>
      <c r="G141" s="414" t="str">
        <f>IFERROR(IF(E144&gt;=50,0,AVERAGE(F141:F144)),"")</f>
        <v/>
      </c>
      <c r="H141" s="415"/>
      <c r="I141" s="418"/>
      <c r="J141" s="443"/>
      <c r="K141" s="10"/>
      <c r="N141" s="9"/>
    </row>
    <row r="142" spans="1:14" s="5" customFormat="1" ht="15.75" x14ac:dyDescent="0.5">
      <c r="A142" s="399"/>
      <c r="B142" s="399"/>
      <c r="C142" s="18" t="s">
        <v>42</v>
      </c>
      <c r="D142" s="67"/>
      <c r="E142" s="78"/>
      <c r="F142" s="210" t="str">
        <f>IF(E142="","",IF(OR(E142="Ex/Ex",E142="Ex/VH",E142="Ex/H",E142="Ex/M",E142="VH/Ex",E142="VH/VH", E142="H/Ex",E142="H/VH"),0, IF(OR(E142="M/Ex"),0.1,IF(OR(E142="VH/H",E142="VH/M",E142="H/H",E142="H/M", E142="M/VH"),0.2, IF(OR(E142="Ex/VL",E142="Ex/L", E142="M/H"),0.3, IF(OR(E142="VH/L",E142="H/L"),0.4, IF(OR(E142="VH/VL",E142="H/VL",E142="M/M"),0.5, IF(OR(E142="M/L",E142="L/Ex"),0.6, IF(OR(E142="M/VL",E142="L/VH", E142="L/H",E142="L/M",E142="L/L",E142="L/VL", LEFT(E142,2)="VL"),1)))))))))</f>
        <v/>
      </c>
      <c r="G142" s="415"/>
      <c r="H142" s="415"/>
      <c r="I142" s="418"/>
      <c r="J142" s="443"/>
      <c r="K142" s="10"/>
      <c r="N142" s="9"/>
    </row>
    <row r="143" spans="1:14" s="5" customFormat="1" ht="15.75" x14ac:dyDescent="0.5">
      <c r="A143" s="399"/>
      <c r="B143" s="399"/>
      <c r="C143" s="136" t="s">
        <v>54</v>
      </c>
      <c r="D143" s="67"/>
      <c r="E143" s="78"/>
      <c r="F143" s="210" t="str">
        <f>IF(E143="","",ROUND(IF(E143&gt;=75,0,IF(E143&lt;=5,1,IF(E143&gt;10,E143*'Reference Curves'!I$20+'Reference Curves'!I$21,'Reference Curves'!$J$20*E143+'Reference Curves'!$J$21))),2))</f>
        <v/>
      </c>
      <c r="G143" s="421"/>
      <c r="H143" s="415"/>
      <c r="I143" s="418"/>
      <c r="J143" s="443"/>
      <c r="K143" s="10"/>
      <c r="N143" s="9"/>
    </row>
    <row r="144" spans="1:14" s="5" customFormat="1" ht="15.75" x14ac:dyDescent="0.5">
      <c r="A144" s="399"/>
      <c r="B144" s="399"/>
      <c r="C144" s="137" t="s">
        <v>113</v>
      </c>
      <c r="D144" s="154"/>
      <c r="E144" s="153"/>
      <c r="F144" s="211" t="str">
        <f>IF(E144="","",IF(E144&gt;=30,0,ROUND(E144*'Reference Curves'!$I$24+'Reference Curves'!$I$25,2)))</f>
        <v/>
      </c>
      <c r="G144" s="416"/>
      <c r="H144" s="415"/>
      <c r="I144" s="418"/>
      <c r="J144" s="443"/>
      <c r="K144" s="10"/>
      <c r="N144" s="9"/>
    </row>
    <row r="145" spans="1:14" s="5" customFormat="1" ht="15.75" x14ac:dyDescent="0.5">
      <c r="A145" s="399"/>
      <c r="B145" s="399" t="s">
        <v>44</v>
      </c>
      <c r="C145" s="16" t="s">
        <v>45</v>
      </c>
      <c r="D145" s="20"/>
      <c r="E145" s="37"/>
      <c r="F145" s="212" t="str">
        <f>IF(E145="","",IF(B125="Bc",IF(OR(E145&gt;=12,E145&lt;=0.1),0,IF(E145&lt;=3.4,1,ROUND('Reference Curves'!$I$33*E145+'Reference Curves'!$I$34,2))),
IF(OR(B125="B",B125="Ba"),IF(OR(E145&gt;=7.5,E145&lt;=0.1),0,IF(E145&lt;=3,1,ROUND(IF(E145&gt;4,'Reference Curves'!$I$29*E145+'Reference Curves'!$I$30,'Reference Curves'!$J$29*E145+'Reference Curves'!$J$30),2))),
IF(B125="Cb",IF(OR(E145&gt;=8.35,E145&lt;1.4),0,IF(AND(E145&gt;=3.7,E145&lt;=5),1,ROUND(IF(E145&lt;3.7,'Reference Curves'!$I$49*E145+'Reference Curves'!$I$50,'Reference Curves'!$J$49*E145+'Reference Curves'!$J$50),2))),
IF(B125="C",IF(OR(E145&gt;=9.3,E145&lt;=3),0,IF(AND(E145&gt;=4,E145&lt;=6),1,ROUND(IF(E145&lt;4,'Reference Curves'!$I$44*E145+'Reference Curves'!$I$45,'Reference Curves'!$J$44*E145+'Reference Curves'!$J$45),2))),
IF(B125="E",IF(OR(E145&gt;=8.3,E145&lt;1.85),0,IF(AND(E145&gt;=3.5,E145&lt;=5),1,ROUND(IF(E145&lt;3.5,'Reference Curves'!$I$38*E145+'Reference Curves'!$I$39,'Reference Curves'!$J$38*E145+'Reference Curves'!$J$39),2)))      ))))))</f>
        <v/>
      </c>
      <c r="G145" s="425" t="str">
        <f>IFERROR(AVERAGE(F145:F148),"")</f>
        <v/>
      </c>
      <c r="H145" s="415"/>
      <c r="I145" s="418"/>
      <c r="J145" s="443"/>
      <c r="K145" s="10"/>
      <c r="N145" s="9"/>
    </row>
    <row r="146" spans="1:14" s="5" customFormat="1" ht="15.75" x14ac:dyDescent="0.5">
      <c r="A146" s="399"/>
      <c r="B146" s="399"/>
      <c r="C146" s="18" t="s">
        <v>46</v>
      </c>
      <c r="D146" s="15"/>
      <c r="E146" s="36"/>
      <c r="F146" s="213" t="str">
        <f>IF(E146="","",IF(E146&lt;=1,0,IF(E146&gt;=3.2,1,IF(E146&gt;=2.2,ROUND('Reference Curves'!$J$54*E146+'Reference Curves'!$J$55,2),(ROUND('Reference Curves'!$I$54*E146+'Reference Curves'!$I$55,2))))))</f>
        <v/>
      </c>
      <c r="G146" s="421"/>
      <c r="H146" s="415"/>
      <c r="I146" s="418"/>
      <c r="J146" s="443"/>
      <c r="K146" s="10"/>
      <c r="N146" s="9"/>
    </row>
    <row r="147" spans="1:14" s="5" customFormat="1" ht="15.75" customHeight="1" x14ac:dyDescent="0.5">
      <c r="A147" s="399"/>
      <c r="B147" s="399"/>
      <c r="C147" s="18" t="s">
        <v>92</v>
      </c>
      <c r="D147" s="15"/>
      <c r="E147" s="36"/>
      <c r="F147" s="283" t="str">
        <f>IF(E147="","", IF(D124="","FALSE",IF(D124&lt;3,IF( OR(E147&gt;=91,E147&lt;=13.5),0, IF(AND(E147&gt;49,E147&lt;61), 1, ROUND(IF(E147&lt;50,'Reference Curves'!$I$60*E147+'Reference Curves'!$I$61, IF(E147&gt;60,'Reference Curves'!$J$60*E147+'Reference Curves'!$J$61)),2))), IF(D124&gt;=3,IF(OR(E147&gt;94.5,E147&lt;41.5),0, IF(AND(E147 &gt;=68, E147&lt;=78),1, ROUND(IF(E147&lt;68,'Reference Curves'!$I$65*E147+'Reference Curves'!$I$66,'Reference Curves'!$J$65*E147+'Reference Curves'!$J$66),2) ))))))</f>
        <v/>
      </c>
      <c r="G147" s="421"/>
      <c r="H147" s="415"/>
      <c r="I147" s="418"/>
      <c r="J147" s="443"/>
      <c r="K147" s="10"/>
      <c r="N147" s="9"/>
    </row>
    <row r="148" spans="1:14" s="5" customFormat="1" ht="15.75" x14ac:dyDescent="0.5">
      <c r="A148" s="399"/>
      <c r="B148" s="399"/>
      <c r="C148" s="19" t="s">
        <v>79</v>
      </c>
      <c r="D148" s="15"/>
      <c r="E148" s="38"/>
      <c r="F148" s="284" t="str">
        <f>IF(E148="","",IF(E148&gt;=1.6,0,IF(E148&lt;=1,1,ROUND('Reference Curves'!$I$74*E148^3+'Reference Curves'!$I$75*E148^2+'Reference Curves'!$I$76*E148+'Reference Curves'!$I$77,2))))</f>
        <v/>
      </c>
      <c r="G148" s="426"/>
      <c r="H148" s="415"/>
      <c r="I148" s="418"/>
      <c r="J148" s="443"/>
      <c r="K148" s="10"/>
      <c r="N148" s="9"/>
    </row>
    <row r="149" spans="1:14" s="5" customFormat="1" ht="15.75" x14ac:dyDescent="0.5">
      <c r="A149" s="399"/>
      <c r="B149" s="399" t="s">
        <v>43</v>
      </c>
      <c r="C149" s="18" t="s">
        <v>201</v>
      </c>
      <c r="D149" s="46"/>
      <c r="E149" s="17"/>
      <c r="F149" s="214" t="str">
        <f>IF( E149="","",
IF( D126="Unconfined Alluvial", IF( E149&gt;=100,1,
ROUND('Reference Curves'!$I$82*E149+'Reference Curves'!$I$83,2) ),
IF( OR(D126="Confined Alluvial", D126="Colluvial/V-Shaped"), ( IF(E149&gt;=100,1,
IF(E149&gt;=60, ROUND('Reference Curves'!$J$82*E149+'Reference Curves'!$J$83,2), ROUND('Reference Curves'!$K$82*E149+'Reference Curves'!$K$83,2) ) ) ) ) ) )</f>
        <v/>
      </c>
      <c r="G149" s="414" t="str">
        <f>IFERROR(AVERAGE(F149:F152),"")</f>
        <v/>
      </c>
      <c r="H149" s="415"/>
      <c r="I149" s="418"/>
      <c r="J149" s="443"/>
      <c r="K149" s="10"/>
      <c r="N149" s="9"/>
    </row>
    <row r="150" spans="1:14" s="5" customFormat="1" ht="15.75" x14ac:dyDescent="0.5">
      <c r="A150" s="399"/>
      <c r="B150" s="399"/>
      <c r="C150" s="18" t="s">
        <v>191</v>
      </c>
      <c r="D150" s="67"/>
      <c r="E150" s="79"/>
      <c r="F150" s="213" t="str">
        <f>IF( E150="","", IF(D127&lt;&gt;"Woody","FALSE", IF( OR(G126="Mountains",G126="Basins"),
IF(E150&lt;=0,0, IF(E150&gt;=122,1, IF(E150&lt;69, ROUND('Reference Curves'!$I$87*E150+'Reference Curves'!$I$88,2), ROUND('Reference Curves'!$J$87*E150+'Reference Curves'!$J$88,2) ) ) ),
IF(G126="Plains",IF(OR(E150&lt;=0,E150&gt;111),0,IF(AND(E150&gt;=69,E150&lt;=76),1,IF(E150&lt;69,ROUND(E150*'Reference Curves'!$I$92+'Reference Curves'!$I$93,2),ROUND(E150*'Reference Curves'!$J$92+'Reference Curves'!$J$93,2))))))))</f>
        <v/>
      </c>
      <c r="G150" s="415"/>
      <c r="H150" s="415"/>
      <c r="I150" s="418"/>
      <c r="J150" s="443"/>
      <c r="K150" s="10"/>
      <c r="N150" s="9"/>
    </row>
    <row r="151" spans="1:14" s="5" customFormat="1" ht="15.75" x14ac:dyDescent="0.5">
      <c r="A151" s="399"/>
      <c r="B151" s="399"/>
      <c r="C151" s="18" t="s">
        <v>141</v>
      </c>
      <c r="D151" s="67"/>
      <c r="E151" s="79"/>
      <c r="F151" s="213" t="str">
        <f>IF(E151="","",IF(D127="Herbaceous",IF(E151&lt;=34,0,IF(E151&gt;=120,1,IF(E151&gt;73,ROUND(E151*'Reference Curves'!$J$98+'Reference Curves'!$J$99,2),ROUND(E151*'Reference Curves'!$I$98+'Reference Curves'!$I$99,2))))))</f>
        <v/>
      </c>
      <c r="G151" s="421"/>
      <c r="H151" s="415"/>
      <c r="I151" s="418"/>
      <c r="J151" s="443"/>
      <c r="K151" s="10"/>
      <c r="N151" s="9"/>
    </row>
    <row r="152" spans="1:14" s="5" customFormat="1" ht="15.75" x14ac:dyDescent="0.5">
      <c r="A152" s="399"/>
      <c r="B152" s="399"/>
      <c r="C152" s="138" t="s">
        <v>192</v>
      </c>
      <c r="D152" s="158"/>
      <c r="E152" s="162"/>
      <c r="F152" s="283" t="str">
        <f>IF(E152="","",IF(E152&lt;=46,0,IF(E152&gt;=100,1,IF(AND(E152&lt;=100,E152&gt;91),ROUND(E152*'Reference Curves'!$J$103+'Reference Curves'!$J$104,2),ROUND(E152*'Reference Curves'!$I$103+'Reference Curves'!$I$104,2)))))</f>
        <v/>
      </c>
      <c r="G152" s="416"/>
      <c r="H152" s="416"/>
      <c r="I152" s="419"/>
      <c r="J152" s="444"/>
      <c r="K152" s="10"/>
      <c r="N152" s="9"/>
    </row>
    <row r="153" spans="1:14" s="5" customFormat="1" ht="15.6" customHeight="1" x14ac:dyDescent="0.5">
      <c r="A153" s="436" t="s">
        <v>47</v>
      </c>
      <c r="B153" s="441" t="s">
        <v>139</v>
      </c>
      <c r="C153" s="139" t="s">
        <v>193</v>
      </c>
      <c r="D153" s="160"/>
      <c r="E153" s="30"/>
      <c r="F153" s="215" t="str">
        <f>IF(E153="","",IF(G124="","Enter Stream Temperature",  IF(G124="CS-I (MWF)",IF(E153&gt;=21.2,0,1),  IF(G124="CS-I",IF(E153&gt;=21.7,0,1),  IF(G124="CS-II",IF(E153&gt;=23.9,0,1),  IF(G124="WS-I",IF(E153&gt;=29,0,1),  IF(G124="WS-II",IF(E153&gt;=28.6,0,1), IF(G124="WS-III",IF(E153&gt;=31.8,0,1)))))))))</f>
        <v/>
      </c>
      <c r="G153" s="422" t="str">
        <f>IFERROR(AVERAGE(F153:F154),"")</f>
        <v/>
      </c>
      <c r="H153" s="422">
        <f>IF(OR(G153&lt;&gt;"",G155&lt;&gt;"",G156&lt;&gt;""),ROUND(AVERAGE(G153:G156),2),IF(B128="Yes",1,0.8))</f>
        <v>0.8</v>
      </c>
      <c r="I153" s="430" t="str">
        <f>IF(H153="","",IF(H153&gt;0.69,"Functioning",IF(H153&gt;0.29,"Functioning At Risk",IF(H153&gt;-1,"Not Functioning"))))</f>
        <v>Functioning</v>
      </c>
      <c r="J153" s="219" t="s">
        <v>290</v>
      </c>
      <c r="K153" s="10"/>
      <c r="N153" s="9"/>
    </row>
    <row r="154" spans="1:14" s="5" customFormat="1" ht="15.75" x14ac:dyDescent="0.5">
      <c r="A154" s="436"/>
      <c r="B154" s="441"/>
      <c r="C154" s="140" t="s">
        <v>194</v>
      </c>
      <c r="D154" s="155"/>
      <c r="E154" s="35"/>
      <c r="F154" s="216" t="str">
        <f>IF(E154="","",IF(G124="","Enter Stream Temperature",  IF(G124="CS-I (MWF)",IF(E154&gt;=18.3,0,IF(E154&lt;=13.8,1,ROUND(E154*'Reference Curves'!$M$4+'Reference Curves'!$M$5,2))),  IF(G124="CS-I",IF(E154&gt;=17.6,0,IF(E154&lt;=15.7,1,ROUND(E154*'Reference Curves'!$N$4+'Reference Curves'!$N$5,2))),  IF(G124="CS-II",IF(E154&gt;=19.1,0,IF(E154&lt;=16.6,1,ROUND(E154*'Reference Curves'!$O$4+'Reference Curves'!$O$5,2))),  IF(G124="WS-I",IF(E154&gt;=25.7,0,IF(E154&lt;=20.9,1,ROUND(E154*'Reference Curves'!$P$4+'Reference Curves'!$P$5,2))),  IF(G124="WS-II",IF(E154&gt;=29.7,0,IF(E154&lt;=22.5,1,ROUND(E154*'Reference Curves'!$Q$4+'Reference Curves'!$Q$5,2))), IF(G124="WS-III",IF(E154&gt;=30,0,IF(E154&lt;=25.9,1,ROUND(E154*'Reference Curves'!$R$4+'Reference Curves'!$R$5,2)))    ))))))))</f>
        <v/>
      </c>
      <c r="G154" s="424"/>
      <c r="H154" s="423"/>
      <c r="I154" s="430"/>
      <c r="J154" s="442">
        <f>IF(AND(H132="",H139="",H153="",H157=""),"",ROUND((IF(H132="",0,H132)*0.3)+(IF(H139="",0,H139)*0.3)+(IF(H153="",0,H153)*0.2)+(IF(H157="",0,H157)*0.2),2))</f>
        <v>0.32</v>
      </c>
      <c r="K154" s="10"/>
      <c r="N154" s="9"/>
    </row>
    <row r="155" spans="1:14" s="5" customFormat="1" ht="15.75" x14ac:dyDescent="0.5">
      <c r="A155" s="436"/>
      <c r="B155" s="192" t="s">
        <v>140</v>
      </c>
      <c r="C155" s="142" t="s">
        <v>195</v>
      </c>
      <c r="D155" s="156"/>
      <c r="E155" s="54"/>
      <c r="F155" s="216" t="str">
        <f>IF(E155="","",ROUND( IF(E155&lt;=6,0, IF(E155&gt;=10.31,1,E155*'Reference Curves'!$M$8+'Reference Curves'!$M$9)),2))</f>
        <v/>
      </c>
      <c r="G155" s="163" t="str">
        <f>IFERROR(AVERAGE(F155),"")</f>
        <v/>
      </c>
      <c r="H155" s="423"/>
      <c r="I155" s="430"/>
      <c r="J155" s="443"/>
      <c r="K155" s="10"/>
      <c r="N155" s="9"/>
    </row>
    <row r="156" spans="1:14" s="5" customFormat="1" ht="15.75" x14ac:dyDescent="0.5">
      <c r="A156" s="436"/>
      <c r="B156" s="192" t="s">
        <v>196</v>
      </c>
      <c r="C156" s="143" t="s">
        <v>357</v>
      </c>
      <c r="D156" s="157"/>
      <c r="E156" s="54"/>
      <c r="F156" s="216" t="str">
        <f>IF(E156="","",IF(OR(G125=3),IF(E156&gt;=150,0,IF(E156&lt;=16,1,ROUND('Reference Curves'!$M$13*LN(E156)+'Reference Curves'!$M$14,2))), IF(OR(G125=1,G125=2),  IF(E156&gt;=97,0,IF(E156&lt;=12,1,ROUND('Reference Curves'!$N$13*LN(E156)+'Reference Curves'!$N$14,2))))))</f>
        <v/>
      </c>
      <c r="G156" s="163" t="str">
        <f>IFERROR(AVERAGE(F156),"")</f>
        <v/>
      </c>
      <c r="H156" s="424"/>
      <c r="I156" s="430"/>
      <c r="J156" s="443"/>
      <c r="K156" s="10"/>
      <c r="N156" s="9"/>
    </row>
    <row r="157" spans="1:14" s="5" customFormat="1" ht="15.75" x14ac:dyDescent="0.5">
      <c r="A157" s="435" t="s">
        <v>48</v>
      </c>
      <c r="B157" s="191" t="s">
        <v>93</v>
      </c>
      <c r="C157" s="145" t="s">
        <v>197</v>
      </c>
      <c r="D157" s="28"/>
      <c r="E157" s="54"/>
      <c r="F157" s="217" t="str">
        <f>IF(E157="","",IF(G125="","Enter Biotype",IF(G125=1,IF(E157&lt;=0,0,IF(E157&gt;=57,1,ROUND(IF(E157&lt;=34,'Reference Curves'!$T$5*E157+'Reference Curves'!$T$6,  IF(E157&lt;=45, 'Reference Curves'!$U$5*E157+'Reference Curves'!$U$6,  'Reference Curves'!$V$5*E157+'Reference Curves'!$V$6)),2))),   IF(G125=2,IF(E157&lt;=0,0,IF(E157&gt;=63,1,ROUND(IF(E157&lt;=40,'Reference Curves'!$W$5*E157+'Reference Curves'!$W$6,  IF(E157&lt;=48,'Reference Curves'!$X$5*E157+'Reference Curves'!$X$6,  'Reference Curves'!$Y$5*E157+'Reference Curves'!$Y$6)),2))),   IF(OR(G125=3),IF(E157&lt;=0,0,IF(E157&gt;=52,1,ROUND(IF(E157&lt;=29,'Reference Curves'!$Z$5*E157+'Reference Curves'!$Z$6, IF(E157&lt;=42, 'Reference Curves'!$AA$5*E157+'Reference Curves'!$AA$6,  'Reference Curves'!$AB$5*E157+'Reference Curves'!$AB$6)),2))))))))</f>
        <v/>
      </c>
      <c r="G157" s="164" t="str">
        <f>IFERROR(AVERAGE(F157),"")</f>
        <v/>
      </c>
      <c r="H157" s="420">
        <f>IF(OR(G157&lt;&gt;"",G158&lt;&gt;""),ROUND(AVERAGE(G157:G160),2),IF(B128="Yes",1,0.8))</f>
        <v>0.8</v>
      </c>
      <c r="I157" s="430" t="str">
        <f>IF(H157="","",IF(H157&gt;0.69,"Functioning",IF(H157&gt;0.29,"Functioning At Risk",IF(H157&gt;-1,"Not Functioning"))))</f>
        <v>Functioning</v>
      </c>
      <c r="J157" s="443"/>
      <c r="K157" s="10"/>
      <c r="N157" s="9"/>
    </row>
    <row r="158" spans="1:14" s="5" customFormat="1" ht="15.75" x14ac:dyDescent="0.5">
      <c r="A158" s="435"/>
      <c r="B158" s="398" t="s">
        <v>51</v>
      </c>
      <c r="C158" s="146" t="s">
        <v>198</v>
      </c>
      <c r="D158" s="28"/>
      <c r="E158" s="30"/>
      <c r="F158" s="164" t="str">
        <f>IF(E158="","",IF(E158&lt;=0,0,IF(E158&gt;=100,1,ROUND(IF(E158&lt;80,E158*'Reference Curves'!$T$10+'Reference Curves'!$T$11,E158*'Reference Curves'!$U$10+'Reference Curves'!$U$11),2))))</f>
        <v/>
      </c>
      <c r="G158" s="427" t="str">
        <f>IFERROR(AVERAGE(F158:F160),"")</f>
        <v/>
      </c>
      <c r="H158" s="420"/>
      <c r="I158" s="430"/>
      <c r="J158" s="443"/>
      <c r="K158" s="10"/>
      <c r="N158" s="9"/>
    </row>
    <row r="159" spans="1:14" s="5" customFormat="1" ht="15.75" x14ac:dyDescent="0.5">
      <c r="A159" s="435"/>
      <c r="B159" s="398"/>
      <c r="C159" s="147" t="s">
        <v>199</v>
      </c>
      <c r="D159" s="159"/>
      <c r="E159" s="34"/>
      <c r="F159" s="164" t="str">
        <f>IF(E159="","",ROUND(IF(E159&gt;=3,0,IF(E159&gt;=2,0.3,IF(E159&gt;=1,0.69,1))),2))</f>
        <v/>
      </c>
      <c r="G159" s="428"/>
      <c r="H159" s="420"/>
      <c r="I159" s="430"/>
      <c r="J159" s="443"/>
      <c r="K159" s="10"/>
      <c r="N159" s="9"/>
    </row>
    <row r="160" spans="1:14" s="5" customFormat="1" ht="15.75" x14ac:dyDescent="0.5">
      <c r="A160" s="435"/>
      <c r="B160" s="398"/>
      <c r="C160" s="148" t="s">
        <v>200</v>
      </c>
      <c r="D160" s="161"/>
      <c r="E160" s="35"/>
      <c r="F160" s="218" t="str">
        <f>IF(E160="","",IF(G128="","Enter Stream Producitvity Rating",IF(G128="High",IF(E160&lt;5,0,IF(E160&gt;=40,1,ROUND(E160*'Reference Curves'!$T$15+'Reference Curves'!$T$16,2))),IF(G128="Moderate",IF(E160&lt;10,0,IF(E160&gt;=80,1,ROUND(E160*'Reference Curves'!$U$15+'Reference Curves'!$U$16,2))),IF(G128="Low",IF(E160&lt;15,0,IF(E160&gt;=119,1,ROUND(E160*'Reference Curves'!$V$15+'Reference Curves'!$V$16,2)))   )))))</f>
        <v/>
      </c>
      <c r="G160" s="429"/>
      <c r="H160" s="420"/>
      <c r="I160" s="430"/>
      <c r="J160" s="444"/>
      <c r="K160" s="10"/>
      <c r="N160" s="9"/>
    </row>
    <row r="161" spans="1:14" s="5" customFormat="1" x14ac:dyDescent="0.45">
      <c r="I161" s="55"/>
      <c r="J161" s="4"/>
      <c r="K161" s="10"/>
    </row>
    <row r="162" spans="1:14" s="5" customFormat="1" x14ac:dyDescent="0.45">
      <c r="I162" s="55"/>
      <c r="K162" s="10"/>
    </row>
    <row r="163" spans="1:14" s="5" customFormat="1" ht="21" customHeight="1" x14ac:dyDescent="0.45">
      <c r="A163" s="408" t="s">
        <v>349</v>
      </c>
      <c r="B163" s="409"/>
      <c r="C163" s="409"/>
      <c r="D163" s="409"/>
      <c r="E163" s="409"/>
      <c r="F163" s="409"/>
      <c r="G163" s="409"/>
      <c r="H163" s="409"/>
      <c r="I163" s="409"/>
      <c r="J163" s="410"/>
    </row>
    <row r="164" spans="1:14" s="5" customFormat="1" ht="16.149999999999999" customHeight="1" x14ac:dyDescent="0.45">
      <c r="A164" s="184" t="str">
        <f>A4</f>
        <v>Reach ID:</v>
      </c>
      <c r="B164" s="224">
        <f>'Project Assessment'!A14</f>
        <v>0</v>
      </c>
      <c r="C164" s="200" t="str">
        <f>C4</f>
        <v>Stream Slope (%):</v>
      </c>
      <c r="D164" s="290"/>
      <c r="E164" s="402" t="str">
        <f>E4</f>
        <v>Stream Temperature:</v>
      </c>
      <c r="F164" s="403"/>
      <c r="G164" s="187"/>
      <c r="H164" s="406" t="str">
        <f>H4</f>
        <v>Upstream Latitude:</v>
      </c>
      <c r="I164" s="407"/>
      <c r="J164" s="185"/>
    </row>
    <row r="165" spans="1:14" s="5" customFormat="1" ht="16.149999999999999" customHeight="1" x14ac:dyDescent="0.45">
      <c r="A165" s="184" t="str">
        <f t="shared" ref="A165:A168" si="12">A5</f>
        <v>Reference Stream Type:</v>
      </c>
      <c r="B165" s="187"/>
      <c r="C165" s="276" t="str">
        <f t="shared" ref="C165:C168" si="13">C5</f>
        <v>Proposed Bankfull Width (ft):</v>
      </c>
      <c r="D165" s="185"/>
      <c r="E165" s="402" t="str">
        <f t="shared" ref="E165:E168" si="14">E5</f>
        <v>Biotype:</v>
      </c>
      <c r="F165" s="403"/>
      <c r="G165" s="187"/>
      <c r="H165" s="406" t="str">
        <f t="shared" ref="H165:H167" si="15">H5</f>
        <v>Upstream Longitude:</v>
      </c>
      <c r="I165" s="407"/>
      <c r="J165" s="185"/>
    </row>
    <row r="166" spans="1:14" s="5" customFormat="1" ht="16.149999999999999" customHeight="1" x14ac:dyDescent="0.65">
      <c r="A166" s="184" t="str">
        <f t="shared" si="12"/>
        <v>Flow Permanence:</v>
      </c>
      <c r="B166" s="224">
        <f>'Project Assessment'!B14</f>
        <v>0</v>
      </c>
      <c r="C166" s="276" t="str">
        <f t="shared" si="13"/>
        <v>Valley Type:</v>
      </c>
      <c r="D166" s="187"/>
      <c r="E166" s="402" t="str">
        <f t="shared" si="14"/>
        <v>Ecoregion:</v>
      </c>
      <c r="F166" s="403"/>
      <c r="G166" s="187"/>
      <c r="H166" s="406" t="str">
        <f t="shared" si="15"/>
        <v>Downstream Latitude:</v>
      </c>
      <c r="I166" s="407"/>
      <c r="J166" s="185"/>
      <c r="K166" s="26"/>
    </row>
    <row r="167" spans="1:14" s="5" customFormat="1" ht="16.149999999999999" customHeight="1" x14ac:dyDescent="0.5">
      <c r="A167" s="184" t="str">
        <f t="shared" si="12"/>
        <v>Strahler Stream Order:</v>
      </c>
      <c r="B167" s="224">
        <f>'Project Assessment'!C14</f>
        <v>0</v>
      </c>
      <c r="C167" s="276" t="str">
        <f t="shared" si="13"/>
        <v>Reference Vegetation Cover:</v>
      </c>
      <c r="D167" s="187"/>
      <c r="E167" s="402" t="str">
        <f t="shared" si="14"/>
        <v>River Basin:</v>
      </c>
      <c r="F167" s="403"/>
      <c r="G167" s="187"/>
      <c r="H167" s="406" t="str">
        <f t="shared" si="15"/>
        <v>Downstream Longitude:</v>
      </c>
      <c r="I167" s="407"/>
      <c r="J167" s="185"/>
      <c r="K167" s="39"/>
    </row>
    <row r="168" spans="1:14" s="5" customFormat="1" ht="18" customHeight="1" x14ac:dyDescent="0.5">
      <c r="A168" s="184" t="str">
        <f t="shared" si="12"/>
        <v>Outstanding Water:</v>
      </c>
      <c r="B168" s="224">
        <f>'Project Assessment'!E14</f>
        <v>0</v>
      </c>
      <c r="C168" s="276" t="str">
        <f t="shared" si="13"/>
        <v>Sediment Regime:</v>
      </c>
      <c r="D168" s="263"/>
      <c r="E168" s="402" t="str">
        <f t="shared" si="14"/>
        <v>Stream Productivity Class:</v>
      </c>
      <c r="F168" s="403"/>
      <c r="G168" s="187"/>
      <c r="H168" s="201"/>
      <c r="I168" s="201"/>
      <c r="J168" s="201"/>
      <c r="K168" s="39"/>
    </row>
    <row r="169" spans="1:14" s="5" customFormat="1" ht="4.5" customHeight="1" x14ac:dyDescent="0.5">
      <c r="B169" s="58"/>
      <c r="C169" s="58"/>
      <c r="D169" s="58"/>
      <c r="E169" s="58"/>
      <c r="F169" s="58"/>
      <c r="G169" s="58"/>
      <c r="H169" s="58"/>
      <c r="I169" s="56"/>
      <c r="J169" s="10"/>
      <c r="K169" s="39"/>
    </row>
    <row r="170" spans="1:14" s="5" customFormat="1" ht="19.899999999999999" customHeight="1" x14ac:dyDescent="0.65">
      <c r="A170" s="431" t="str">
        <f>_xlfn.CONCAT("EXISTING CONDITION ASSESSMENT for Reach ",B164)</f>
        <v>EXISTING CONDITION ASSESSMENT for Reach 0</v>
      </c>
      <c r="B170" s="431"/>
      <c r="C170" s="431"/>
      <c r="D170" s="431"/>
      <c r="E170" s="431"/>
      <c r="F170" s="431"/>
      <c r="G170" s="431" t="s">
        <v>13</v>
      </c>
      <c r="H170" s="431"/>
      <c r="I170" s="431"/>
      <c r="J170" s="431"/>
      <c r="K170" s="10"/>
    </row>
    <row r="171" spans="1:14" s="5" customFormat="1" ht="15.75" x14ac:dyDescent="0.5">
      <c r="A171" s="32" t="s">
        <v>1</v>
      </c>
      <c r="B171" s="32" t="s">
        <v>2</v>
      </c>
      <c r="C171" s="432" t="s">
        <v>3</v>
      </c>
      <c r="D171" s="433"/>
      <c r="E171" s="32" t="s">
        <v>11</v>
      </c>
      <c r="F171" s="31" t="s">
        <v>12</v>
      </c>
      <c r="G171" s="32" t="s">
        <v>14</v>
      </c>
      <c r="H171" s="32" t="s">
        <v>15</v>
      </c>
      <c r="I171" s="57" t="s">
        <v>15</v>
      </c>
      <c r="J171" s="32" t="s">
        <v>98</v>
      </c>
      <c r="K171" s="10"/>
    </row>
    <row r="172" spans="1:14" s="5" customFormat="1" ht="15.75" x14ac:dyDescent="0.5">
      <c r="A172" s="434" t="s">
        <v>173</v>
      </c>
      <c r="B172" s="437" t="s">
        <v>71</v>
      </c>
      <c r="C172" s="132" t="s">
        <v>138</v>
      </c>
      <c r="D172" s="149"/>
      <c r="E172" s="30"/>
      <c r="F172" s="202" t="str">
        <f>IF(E172="","",IF(E172&gt;78,0,IF(E172&lt;=55,1,ROUND(E172*'Reference Curves'!$B$3+'Reference Curves'!$B$4,2))))</f>
        <v/>
      </c>
      <c r="G172" s="411" t="str">
        <f>IFERROR(AVERAGE(F172:F173),"")</f>
        <v/>
      </c>
      <c r="H172" s="411" t="str">
        <f>IFERROR(ROUND(AVERAGE(G172:G178),2),"")</f>
        <v/>
      </c>
      <c r="I172" s="438" t="str">
        <f>IF(H172="","",IF(H172:H178&gt;0.69,"Functioning",IF(H172&gt;0.29,"Functioning At Risk",IF(H172&gt;-1,"Not Functioning"))))</f>
        <v/>
      </c>
      <c r="J172" s="219" t="s">
        <v>339</v>
      </c>
      <c r="K172" s="10"/>
    </row>
    <row r="173" spans="1:14" s="5" customFormat="1" ht="15.75" x14ac:dyDescent="0.5">
      <c r="A173" s="434"/>
      <c r="B173" s="437"/>
      <c r="C173" s="133" t="s">
        <v>184</v>
      </c>
      <c r="D173" s="150"/>
      <c r="E173" s="35"/>
      <c r="F173" s="203" t="str">
        <f>IF(E173="","",   IF(E173&gt;3.2,0, IF(E173&lt;0, "", ROUND('Reference Curves'!$B$8*E173+'Reference Curves'!$B$9,2))))</f>
        <v/>
      </c>
      <c r="G173" s="412"/>
      <c r="H173" s="412"/>
      <c r="I173" s="439"/>
      <c r="J173" s="442" t="str">
        <f>IF(AND(H172="",H179=""),"",ROUND((IF(H172="",0,H172)*0.3)+(IF(H179="",0,H179)*0.3),2))</f>
        <v/>
      </c>
      <c r="K173" s="10"/>
    </row>
    <row r="174" spans="1:14" s="5" customFormat="1" ht="15.75" x14ac:dyDescent="0.5">
      <c r="A174" s="434"/>
      <c r="B174" s="400" t="s">
        <v>185</v>
      </c>
      <c r="C174" s="134" t="s">
        <v>186</v>
      </c>
      <c r="D174" s="149"/>
      <c r="E174" s="34"/>
      <c r="F174" s="204" t="s">
        <v>285</v>
      </c>
      <c r="G174" s="411" t="str">
        <f>IFERROR(IF(AND(ISNUMBER(E174),E174&lt;1),0,AVERAGE(F174:F175)),"")</f>
        <v/>
      </c>
      <c r="H174" s="412"/>
      <c r="I174" s="439"/>
      <c r="J174" s="443"/>
      <c r="K174" s="10"/>
    </row>
    <row r="175" spans="1:14" s="5" customFormat="1" ht="15.75" x14ac:dyDescent="0.5">
      <c r="A175" s="434"/>
      <c r="B175" s="401"/>
      <c r="C175" s="151" t="s">
        <v>187</v>
      </c>
      <c r="D175" s="152"/>
      <c r="E175" s="34"/>
      <c r="F175" s="205" t="str">
        <f>IF(E175="","",IF(G164= "CS-II", ROUND(IF(E175&lt;=0.6,0, IF(E175&gt;=2.3,1,E175*'Reference Curves'!$D$14+'Reference Curves'!$D$15)),2),IF(AND(D165&lt;20,LEFT(G164,2)="CS"), ROUND(IF(E175&lt;=0.2,0, IF(E175&gt;=1,1,E175*'Reference Curves'!$B$14+'Reference Curves'!$B$15)),2), IF(AND(D165&gt;=20,LEFT(G164,2)= "CS"), ROUND(IF(E175&lt;=0.4,0, IF(E175&gt;=1.5,1,E175*'Reference Curves'!$C$14+'Reference Curves'!$C$15)),2),"FALSE"))))</f>
        <v/>
      </c>
      <c r="G175" s="413"/>
      <c r="H175" s="412"/>
      <c r="I175" s="439"/>
      <c r="J175" s="443"/>
      <c r="K175" s="10"/>
    </row>
    <row r="176" spans="1:14" s="5" customFormat="1" ht="15.75" x14ac:dyDescent="0.5">
      <c r="A176" s="434"/>
      <c r="B176" s="437" t="s">
        <v>4</v>
      </c>
      <c r="C176" s="133" t="s">
        <v>5</v>
      </c>
      <c r="D176" s="14"/>
      <c r="E176" s="30"/>
      <c r="F176" s="206" t="str">
        <f>IF( E176="","",
IF( E176&gt;1.71,0, IF( E176&gt;1, ROUND(E176*'Reference Curves'!C$20+'Reference Curves'!C$21,2),
IF( D168="Transport", ROUND(IF( E176&lt;0.35,0, E176*'Reference Curves'!$B$20+'Reference Curves'!$B$21 ),2), 1 ))))</f>
        <v/>
      </c>
      <c r="G176" s="411" t="str">
        <f>IFERROR(AVERAGE(F176:F178),"")</f>
        <v/>
      </c>
      <c r="H176" s="412"/>
      <c r="I176" s="439"/>
      <c r="J176" s="443"/>
      <c r="K176" s="10"/>
      <c r="N176" s="9"/>
    </row>
    <row r="177" spans="1:14" s="5" customFormat="1" ht="15.75" x14ac:dyDescent="0.5">
      <c r="A177" s="434"/>
      <c r="B177" s="437"/>
      <c r="C177" s="133" t="s">
        <v>6</v>
      </c>
      <c r="D177" s="14"/>
      <c r="E177" s="34"/>
      <c r="F177" s="205" t="str">
        <f>IF(E177="","",IF(OR(LEFT(B165,1)="A",LEFT(B165,1)="B"),IF(E177&lt;1.05,0,IF(E177&gt;=2.2,1,ROUND(IF(E177&lt;1.4,E177*'Reference Curves'!$B$40+'Reference Curves'!$B$41,E177*'Reference Curves'!$C$40+'Reference Curves'!$C$41),2))), IF(B165="C",IF(E177&lt;1.7,0,IF(E177&gt;=4.2,1,ROUND(IF(E177&lt;2.4,E177*'Reference Curves'!$C$25+'Reference Curves'!$C$26,E177*'Reference Curves'!$B$25+'Reference Curves'!$B$26),2))),                                                                                                                                                                                                                    IF(B165="Cb",IF(E177&lt;1.7,0,IF(E177&gt;=3.9,1,ROUND(IF(E177&lt;2.4,E177*'Reference Curves'!$C$30+'Reference Curves'!$C$31,E177*'Reference Curves'!$B$30+'Reference Curves'!$B$31),2))),
IF(LEFT(B165,1)="E",IF(E177&lt;1.7,0,IF(E177&gt;=6.7,1,ROUND(IF(E177&lt;2.4,E177*'Reference Curves'!$C$35+'Reference Curves'!$C$36,E177*'Reference Curves'!$B$35+'Reference Curves'!$B$36),2))))))))</f>
        <v/>
      </c>
      <c r="G177" s="412"/>
      <c r="H177" s="412"/>
      <c r="I177" s="439"/>
      <c r="J177" s="443"/>
      <c r="K177" s="10"/>
      <c r="N177" s="9"/>
    </row>
    <row r="178" spans="1:14" s="5" customFormat="1" ht="15.75" customHeight="1" x14ac:dyDescent="0.5">
      <c r="A178" s="434"/>
      <c r="B178" s="437"/>
      <c r="C178" s="135" t="s">
        <v>188</v>
      </c>
      <c r="D178" s="14"/>
      <c r="E178" s="35"/>
      <c r="F178" s="207" t="str">
        <f>IF(E178="","",IF(D166="Unconfined Alluvial",IF(E178&lt;=0,0, IF(E178&gt;=100,1, ROUND(IF(E178&lt;10,E178*'Reference Curves'!$B$46+'Reference Curves'!$B$47, IF(E178&lt;50,E178*'Reference Curves'!$C$46+'Reference Curves'!$C$47,E178*'Reference Curves'!$D$46+'Reference Curves'!$D$47)),2))), IF(D166="Confined Alluvial",IF(E178&lt;=0,0,IF(E178&gt;=50,1,ROUND(IF(E178&lt;5,E178*'Reference Curves'!$E$46+'Reference Curves'!$E$47,IF(E178&lt;25,E178*'Reference Curves'!$F$46+'Reference Curves'!$F$47,E178*'Reference Curves'!$G$46+'Reference Curves'!$G$47)),2))))))</f>
        <v/>
      </c>
      <c r="G178" s="413"/>
      <c r="H178" s="413"/>
      <c r="I178" s="440"/>
      <c r="J178" s="443"/>
      <c r="K178" s="10"/>
      <c r="N178" s="9"/>
    </row>
    <row r="179" spans="1:14" s="5" customFormat="1" ht="15.6" customHeight="1" x14ac:dyDescent="0.5">
      <c r="A179" s="399" t="s">
        <v>20</v>
      </c>
      <c r="B179" s="399" t="s">
        <v>21</v>
      </c>
      <c r="C179" s="16" t="s">
        <v>19</v>
      </c>
      <c r="D179" s="46"/>
      <c r="E179" s="30"/>
      <c r="F179" s="208" t="str">
        <f>IF(E179="","",IF(E179&gt;=660,1,IF(E179&lt;=430,ROUND('Reference Curves'!$I$4*E179+'Reference Curves'!$I$5,2),ROUND('Reference Curves'!$J$4*E179+'Reference Curves'!$J$5,2))))</f>
        <v/>
      </c>
      <c r="G179" s="414" t="str">
        <f>IFERROR(AVERAGE(F179:F180),"")</f>
        <v/>
      </c>
      <c r="H179" s="414" t="str">
        <f>IFERROR(ROUND(AVERAGE(G179:G192),2),"")</f>
        <v/>
      </c>
      <c r="I179" s="417" t="str">
        <f>IF(H179="","",IF(H179&gt;0.69,"Functioning",IF(H179&gt;0.29,"Functioning At Risk",IF(H179&gt;-1,"Not Functioning"))))</f>
        <v/>
      </c>
      <c r="J179" s="443"/>
      <c r="K179" s="10"/>
      <c r="N179" s="9"/>
    </row>
    <row r="180" spans="1:14" s="5" customFormat="1" ht="15.75" x14ac:dyDescent="0.5">
      <c r="A180" s="399"/>
      <c r="B180" s="399"/>
      <c r="C180" s="18" t="s">
        <v>189</v>
      </c>
      <c r="D180" s="47"/>
      <c r="E180" s="35"/>
      <c r="F180" s="209" t="str">
        <f>IF(E180="","",IF(E180&gt;=28,1,ROUND(IF(E180&lt;=13,'Reference Curves'!$I$9*E180,'Reference Curves'!$J$9*E180+'Reference Curves'!$J$10),2)))</f>
        <v/>
      </c>
      <c r="G180" s="416"/>
      <c r="H180" s="415"/>
      <c r="I180" s="418"/>
      <c r="J180" s="443"/>
      <c r="K180" s="10"/>
      <c r="N180" s="9"/>
    </row>
    <row r="181" spans="1:14" s="5" customFormat="1" ht="15.75" x14ac:dyDescent="0.5">
      <c r="A181" s="399"/>
      <c r="B181" s="399" t="s">
        <v>114</v>
      </c>
      <c r="C181" s="16" t="s">
        <v>190</v>
      </c>
      <c r="D181" s="46"/>
      <c r="E181" s="78"/>
      <c r="F181" s="208" t="str">
        <f>IF(E181="","",ROUND(IF(E181&lt;=2,0,IF(E181&gt;=9,1, IF(E181&gt;=5,E181^2*'Reference Curves'!$I$14+E181*'Reference Curves'!$I$15+'Reference Curves'!$I$16, E181*'Reference Curves'!$J$15+'Reference Curves'!$J$16))),2))</f>
        <v/>
      </c>
      <c r="G181" s="414" t="str">
        <f>IFERROR(IF(E184&gt;=50,0,AVERAGE(F181:F184)),"")</f>
        <v/>
      </c>
      <c r="H181" s="415"/>
      <c r="I181" s="418"/>
      <c r="J181" s="443"/>
      <c r="K181" s="10"/>
      <c r="N181" s="9"/>
    </row>
    <row r="182" spans="1:14" s="5" customFormat="1" ht="15.75" x14ac:dyDescent="0.5">
      <c r="A182" s="399"/>
      <c r="B182" s="399"/>
      <c r="C182" s="18" t="s">
        <v>42</v>
      </c>
      <c r="D182" s="67"/>
      <c r="E182" s="78"/>
      <c r="F182" s="210" t="str">
        <f>IF(E182="","",IF(OR(E182="Ex/Ex",E182="Ex/VH",E182="Ex/H",E182="Ex/M",E182="VH/Ex",E182="VH/VH", E182="H/Ex",E182="H/VH"),0, IF(OR(E182="M/Ex"),0.1,IF(OR(E182="VH/H",E182="VH/M",E182="H/H",E182="H/M", E182="M/VH"),0.2, IF(OR(E182="Ex/VL",E182="Ex/L", E182="M/H"),0.3, IF(OR(E182="VH/L",E182="H/L"),0.4, IF(OR(E182="VH/VL",E182="H/VL",E182="M/M"),0.5, IF(OR(E182="M/L",E182="L/Ex"),0.6, IF(OR(E182="M/VL",E182="L/VH", E182="L/H",E182="L/M",E182="L/L",E182="L/VL", LEFT(E182,2)="VL"),1)))))))))</f>
        <v/>
      </c>
      <c r="G182" s="415"/>
      <c r="H182" s="415"/>
      <c r="I182" s="418"/>
      <c r="J182" s="443"/>
      <c r="K182" s="10"/>
      <c r="N182" s="9"/>
    </row>
    <row r="183" spans="1:14" s="5" customFormat="1" ht="15.75" x14ac:dyDescent="0.5">
      <c r="A183" s="399"/>
      <c r="B183" s="399"/>
      <c r="C183" s="136" t="s">
        <v>54</v>
      </c>
      <c r="D183" s="67"/>
      <c r="E183" s="78"/>
      <c r="F183" s="210" t="str">
        <f>IF(E183="","",ROUND(IF(E183&gt;=75,0,IF(E183&lt;=5,1,IF(E183&gt;10,E183*'Reference Curves'!I$20+'Reference Curves'!I$21,'Reference Curves'!$J$20*E183+'Reference Curves'!$J$21))),2))</f>
        <v/>
      </c>
      <c r="G183" s="421"/>
      <c r="H183" s="415"/>
      <c r="I183" s="418"/>
      <c r="J183" s="443"/>
      <c r="K183" s="10"/>
      <c r="N183" s="9"/>
    </row>
    <row r="184" spans="1:14" s="5" customFormat="1" ht="15.75" x14ac:dyDescent="0.5">
      <c r="A184" s="399"/>
      <c r="B184" s="399"/>
      <c r="C184" s="137" t="s">
        <v>113</v>
      </c>
      <c r="D184" s="154"/>
      <c r="E184" s="153"/>
      <c r="F184" s="211" t="str">
        <f>IF(E184="","",IF(E184&gt;=30,0,ROUND(E184*'Reference Curves'!$I$24+'Reference Curves'!$I$25,2)))</f>
        <v/>
      </c>
      <c r="G184" s="416"/>
      <c r="H184" s="415"/>
      <c r="I184" s="418"/>
      <c r="J184" s="443"/>
      <c r="K184" s="10"/>
      <c r="N184" s="9"/>
    </row>
    <row r="185" spans="1:14" s="5" customFormat="1" ht="15.75" x14ac:dyDescent="0.5">
      <c r="A185" s="399"/>
      <c r="B185" s="399" t="s">
        <v>44</v>
      </c>
      <c r="C185" s="16" t="s">
        <v>45</v>
      </c>
      <c r="D185" s="20"/>
      <c r="E185" s="37"/>
      <c r="F185" s="212" t="str">
        <f>IF(E185="","",IF(B165="Bc",IF(OR(E185&gt;=12,E185&lt;=0.1),0,IF(E185&lt;=3.4,1,ROUND('Reference Curves'!$I$33*E185+'Reference Curves'!$I$34,2))),
IF(OR(B165="B",B165="Ba"),IF(OR(E185&gt;=7.5,E185&lt;=0.1),0,IF(E185&lt;=3,1,ROUND(IF(E185&gt;4,'Reference Curves'!$I$29*E185+'Reference Curves'!$I$30,'Reference Curves'!$J$29*E185+'Reference Curves'!$J$30),2))),
IF(B165="Cb",IF(OR(E185&gt;=8.35,E185&lt;1.4),0,IF(AND(E185&gt;=3.7,E185&lt;=5),1,ROUND(IF(E185&lt;3.7,'Reference Curves'!$I$49*E185+'Reference Curves'!$I$50,'Reference Curves'!$J$49*E185+'Reference Curves'!$J$50),2))),
IF(B165="C",IF(OR(E185&gt;=9.3,E185&lt;=3),0,IF(AND(E185&gt;=4,E185&lt;=6),1,ROUND(IF(E185&lt;4,'Reference Curves'!$I$44*E185+'Reference Curves'!$I$45,'Reference Curves'!$J$44*E185+'Reference Curves'!$J$45),2))),
IF(B165="E",IF(OR(E185&gt;=8.3,E185&lt;1.85),0,IF(AND(E185&gt;=3.5,E185&lt;=5),1,ROUND(IF(E185&lt;3.5,'Reference Curves'!$I$38*E185+'Reference Curves'!$I$39,'Reference Curves'!$J$38*E185+'Reference Curves'!$J$39),2)))      ))))))</f>
        <v/>
      </c>
      <c r="G185" s="425" t="str">
        <f>IFERROR(AVERAGE(F185:F188),"")</f>
        <v/>
      </c>
      <c r="H185" s="415"/>
      <c r="I185" s="418"/>
      <c r="J185" s="443"/>
      <c r="K185" s="10"/>
      <c r="N185" s="9"/>
    </row>
    <row r="186" spans="1:14" s="5" customFormat="1" ht="15.75" x14ac:dyDescent="0.5">
      <c r="A186" s="399"/>
      <c r="B186" s="399"/>
      <c r="C186" s="18" t="s">
        <v>46</v>
      </c>
      <c r="D186" s="15"/>
      <c r="E186" s="36"/>
      <c r="F186" s="213" t="str">
        <f>IF(E186="","",IF(E186&lt;=1,0,IF(E186&gt;=3.2,1,IF(E186&gt;=2.2,ROUND('Reference Curves'!$J$54*E186+'Reference Curves'!$J$55,2),(ROUND('Reference Curves'!$I$54*E186+'Reference Curves'!$I$55,2))))))</f>
        <v/>
      </c>
      <c r="G186" s="421"/>
      <c r="H186" s="415"/>
      <c r="I186" s="418"/>
      <c r="J186" s="443"/>
      <c r="K186" s="10"/>
      <c r="N186" s="9"/>
    </row>
    <row r="187" spans="1:14" s="5" customFormat="1" ht="15.75" customHeight="1" x14ac:dyDescent="0.5">
      <c r="A187" s="399"/>
      <c r="B187" s="399"/>
      <c r="C187" s="18" t="s">
        <v>92</v>
      </c>
      <c r="D187" s="15"/>
      <c r="E187" s="36"/>
      <c r="F187" s="283" t="str">
        <f>IF(E187="","", IF(D164="","FALSE",IF(D164&lt;3,IF( OR(E187&gt;=91,E187&lt;=13.5),0, IF(AND(E187&gt;49,E187&lt;61), 1, ROUND(IF(E187&lt;50,'Reference Curves'!$I$60*E187+'Reference Curves'!$I$61, IF(E187&gt;60,'Reference Curves'!$J$60*E187+'Reference Curves'!$J$61)),2))), IF(D164&gt;=3,IF(OR(E187&gt;94.5,E187&lt;41.5),0, IF(AND(E187 &gt;=68, E187&lt;=78),1, ROUND(IF(E187&lt;68,'Reference Curves'!$I$65*E187+'Reference Curves'!$I$66,'Reference Curves'!$J$65*E187+'Reference Curves'!$J$66),2) ))))))</f>
        <v/>
      </c>
      <c r="G187" s="421"/>
      <c r="H187" s="415"/>
      <c r="I187" s="418"/>
      <c r="J187" s="443"/>
      <c r="K187" s="10"/>
      <c r="N187" s="9"/>
    </row>
    <row r="188" spans="1:14" s="5" customFormat="1" ht="15.75" x14ac:dyDescent="0.5">
      <c r="A188" s="399"/>
      <c r="B188" s="399"/>
      <c r="C188" s="19" t="s">
        <v>79</v>
      </c>
      <c r="D188" s="15"/>
      <c r="E188" s="38"/>
      <c r="F188" s="284" t="str">
        <f>IF(E188="","",IF(E188&gt;=1.6,0,IF(E188&lt;=1,1,ROUND('Reference Curves'!$I$74*E188^3+'Reference Curves'!$I$75*E188^2+'Reference Curves'!$I$76*E188+'Reference Curves'!$I$77,2))))</f>
        <v/>
      </c>
      <c r="G188" s="426"/>
      <c r="H188" s="415"/>
      <c r="I188" s="418"/>
      <c r="J188" s="443"/>
      <c r="K188" s="10"/>
      <c r="N188" s="9"/>
    </row>
    <row r="189" spans="1:14" s="5" customFormat="1" ht="15.75" x14ac:dyDescent="0.5">
      <c r="A189" s="399"/>
      <c r="B189" s="399" t="s">
        <v>43</v>
      </c>
      <c r="C189" s="18" t="s">
        <v>201</v>
      </c>
      <c r="D189" s="46"/>
      <c r="E189" s="17"/>
      <c r="F189" s="214" t="str">
        <f>IF( E189="","",
IF( D166="Unconfined Alluvial", IF( E189&gt;=100,1,
ROUND('Reference Curves'!$I$82*E189+'Reference Curves'!$I$83,2) ),
IF( OR(D166="Confined Alluvial", D166="Colluvial/V-Shaped"), ( IF(E189&gt;=100,1,
IF(E189&gt;=60, ROUND('Reference Curves'!$J$82*E189+'Reference Curves'!$J$83,2), ROUND('Reference Curves'!$K$82*E189+'Reference Curves'!$K$83,2) ) ) ) ) ) )</f>
        <v/>
      </c>
      <c r="G189" s="414" t="str">
        <f>IFERROR(AVERAGE(F189:F192),"")</f>
        <v/>
      </c>
      <c r="H189" s="415"/>
      <c r="I189" s="418"/>
      <c r="J189" s="443"/>
      <c r="K189" s="10"/>
      <c r="N189" s="9"/>
    </row>
    <row r="190" spans="1:14" s="5" customFormat="1" ht="15.75" x14ac:dyDescent="0.5">
      <c r="A190" s="399"/>
      <c r="B190" s="399"/>
      <c r="C190" s="18" t="s">
        <v>191</v>
      </c>
      <c r="D190" s="67"/>
      <c r="E190" s="79"/>
      <c r="F190" s="213" t="str">
        <f>IF( E190="","", IF(D167&lt;&gt;"Woody","FALSE", IF( OR(G166="Mountains",G166="Basins"),
IF(E190&lt;=0,0, IF(E190&gt;=122,1, IF(E190&lt;69, ROUND('Reference Curves'!$I$87*E190+'Reference Curves'!$I$88,2), ROUND('Reference Curves'!$J$87*E190+'Reference Curves'!$J$88,2) ) ) ),
IF(G166="Plains",IF(OR(E190&lt;=0,E190&gt;111),0,IF(AND(E190&gt;=69,E190&lt;=76),1,IF(E190&lt;69,ROUND(E190*'Reference Curves'!$I$92+'Reference Curves'!$I$93,2),ROUND(E190*'Reference Curves'!$J$92+'Reference Curves'!$J$93,2))))))))</f>
        <v/>
      </c>
      <c r="G190" s="415"/>
      <c r="H190" s="415"/>
      <c r="I190" s="418"/>
      <c r="J190" s="443"/>
      <c r="K190" s="10"/>
      <c r="N190" s="9"/>
    </row>
    <row r="191" spans="1:14" s="5" customFormat="1" ht="15.75" x14ac:dyDescent="0.5">
      <c r="A191" s="399"/>
      <c r="B191" s="399"/>
      <c r="C191" s="18" t="s">
        <v>141</v>
      </c>
      <c r="D191" s="67"/>
      <c r="E191" s="79"/>
      <c r="F191" s="213" t="str">
        <f>IF(E191="","",IF(D167="Herbaceous",IF(E191&lt;=34,0,IF(E191&gt;=120,1,IF(E191&gt;73,ROUND(E191*'Reference Curves'!$J$98+'Reference Curves'!$J$99,2),ROUND(E191*'Reference Curves'!$I$98+'Reference Curves'!$I$99,2))))))</f>
        <v/>
      </c>
      <c r="G191" s="421"/>
      <c r="H191" s="415"/>
      <c r="I191" s="418"/>
      <c r="J191" s="443"/>
      <c r="K191" s="10"/>
      <c r="N191" s="9"/>
    </row>
    <row r="192" spans="1:14" s="5" customFormat="1" ht="15.75" x14ac:dyDescent="0.5">
      <c r="A192" s="399"/>
      <c r="B192" s="399"/>
      <c r="C192" s="138" t="s">
        <v>192</v>
      </c>
      <c r="D192" s="158"/>
      <c r="E192" s="162"/>
      <c r="F192" s="283" t="str">
        <f>IF(E192="","",IF(E192&lt;=46,0,IF(E192&gt;=100,1,IF(AND(E192&lt;=100,E192&gt;91),ROUND(E192*'Reference Curves'!$J$103+'Reference Curves'!$J$104,2),ROUND(E192*'Reference Curves'!$I$103+'Reference Curves'!$I$104,2)))))</f>
        <v/>
      </c>
      <c r="G192" s="416"/>
      <c r="H192" s="416"/>
      <c r="I192" s="419"/>
      <c r="J192" s="444"/>
      <c r="K192" s="10"/>
      <c r="N192" s="9"/>
    </row>
    <row r="193" spans="1:14" s="5" customFormat="1" ht="15.6" customHeight="1" x14ac:dyDescent="0.5">
      <c r="A193" s="436" t="s">
        <v>47</v>
      </c>
      <c r="B193" s="441" t="s">
        <v>139</v>
      </c>
      <c r="C193" s="139" t="s">
        <v>193</v>
      </c>
      <c r="D193" s="160"/>
      <c r="E193" s="30"/>
      <c r="F193" s="215" t="str">
        <f>IF(E193="","",IF(G164="","Enter Stream Temperature",  IF(G164="CS-I (MWF)",IF(E193&gt;=21.2,0,1),  IF(G164="CS-I",IF(E193&gt;=21.7,0,1),  IF(G164="CS-II",IF(E193&gt;=23.9,0,1),  IF(G164="WS-I",IF(E193&gt;=29,0,1),  IF(G164="WS-II",IF(E193&gt;=28.6,0,1), IF(G164="WS-III",IF(E193&gt;=31.8,0,1)))))))))</f>
        <v/>
      </c>
      <c r="G193" s="422" t="str">
        <f>IFERROR(AVERAGE(F193:F194),"")</f>
        <v/>
      </c>
      <c r="H193" s="422">
        <f>IF(OR(G193&lt;&gt;"",G195&lt;&gt;"",G196&lt;&gt;""),ROUND(AVERAGE(G193:G196),2),IF(B168="Yes",1,0.8))</f>
        <v>0.8</v>
      </c>
      <c r="I193" s="438" t="str">
        <f>IF(H193="","",IF(H193&gt;0.69,"Functioning",IF(H193&gt;0.29,"Functioning At Risk",IF(H193&gt;-1,"Not Functioning"))))</f>
        <v>Functioning</v>
      </c>
      <c r="J193" s="219" t="s">
        <v>290</v>
      </c>
      <c r="K193" s="10"/>
      <c r="N193" s="9"/>
    </row>
    <row r="194" spans="1:14" s="5" customFormat="1" ht="15.75" x14ac:dyDescent="0.5">
      <c r="A194" s="436"/>
      <c r="B194" s="441"/>
      <c r="C194" s="140" t="s">
        <v>194</v>
      </c>
      <c r="D194" s="155"/>
      <c r="E194" s="35"/>
      <c r="F194" s="216" t="str">
        <f>IF(E194="","",IF(G164="","Enter Stream Temperature",  IF(G164="CS-I (MWF)",IF(E194&gt;=18.3,0,IF(E194&lt;=13.8,1,ROUND(E194*'Reference Curves'!$M$4+'Reference Curves'!$M$5,2))),  IF(G164="CS-I",IF(E194&gt;=17.6,0,IF(E194&lt;=15.7,1,ROUND(E194*'Reference Curves'!$N$4+'Reference Curves'!$N$5,2))),  IF(G164="CS-II",IF(E194&gt;=19.1,0,IF(E194&lt;=16.6,1,ROUND(E194*'Reference Curves'!$O$4+'Reference Curves'!$O$5,2))),  IF(G164="WS-I",IF(E194&gt;=25.7,0,IF(E194&lt;=20.9,1,ROUND(E194*'Reference Curves'!$P$4+'Reference Curves'!$P$5,2))),  IF(G164="WS-II",IF(E194&gt;=29.7,0,IF(E194&lt;=22.5,1,ROUND(E194*'Reference Curves'!$Q$4+'Reference Curves'!$Q$5,2))), IF(G164="WS-III",IF(E194&gt;=30,0,IF(E194&lt;=25.9,1,ROUND(E194*'Reference Curves'!$R$4+'Reference Curves'!$R$5,2)))    ))))))))</f>
        <v/>
      </c>
      <c r="G194" s="424"/>
      <c r="H194" s="423"/>
      <c r="I194" s="439"/>
      <c r="J194" s="442">
        <f>IF(AND(H172="",H179="",H193="",H197=""),"",ROUND((IF(H172="",0,H172)*0.3)+(IF(H179="",0,H179)*0.3)+(IF(H193="",0,H193)*0.2)+(IF(H197="",0,H197)*0.2),2))</f>
        <v>0.32</v>
      </c>
      <c r="K194" s="10"/>
      <c r="N194" s="9"/>
    </row>
    <row r="195" spans="1:14" s="5" customFormat="1" ht="15.75" x14ac:dyDescent="0.5">
      <c r="A195" s="436"/>
      <c r="B195" s="192" t="s">
        <v>140</v>
      </c>
      <c r="C195" s="142" t="s">
        <v>195</v>
      </c>
      <c r="D195" s="156"/>
      <c r="E195" s="54"/>
      <c r="F195" s="216" t="str">
        <f>IF(E195="","",ROUND( IF(E195&lt;=6,0, IF(E195&gt;=10.31,1,E195*'Reference Curves'!$M$8+'Reference Curves'!$M$9)),2))</f>
        <v/>
      </c>
      <c r="G195" s="163" t="str">
        <f>IFERROR(AVERAGE(F195),"")</f>
        <v/>
      </c>
      <c r="H195" s="423"/>
      <c r="I195" s="439"/>
      <c r="J195" s="443"/>
      <c r="K195" s="10"/>
      <c r="N195" s="9"/>
    </row>
    <row r="196" spans="1:14" s="5" customFormat="1" ht="15.75" x14ac:dyDescent="0.5">
      <c r="A196" s="436"/>
      <c r="B196" s="192" t="s">
        <v>196</v>
      </c>
      <c r="C196" s="143" t="s">
        <v>357</v>
      </c>
      <c r="D196" s="157"/>
      <c r="E196" s="54"/>
      <c r="F196" s="216" t="str">
        <f>IF(E196="","",IF(OR(G165=3),IF(E196&gt;=150,0,IF(E196&lt;=16,1,ROUND('Reference Curves'!$M$13*LN(E196)+'Reference Curves'!$M$14,2))), IF(OR(G165=1,G165=2),  IF(E196&gt;=97,0,IF(E196&lt;=12,1,ROUND('Reference Curves'!$N$13*LN(E196)+'Reference Curves'!$N$14,2))))))</f>
        <v/>
      </c>
      <c r="G196" s="163" t="str">
        <f>IFERROR(AVERAGE(F196),"")</f>
        <v/>
      </c>
      <c r="H196" s="424"/>
      <c r="I196" s="440"/>
      <c r="J196" s="443"/>
      <c r="K196" s="10"/>
      <c r="N196" s="9"/>
    </row>
    <row r="197" spans="1:14" s="5" customFormat="1" ht="15.75" x14ac:dyDescent="0.5">
      <c r="A197" s="435" t="s">
        <v>48</v>
      </c>
      <c r="B197" s="191" t="s">
        <v>93</v>
      </c>
      <c r="C197" s="145" t="s">
        <v>197</v>
      </c>
      <c r="D197" s="28"/>
      <c r="E197" s="54"/>
      <c r="F197" s="217" t="str">
        <f>IF(E197="","",IF(G165="","Enter Biotype",IF(G165=1,IF(E197&lt;=0,0,IF(E197&gt;=57,1,ROUND(IF(E197&lt;=34,'Reference Curves'!$T$5*E197+'Reference Curves'!$T$6,  IF(E197&lt;=45, 'Reference Curves'!$U$5*E197+'Reference Curves'!$U$6,  'Reference Curves'!$V$5*E197+'Reference Curves'!$V$6)),2))),   IF(G165=2,IF(E197&lt;=0,0,IF(E197&gt;=63,1,ROUND(IF(E197&lt;=40,'Reference Curves'!$W$5*E197+'Reference Curves'!$W$6,  IF(E197&lt;=48,'Reference Curves'!$X$5*E197+'Reference Curves'!$X$6,  'Reference Curves'!$Y$5*E197+'Reference Curves'!$Y$6)),2))),   IF(OR(G165=3),IF(E197&lt;=0,0,IF(E197&gt;=52,1,ROUND(IF(E197&lt;=29,'Reference Curves'!$Z$5*E197+'Reference Curves'!$Z$6, IF(E197&lt;=42, 'Reference Curves'!$AA$5*E197+'Reference Curves'!$AA$6,  'Reference Curves'!$AB$5*E197+'Reference Curves'!$AB$6)),2))))))))</f>
        <v/>
      </c>
      <c r="G197" s="164" t="str">
        <f>IFERROR(AVERAGE(F197),"")</f>
        <v/>
      </c>
      <c r="H197" s="427">
        <f>IF(OR(G197&lt;&gt;"",G198&lt;&gt;""),ROUND(AVERAGE(G197:G200),2),IF(B168="Yes",1,0.8))</f>
        <v>0.8</v>
      </c>
      <c r="I197" s="438" t="str">
        <f>IF(H197="","",IF(H197&gt;0.69,"Functioning",IF(H197&gt;0.29,"Functioning At Risk",IF(H197&gt;-1,"Not Functioning"))))</f>
        <v>Functioning</v>
      </c>
      <c r="J197" s="443"/>
      <c r="K197" s="10"/>
      <c r="N197" s="9"/>
    </row>
    <row r="198" spans="1:14" s="5" customFormat="1" ht="15.75" x14ac:dyDescent="0.5">
      <c r="A198" s="435"/>
      <c r="B198" s="398" t="s">
        <v>51</v>
      </c>
      <c r="C198" s="146" t="s">
        <v>198</v>
      </c>
      <c r="D198" s="28"/>
      <c r="E198" s="30"/>
      <c r="F198" s="164" t="str">
        <f>IF(E198="","",IF(E198&lt;=0,0,IF(E198&gt;=100,1,ROUND(IF(E198&lt;80,E198*'Reference Curves'!$T$10+'Reference Curves'!$T$11,E198*'Reference Curves'!$U$10+'Reference Curves'!$U$11),2))))</f>
        <v/>
      </c>
      <c r="G198" s="427" t="str">
        <f>IFERROR(AVERAGE(F198:F200),"")</f>
        <v/>
      </c>
      <c r="H198" s="428"/>
      <c r="I198" s="439"/>
      <c r="J198" s="443"/>
      <c r="K198" s="10"/>
      <c r="N198" s="9"/>
    </row>
    <row r="199" spans="1:14" s="5" customFormat="1" ht="15.75" x14ac:dyDescent="0.5">
      <c r="A199" s="435"/>
      <c r="B199" s="398"/>
      <c r="C199" s="147" t="s">
        <v>199</v>
      </c>
      <c r="D199" s="159"/>
      <c r="E199" s="34"/>
      <c r="F199" s="164" t="str">
        <f>IF(E199="","",ROUND(IF(E199&gt;=3,0,IF(E199&gt;=2,0.3,IF(E199&gt;=1,0.69,1))),2))</f>
        <v/>
      </c>
      <c r="G199" s="428"/>
      <c r="H199" s="428"/>
      <c r="I199" s="439"/>
      <c r="J199" s="443"/>
      <c r="K199" s="10"/>
      <c r="N199" s="9"/>
    </row>
    <row r="200" spans="1:14" s="5" customFormat="1" ht="15.75" x14ac:dyDescent="0.5">
      <c r="A200" s="435"/>
      <c r="B200" s="398"/>
      <c r="C200" s="148" t="s">
        <v>200</v>
      </c>
      <c r="D200" s="161"/>
      <c r="E200" s="35"/>
      <c r="F200" s="218" t="str">
        <f>IF(E200="","",IF(G168="","Enter Stream Producitvity Rating",IF(G168="High",IF(E200&lt;5,0,IF(E200&gt;=40,1,ROUND(E200*'Reference Curves'!$T$15+'Reference Curves'!$T$16,2))),IF(G168="Moderate",IF(E200&lt;10,0,IF(E200&gt;=80,1,ROUND(E200*'Reference Curves'!$U$15+'Reference Curves'!$U$16,2))),IF(G168="Low",IF(E200&lt;15,0,IF(E200&gt;=119,1,ROUND(E200*'Reference Curves'!$V$15+'Reference Curves'!$V$16,2)))   )))))</f>
        <v/>
      </c>
      <c r="G200" s="429"/>
      <c r="H200" s="429"/>
      <c r="I200" s="440"/>
      <c r="J200" s="444"/>
      <c r="K200" s="10"/>
      <c r="N200" s="9"/>
    </row>
    <row r="201" spans="1:14" s="5" customFormat="1" x14ac:dyDescent="0.45">
      <c r="I201" s="55"/>
      <c r="J201" s="4"/>
      <c r="K201" s="10"/>
    </row>
    <row r="202" spans="1:14" s="5" customFormat="1" x14ac:dyDescent="0.45">
      <c r="I202" s="55"/>
    </row>
    <row r="203" spans="1:14" s="5" customFormat="1" ht="21" customHeight="1" x14ac:dyDescent="0.45">
      <c r="A203" s="408" t="s">
        <v>349</v>
      </c>
      <c r="B203" s="409"/>
      <c r="C203" s="409"/>
      <c r="D203" s="409"/>
      <c r="E203" s="409"/>
      <c r="F203" s="409"/>
      <c r="G203" s="409"/>
      <c r="H203" s="409"/>
      <c r="I203" s="409"/>
      <c r="J203" s="410"/>
    </row>
    <row r="204" spans="1:14" s="5" customFormat="1" ht="16.149999999999999" customHeight="1" x14ac:dyDescent="0.45">
      <c r="A204" s="184" t="str">
        <f>A4</f>
        <v>Reach ID:</v>
      </c>
      <c r="B204" s="224">
        <f>'Project Assessment'!A15</f>
        <v>0</v>
      </c>
      <c r="C204" s="200" t="str">
        <f>C4</f>
        <v>Stream Slope (%):</v>
      </c>
      <c r="D204" s="290"/>
      <c r="E204" s="402" t="str">
        <f>E4</f>
        <v>Stream Temperature:</v>
      </c>
      <c r="F204" s="403"/>
      <c r="G204" s="187"/>
      <c r="H204" s="406" t="str">
        <f>H4</f>
        <v>Upstream Latitude:</v>
      </c>
      <c r="I204" s="407"/>
      <c r="J204" s="185"/>
    </row>
    <row r="205" spans="1:14" s="5" customFormat="1" ht="16.149999999999999" customHeight="1" x14ac:dyDescent="0.45">
      <c r="A205" s="184" t="str">
        <f t="shared" ref="A205:A208" si="16">A5</f>
        <v>Reference Stream Type:</v>
      </c>
      <c r="B205" s="187"/>
      <c r="C205" s="276" t="str">
        <f t="shared" ref="C205:C208" si="17">C5</f>
        <v>Proposed Bankfull Width (ft):</v>
      </c>
      <c r="D205" s="185"/>
      <c r="E205" s="402" t="str">
        <f t="shared" ref="E205:E208" si="18">E5</f>
        <v>Biotype:</v>
      </c>
      <c r="F205" s="403"/>
      <c r="G205" s="187"/>
      <c r="H205" s="406" t="str">
        <f t="shared" ref="H205:H207" si="19">H5</f>
        <v>Upstream Longitude:</v>
      </c>
      <c r="I205" s="407"/>
      <c r="J205" s="185"/>
    </row>
    <row r="206" spans="1:14" s="5" customFormat="1" ht="16.149999999999999" customHeight="1" x14ac:dyDescent="0.65">
      <c r="A206" s="184" t="str">
        <f t="shared" si="16"/>
        <v>Flow Permanence:</v>
      </c>
      <c r="B206" s="224">
        <f>'Project Assessment'!B15</f>
        <v>0</v>
      </c>
      <c r="C206" s="276" t="str">
        <f t="shared" si="17"/>
        <v>Valley Type:</v>
      </c>
      <c r="D206" s="187"/>
      <c r="E206" s="402" t="str">
        <f t="shared" si="18"/>
        <v>Ecoregion:</v>
      </c>
      <c r="F206" s="403"/>
      <c r="G206" s="187"/>
      <c r="H206" s="406" t="str">
        <f t="shared" si="19"/>
        <v>Downstream Latitude:</v>
      </c>
      <c r="I206" s="407"/>
      <c r="J206" s="185"/>
      <c r="K206" s="26"/>
    </row>
    <row r="207" spans="1:14" s="5" customFormat="1" ht="16.149999999999999" customHeight="1" x14ac:dyDescent="0.5">
      <c r="A207" s="184" t="str">
        <f t="shared" si="16"/>
        <v>Strahler Stream Order:</v>
      </c>
      <c r="B207" s="224">
        <f>'Project Assessment'!C15</f>
        <v>0</v>
      </c>
      <c r="C207" s="276" t="str">
        <f t="shared" si="17"/>
        <v>Reference Vegetation Cover:</v>
      </c>
      <c r="D207" s="187"/>
      <c r="E207" s="402" t="str">
        <f t="shared" si="18"/>
        <v>River Basin:</v>
      </c>
      <c r="F207" s="403"/>
      <c r="G207" s="187"/>
      <c r="H207" s="406" t="str">
        <f t="shared" si="19"/>
        <v>Downstream Longitude:</v>
      </c>
      <c r="I207" s="407"/>
      <c r="J207" s="185"/>
      <c r="K207" s="39"/>
    </row>
    <row r="208" spans="1:14" s="5" customFormat="1" ht="18" customHeight="1" x14ac:dyDescent="0.5">
      <c r="A208" s="184" t="str">
        <f t="shared" si="16"/>
        <v>Outstanding Water:</v>
      </c>
      <c r="B208" s="224">
        <f>'Project Assessment'!E15</f>
        <v>0</v>
      </c>
      <c r="C208" s="276" t="str">
        <f t="shared" si="17"/>
        <v>Sediment Regime:</v>
      </c>
      <c r="D208" s="263"/>
      <c r="E208" s="402" t="str">
        <f t="shared" si="18"/>
        <v>Stream Productivity Class:</v>
      </c>
      <c r="F208" s="403"/>
      <c r="G208" s="187"/>
      <c r="H208" s="201"/>
      <c r="I208" s="201"/>
      <c r="J208" s="201"/>
      <c r="K208" s="39"/>
    </row>
    <row r="209" spans="1:14" s="5" customFormat="1" ht="4.5" customHeight="1" x14ac:dyDescent="0.5">
      <c r="B209" s="58"/>
      <c r="C209" s="58"/>
      <c r="D209" s="58"/>
      <c r="E209" s="58"/>
      <c r="F209" s="58"/>
      <c r="G209" s="58"/>
      <c r="H209" s="58"/>
      <c r="I209" s="56"/>
      <c r="J209" s="10"/>
      <c r="K209" s="39"/>
    </row>
    <row r="210" spans="1:14" s="5" customFormat="1" ht="19.899999999999999" customHeight="1" x14ac:dyDescent="0.65">
      <c r="A210" s="431" t="str">
        <f>_xlfn.CONCAT("EXISTING CONDITION ASSESSMENT for Reach ",B204)</f>
        <v>EXISTING CONDITION ASSESSMENT for Reach 0</v>
      </c>
      <c r="B210" s="431"/>
      <c r="C210" s="431"/>
      <c r="D210" s="431"/>
      <c r="E210" s="431"/>
      <c r="F210" s="431"/>
      <c r="G210" s="431" t="s">
        <v>13</v>
      </c>
      <c r="H210" s="431"/>
      <c r="I210" s="431"/>
      <c r="J210" s="431"/>
      <c r="K210" s="10"/>
    </row>
    <row r="211" spans="1:14" s="5" customFormat="1" ht="15.75" x14ac:dyDescent="0.5">
      <c r="A211" s="32" t="s">
        <v>1</v>
      </c>
      <c r="B211" s="32" t="s">
        <v>2</v>
      </c>
      <c r="C211" s="432" t="s">
        <v>3</v>
      </c>
      <c r="D211" s="433"/>
      <c r="E211" s="32" t="s">
        <v>11</v>
      </c>
      <c r="F211" s="31" t="s">
        <v>12</v>
      </c>
      <c r="G211" s="32" t="s">
        <v>14</v>
      </c>
      <c r="H211" s="32" t="s">
        <v>15</v>
      </c>
      <c r="I211" s="57" t="s">
        <v>15</v>
      </c>
      <c r="J211" s="32" t="s">
        <v>98</v>
      </c>
      <c r="K211" s="10"/>
    </row>
    <row r="212" spans="1:14" s="5" customFormat="1" ht="15.75" x14ac:dyDescent="0.5">
      <c r="A212" s="434" t="s">
        <v>173</v>
      </c>
      <c r="B212" s="437" t="s">
        <v>71</v>
      </c>
      <c r="C212" s="132" t="s">
        <v>138</v>
      </c>
      <c r="D212" s="149"/>
      <c r="E212" s="30"/>
      <c r="F212" s="202" t="str">
        <f>IF(E212="","",IF(E212&gt;78,0,IF(E212&lt;=55,1,ROUND(E212*'Reference Curves'!$B$3+'Reference Curves'!$B$4,2))))</f>
        <v/>
      </c>
      <c r="G212" s="411" t="str">
        <f>IFERROR(AVERAGE(F212:F213),"")</f>
        <v/>
      </c>
      <c r="H212" s="411" t="str">
        <f>IFERROR(ROUND(AVERAGE(G212:G218),2),"")</f>
        <v/>
      </c>
      <c r="I212" s="438" t="str">
        <f>IF(H212="","",IF(H212:H218&gt;0.69,"Functioning",IF(H212&gt;0.29,"Functioning At Risk",IF(H212&gt;-1,"Not Functioning"))))</f>
        <v/>
      </c>
      <c r="J212" s="219" t="s">
        <v>339</v>
      </c>
      <c r="K212" s="10"/>
    </row>
    <row r="213" spans="1:14" s="5" customFormat="1" ht="15.75" x14ac:dyDescent="0.5">
      <c r="A213" s="434"/>
      <c r="B213" s="437"/>
      <c r="C213" s="133" t="s">
        <v>184</v>
      </c>
      <c r="D213" s="150"/>
      <c r="E213" s="35"/>
      <c r="F213" s="203" t="str">
        <f>IF(E213="","",   IF(E213&gt;3.2,0, IF(E213&lt;0, "", ROUND('Reference Curves'!$B$8*E213+'Reference Curves'!$B$9,2))))</f>
        <v/>
      </c>
      <c r="G213" s="412"/>
      <c r="H213" s="412"/>
      <c r="I213" s="439"/>
      <c r="J213" s="442" t="str">
        <f>IF(AND(H212="",H219=""),"",ROUND((IF(H212="",0,H212)*0.3)+(IF(H219="",0,H219)*0.3),2))</f>
        <v/>
      </c>
      <c r="K213" s="10"/>
    </row>
    <row r="214" spans="1:14" s="5" customFormat="1" ht="15.75" x14ac:dyDescent="0.5">
      <c r="A214" s="434"/>
      <c r="B214" s="400" t="s">
        <v>185</v>
      </c>
      <c r="C214" s="134" t="s">
        <v>186</v>
      </c>
      <c r="D214" s="149"/>
      <c r="E214" s="34"/>
      <c r="F214" s="204" t="s">
        <v>285</v>
      </c>
      <c r="G214" s="411" t="str">
        <f>IFERROR(IF(AND(ISNUMBER(E214),E214&lt;1),0,AVERAGE(F214:F215)),"")</f>
        <v/>
      </c>
      <c r="H214" s="412"/>
      <c r="I214" s="439"/>
      <c r="J214" s="443"/>
      <c r="K214" s="10"/>
    </row>
    <row r="215" spans="1:14" s="5" customFormat="1" ht="15.75" x14ac:dyDescent="0.5">
      <c r="A215" s="434"/>
      <c r="B215" s="401"/>
      <c r="C215" s="151" t="s">
        <v>187</v>
      </c>
      <c r="D215" s="152"/>
      <c r="E215" s="34"/>
      <c r="F215" s="205" t="str">
        <f>IF(E215="","",IF(G204= "CS-II", ROUND(IF(E215&lt;=0.6,0, IF(E215&gt;=2.3,1,E215*'Reference Curves'!$D$14+'Reference Curves'!$D$15)),2),IF(AND(D205&lt;20,LEFT(G204,2)="CS"), ROUND(IF(E215&lt;=0.2,0, IF(E215&gt;=1,1,E215*'Reference Curves'!$B$14+'Reference Curves'!$B$15)),2), IF(AND(D205&gt;=20,LEFT(G204,2)= "CS"), ROUND(IF(E215&lt;=0.4,0, IF(E215&gt;=1.5,1,E215*'Reference Curves'!$C$14+'Reference Curves'!$C$15)),2),"FALSE"))))</f>
        <v/>
      </c>
      <c r="G215" s="413"/>
      <c r="H215" s="412"/>
      <c r="I215" s="439"/>
      <c r="J215" s="443"/>
      <c r="K215" s="10"/>
    </row>
    <row r="216" spans="1:14" s="5" customFormat="1" ht="15.75" x14ac:dyDescent="0.5">
      <c r="A216" s="434"/>
      <c r="B216" s="437" t="s">
        <v>4</v>
      </c>
      <c r="C216" s="133" t="s">
        <v>5</v>
      </c>
      <c r="D216" s="14"/>
      <c r="E216" s="30"/>
      <c r="F216" s="206" t="str">
        <f>IF( E216="","",
IF( E216&gt;1.71,0, IF( E216&gt;1, ROUND(E216*'Reference Curves'!C$20+'Reference Curves'!C$21,2),
IF( D208="Transport", ROUND(IF( E216&lt;0.35,0, E216*'Reference Curves'!$B$20+'Reference Curves'!$B$21 ),2), 1 ))))</f>
        <v/>
      </c>
      <c r="G216" s="411" t="str">
        <f>IFERROR(AVERAGE(F216:F218),"")</f>
        <v/>
      </c>
      <c r="H216" s="412"/>
      <c r="I216" s="439"/>
      <c r="J216" s="443"/>
      <c r="K216" s="10"/>
      <c r="N216" s="9"/>
    </row>
    <row r="217" spans="1:14" s="5" customFormat="1" ht="15.75" x14ac:dyDescent="0.5">
      <c r="A217" s="434"/>
      <c r="B217" s="437"/>
      <c r="C217" s="133" t="s">
        <v>6</v>
      </c>
      <c r="D217" s="14"/>
      <c r="E217" s="34"/>
      <c r="F217" s="205" t="str">
        <f>IF(E217="","",IF(OR(LEFT(B205,1)="A",LEFT(B205,1)="B"),IF(E217&lt;1.05,0,IF(E217&gt;=2.2,1,ROUND(IF(E217&lt;1.4,E217*'Reference Curves'!$B$40+'Reference Curves'!$B$41,E217*'Reference Curves'!$C$40+'Reference Curves'!$C$41),2))), IF(B205="C",IF(E217&lt;1.7,0,IF(E217&gt;=4.2,1,ROUND(IF(E217&lt;2.4,E217*'Reference Curves'!$C$25+'Reference Curves'!$C$26,E217*'Reference Curves'!$B$25+'Reference Curves'!$B$26),2))),                                                                                                                                                                                                                    IF(B205="Cb",IF(E217&lt;1.7,0,IF(E217&gt;=3.9,1,ROUND(IF(E217&lt;2.4,E217*'Reference Curves'!$C$30+'Reference Curves'!$C$31,E217*'Reference Curves'!$B$30+'Reference Curves'!$B$31),2))),
IF(LEFT(B205,1)="E",IF(E217&lt;1.7,0,IF(E217&gt;=6.7,1,ROUND(IF(E217&lt;2.4,E217*'Reference Curves'!$C$35+'Reference Curves'!$C$36,E217*'Reference Curves'!$B$35+'Reference Curves'!$B$36),2))))))))</f>
        <v/>
      </c>
      <c r="G217" s="412"/>
      <c r="H217" s="412"/>
      <c r="I217" s="439"/>
      <c r="J217" s="443"/>
      <c r="K217" s="10"/>
      <c r="N217" s="9"/>
    </row>
    <row r="218" spans="1:14" s="5" customFormat="1" ht="15.75" customHeight="1" x14ac:dyDescent="0.5">
      <c r="A218" s="434"/>
      <c r="B218" s="437"/>
      <c r="C218" s="135" t="s">
        <v>188</v>
      </c>
      <c r="D218" s="14"/>
      <c r="E218" s="35"/>
      <c r="F218" s="207" t="str">
        <f>IF(E218="","",IF(D206="Unconfined Alluvial",IF(E218&lt;=0,0, IF(E218&gt;=100,1, ROUND(IF(E218&lt;10,E218*'Reference Curves'!$B$46+'Reference Curves'!$B$47, IF(E218&lt;50,E218*'Reference Curves'!$C$46+'Reference Curves'!$C$47,E218*'Reference Curves'!$D$46+'Reference Curves'!$D$47)),2))), IF(D206="Confined Alluvial",IF(E218&lt;=0,0,IF(E218&gt;=50,1,ROUND(IF(E218&lt;5,E218*'Reference Curves'!$E$46+'Reference Curves'!$E$47,IF(E218&lt;25,E218*'Reference Curves'!$F$46+'Reference Curves'!$F$47,E218*'Reference Curves'!$G$46+'Reference Curves'!$G$47)),2))))))</f>
        <v/>
      </c>
      <c r="G218" s="413"/>
      <c r="H218" s="413"/>
      <c r="I218" s="440"/>
      <c r="J218" s="443"/>
      <c r="K218" s="10"/>
      <c r="N218" s="9"/>
    </row>
    <row r="219" spans="1:14" s="5" customFormat="1" ht="15.6" customHeight="1" x14ac:dyDescent="0.5">
      <c r="A219" s="399" t="s">
        <v>20</v>
      </c>
      <c r="B219" s="399" t="s">
        <v>21</v>
      </c>
      <c r="C219" s="16" t="s">
        <v>19</v>
      </c>
      <c r="D219" s="46"/>
      <c r="E219" s="30"/>
      <c r="F219" s="208" t="str">
        <f>IF(E219="","",IF(E219&gt;=660,1,IF(E219&lt;=430,ROUND('Reference Curves'!$I$4*E219+'Reference Curves'!$I$5,2),ROUND('Reference Curves'!$J$4*E219+'Reference Curves'!$J$5,2))))</f>
        <v/>
      </c>
      <c r="G219" s="414" t="str">
        <f>IFERROR(AVERAGE(F219:F220),"")</f>
        <v/>
      </c>
      <c r="H219" s="414" t="str">
        <f>IFERROR(ROUND(AVERAGE(G219:G232),2),"")</f>
        <v/>
      </c>
      <c r="I219" s="417" t="str">
        <f>IF(H219="","",IF(H219&gt;0.69,"Functioning",IF(H219&gt;0.29,"Functioning At Risk",IF(H219&gt;-1,"Not Functioning"))))</f>
        <v/>
      </c>
      <c r="J219" s="443"/>
      <c r="K219" s="10"/>
      <c r="N219" s="9"/>
    </row>
    <row r="220" spans="1:14" s="5" customFormat="1" ht="15.75" x14ac:dyDescent="0.5">
      <c r="A220" s="399"/>
      <c r="B220" s="399"/>
      <c r="C220" s="18" t="s">
        <v>189</v>
      </c>
      <c r="D220" s="47"/>
      <c r="E220" s="35"/>
      <c r="F220" s="209" t="str">
        <f>IF(E220="","",IF(E220&gt;=28,1,ROUND(IF(E220&lt;=13,'Reference Curves'!$I$9*E220,'Reference Curves'!$J$9*E220+'Reference Curves'!$J$10),2)))</f>
        <v/>
      </c>
      <c r="G220" s="416"/>
      <c r="H220" s="415"/>
      <c r="I220" s="418"/>
      <c r="J220" s="443"/>
      <c r="K220" s="10"/>
      <c r="N220" s="9"/>
    </row>
    <row r="221" spans="1:14" s="5" customFormat="1" ht="15.75" x14ac:dyDescent="0.5">
      <c r="A221" s="399"/>
      <c r="B221" s="399" t="s">
        <v>114</v>
      </c>
      <c r="C221" s="16" t="s">
        <v>190</v>
      </c>
      <c r="D221" s="46"/>
      <c r="E221" s="78"/>
      <c r="F221" s="208" t="str">
        <f>IF(E221="","",ROUND(IF(E221&lt;=2,0,IF(E221&gt;=9,1, IF(E221&gt;=5,E221^2*'Reference Curves'!$I$14+E221*'Reference Curves'!$I$15+'Reference Curves'!$I$16, E221*'Reference Curves'!$J$15+'Reference Curves'!$J$16))),2))</f>
        <v/>
      </c>
      <c r="G221" s="414" t="str">
        <f>IFERROR(IF(E224&gt;=50,0,AVERAGE(F221:F224)),"")</f>
        <v/>
      </c>
      <c r="H221" s="415"/>
      <c r="I221" s="418"/>
      <c r="J221" s="443"/>
      <c r="K221" s="10"/>
      <c r="N221" s="9"/>
    </row>
    <row r="222" spans="1:14" s="5" customFormat="1" ht="15.75" x14ac:dyDescent="0.5">
      <c r="A222" s="399"/>
      <c r="B222" s="399"/>
      <c r="C222" s="18" t="s">
        <v>42</v>
      </c>
      <c r="D222" s="67"/>
      <c r="E222" s="78"/>
      <c r="F222" s="210" t="str">
        <f>IF(E222="","",IF(OR(E222="Ex/Ex",E222="Ex/VH",E222="Ex/H",E222="Ex/M",E222="VH/Ex",E222="VH/VH", E222="H/Ex",E222="H/VH"),0, IF(OR(E222="M/Ex"),0.1,IF(OR(E222="VH/H",E222="VH/M",E222="H/H",E222="H/M", E222="M/VH"),0.2, IF(OR(E222="Ex/VL",E222="Ex/L", E222="M/H"),0.3, IF(OR(E222="VH/L",E222="H/L"),0.4, IF(OR(E222="VH/VL",E222="H/VL",E222="M/M"),0.5, IF(OR(E222="M/L",E222="L/Ex"),0.6, IF(OR(E222="M/VL",E222="L/VH", E222="L/H",E222="L/M",E222="L/L",E222="L/VL", LEFT(E222,2)="VL"),1)))))))))</f>
        <v/>
      </c>
      <c r="G222" s="415"/>
      <c r="H222" s="415"/>
      <c r="I222" s="418"/>
      <c r="J222" s="443"/>
      <c r="K222" s="10"/>
      <c r="N222" s="9"/>
    </row>
    <row r="223" spans="1:14" s="5" customFormat="1" ht="15.75" x14ac:dyDescent="0.5">
      <c r="A223" s="399"/>
      <c r="B223" s="399"/>
      <c r="C223" s="136" t="s">
        <v>54</v>
      </c>
      <c r="D223" s="67"/>
      <c r="E223" s="78"/>
      <c r="F223" s="210" t="str">
        <f>IF(E223="","",ROUND(IF(E223&gt;=75,0,IF(E223&lt;=5,1,IF(E223&gt;10,E223*'Reference Curves'!I$20+'Reference Curves'!I$21,'Reference Curves'!$J$20*E223+'Reference Curves'!$J$21))),2))</f>
        <v/>
      </c>
      <c r="G223" s="421"/>
      <c r="H223" s="415"/>
      <c r="I223" s="418"/>
      <c r="J223" s="443"/>
      <c r="K223" s="10"/>
      <c r="N223" s="9"/>
    </row>
    <row r="224" spans="1:14" s="5" customFormat="1" ht="15.75" x14ac:dyDescent="0.5">
      <c r="A224" s="399"/>
      <c r="B224" s="399"/>
      <c r="C224" s="137" t="s">
        <v>113</v>
      </c>
      <c r="D224" s="154"/>
      <c r="E224" s="153"/>
      <c r="F224" s="211" t="str">
        <f>IF(E224="","",IF(E224&gt;=30,0,ROUND(E224*'Reference Curves'!$I$24+'Reference Curves'!$I$25,2)))</f>
        <v/>
      </c>
      <c r="G224" s="416"/>
      <c r="H224" s="415"/>
      <c r="I224" s="418"/>
      <c r="J224" s="443"/>
      <c r="K224" s="10"/>
      <c r="N224" s="9"/>
    </row>
    <row r="225" spans="1:14" s="5" customFormat="1" ht="15.75" x14ac:dyDescent="0.5">
      <c r="A225" s="399"/>
      <c r="B225" s="399" t="s">
        <v>44</v>
      </c>
      <c r="C225" s="16" t="s">
        <v>45</v>
      </c>
      <c r="D225" s="20"/>
      <c r="E225" s="37"/>
      <c r="F225" s="212" t="str">
        <f>IF(E225="","",IF(B205="Bc",IF(OR(E225&gt;=12,E225&lt;=0.1),0,IF(E225&lt;=3.4,1,ROUND('Reference Curves'!$I$33*E225+'Reference Curves'!$I$34,2))),
IF(OR(B205="B",B205="Ba"),IF(OR(E225&gt;=7.5,E225&lt;=0.1),0,IF(E225&lt;=3,1,ROUND(IF(E225&gt;4,'Reference Curves'!$I$29*E225+'Reference Curves'!$I$30,'Reference Curves'!$J$29*E225+'Reference Curves'!$J$30),2))),
IF(B205="Cb",IF(OR(E225&gt;=8.35,E225&lt;1.4),0,IF(AND(E225&gt;=3.7,E225&lt;=5),1,ROUND(IF(E225&lt;3.7,'Reference Curves'!$I$49*E225+'Reference Curves'!$I$50,'Reference Curves'!$J$49*E225+'Reference Curves'!$J$50),2))),
IF(B205="C",IF(OR(E225&gt;=9.3,E225&lt;=3),0,IF(AND(E225&gt;=4,E225&lt;=6),1,ROUND(IF(E225&lt;4,'Reference Curves'!$I$44*E225+'Reference Curves'!$I$45,'Reference Curves'!$J$44*E225+'Reference Curves'!$J$45),2))),
IF(B205="E",IF(OR(E225&gt;=8.3,E225&lt;1.85),0,IF(AND(E225&gt;=3.5,E225&lt;=5),1,ROUND(IF(E225&lt;3.5,'Reference Curves'!$I$38*E225+'Reference Curves'!$I$39,'Reference Curves'!$J$38*E225+'Reference Curves'!$J$39),2)))      ))))))</f>
        <v/>
      </c>
      <c r="G225" s="425" t="str">
        <f>IFERROR(AVERAGE(F225:F228),"")</f>
        <v/>
      </c>
      <c r="H225" s="415"/>
      <c r="I225" s="418"/>
      <c r="J225" s="443"/>
      <c r="K225" s="10"/>
      <c r="N225" s="9"/>
    </row>
    <row r="226" spans="1:14" s="5" customFormat="1" ht="15.75" x14ac:dyDescent="0.5">
      <c r="A226" s="399"/>
      <c r="B226" s="399"/>
      <c r="C226" s="18" t="s">
        <v>46</v>
      </c>
      <c r="D226" s="15"/>
      <c r="E226" s="36"/>
      <c r="F226" s="213" t="str">
        <f>IF(E226="","",IF(E226&lt;=1,0,IF(E226&gt;=3.2,1,IF(E226&gt;=2.2,ROUND('Reference Curves'!$J$54*E226+'Reference Curves'!$J$55,2),(ROUND('Reference Curves'!$I$54*E226+'Reference Curves'!$I$55,2))))))</f>
        <v/>
      </c>
      <c r="G226" s="421"/>
      <c r="H226" s="415"/>
      <c r="I226" s="418"/>
      <c r="J226" s="443"/>
      <c r="K226" s="10"/>
      <c r="N226" s="9"/>
    </row>
    <row r="227" spans="1:14" s="5" customFormat="1" ht="15.75" customHeight="1" x14ac:dyDescent="0.5">
      <c r="A227" s="399"/>
      <c r="B227" s="399"/>
      <c r="C227" s="18" t="s">
        <v>92</v>
      </c>
      <c r="D227" s="15"/>
      <c r="E227" s="36"/>
      <c r="F227" s="283" t="str">
        <f>IF(E227="","", IF(D204="","FALSE",IF(D204&lt;3,IF( OR(E227&gt;=91,E227&lt;=13.5),0, IF(AND(E227&gt;49,E227&lt;61), 1, ROUND(IF(E227&lt;50,'Reference Curves'!$I$60*E227+'Reference Curves'!$I$61, IF(E227&gt;60,'Reference Curves'!$J$60*E227+'Reference Curves'!$J$61)),2))), IF(D204&gt;=3,IF(OR(E227&gt;94.5,E227&lt;41.5),0, IF(AND(E227 &gt;=68, E227&lt;=78),1, ROUND(IF(E227&lt;68,'Reference Curves'!$I$65*E227+'Reference Curves'!$I$66,'Reference Curves'!$J$65*E227+'Reference Curves'!$J$66),2) ))))))</f>
        <v/>
      </c>
      <c r="G227" s="421"/>
      <c r="H227" s="415"/>
      <c r="I227" s="418"/>
      <c r="J227" s="443"/>
      <c r="K227" s="10"/>
      <c r="N227" s="9"/>
    </row>
    <row r="228" spans="1:14" s="5" customFormat="1" ht="15.75" x14ac:dyDescent="0.5">
      <c r="A228" s="399"/>
      <c r="B228" s="399"/>
      <c r="C228" s="19" t="s">
        <v>79</v>
      </c>
      <c r="D228" s="15"/>
      <c r="E228" s="38"/>
      <c r="F228" s="284" t="str">
        <f>IF(E228="","",IF(E228&gt;=1.6,0,IF(E228&lt;=1,1,ROUND('Reference Curves'!$I$74*E228^3+'Reference Curves'!$I$75*E228^2+'Reference Curves'!$I$76*E228+'Reference Curves'!$I$77,2))))</f>
        <v/>
      </c>
      <c r="G228" s="426"/>
      <c r="H228" s="415"/>
      <c r="I228" s="418"/>
      <c r="J228" s="443"/>
      <c r="K228" s="10"/>
      <c r="N228" s="9"/>
    </row>
    <row r="229" spans="1:14" s="5" customFormat="1" ht="15.75" x14ac:dyDescent="0.5">
      <c r="A229" s="399"/>
      <c r="B229" s="399" t="s">
        <v>43</v>
      </c>
      <c r="C229" s="18" t="s">
        <v>201</v>
      </c>
      <c r="D229" s="46"/>
      <c r="E229" s="17"/>
      <c r="F229" s="214" t="str">
        <f>IF( E229="","",
IF( D206="Unconfined Alluvial", IF( E229&gt;=100,1,
ROUND('Reference Curves'!$I$82*E229+'Reference Curves'!$I$83,2) ),
IF( OR(D206="Confined Alluvial", D206="Colluvial/V-Shaped"), ( IF(E229&gt;=100,1,
IF(E229&gt;=60, ROUND('Reference Curves'!$J$82*E229+'Reference Curves'!$J$83,2), ROUND('Reference Curves'!$K$82*E229+'Reference Curves'!$K$83,2) ) ) ) ) ) )</f>
        <v/>
      </c>
      <c r="G229" s="414" t="str">
        <f>IFERROR(AVERAGE(F229:F232),"")</f>
        <v/>
      </c>
      <c r="H229" s="415"/>
      <c r="I229" s="418"/>
      <c r="J229" s="443"/>
      <c r="K229" s="10"/>
      <c r="N229" s="9"/>
    </row>
    <row r="230" spans="1:14" s="5" customFormat="1" ht="15.75" x14ac:dyDescent="0.5">
      <c r="A230" s="399"/>
      <c r="B230" s="399"/>
      <c r="C230" s="18" t="s">
        <v>191</v>
      </c>
      <c r="D230" s="67"/>
      <c r="E230" s="79"/>
      <c r="F230" s="213" t="str">
        <f>IF( E230="","", IF(D207&lt;&gt;"Woody","FALSE", IF( OR(G206="Mountains",G206="Basins"),
IF(E230&lt;=0,0, IF(E230&gt;=122,1, IF(E230&lt;69, ROUND('Reference Curves'!$I$87*E230+'Reference Curves'!$I$88,2), ROUND('Reference Curves'!$J$87*E230+'Reference Curves'!$J$88,2) ) ) ),
IF(G206="Plains",IF(OR(E230&lt;=0,E230&gt;111),0,IF(AND(E230&gt;=69,E230&lt;=76),1,IF(E230&lt;69,ROUND(E230*'Reference Curves'!$I$92+'Reference Curves'!$I$93,2),ROUND(E230*'Reference Curves'!$J$92+'Reference Curves'!$J$93,2))))))))</f>
        <v/>
      </c>
      <c r="G230" s="415"/>
      <c r="H230" s="415"/>
      <c r="I230" s="418"/>
      <c r="J230" s="443"/>
      <c r="K230" s="10"/>
      <c r="N230" s="9"/>
    </row>
    <row r="231" spans="1:14" s="5" customFormat="1" ht="15.75" x14ac:dyDescent="0.5">
      <c r="A231" s="399"/>
      <c r="B231" s="399"/>
      <c r="C231" s="18" t="s">
        <v>141</v>
      </c>
      <c r="D231" s="67"/>
      <c r="E231" s="79"/>
      <c r="F231" s="213" t="str">
        <f>IF(E231="","",IF(D207="Herbaceous",IF(E231&lt;=34,0,IF(E231&gt;=120,1,IF(E231&gt;73,ROUND(E231*'Reference Curves'!$J$98+'Reference Curves'!$J$99,2),ROUND(E231*'Reference Curves'!$I$98+'Reference Curves'!$I$99,2))))))</f>
        <v/>
      </c>
      <c r="G231" s="421"/>
      <c r="H231" s="415"/>
      <c r="I231" s="418"/>
      <c r="J231" s="443"/>
      <c r="K231" s="10"/>
      <c r="N231" s="9"/>
    </row>
    <row r="232" spans="1:14" s="5" customFormat="1" ht="15.75" x14ac:dyDescent="0.5">
      <c r="A232" s="399"/>
      <c r="B232" s="399"/>
      <c r="C232" s="138" t="s">
        <v>192</v>
      </c>
      <c r="D232" s="158"/>
      <c r="E232" s="162"/>
      <c r="F232" s="283" t="str">
        <f>IF(E232="","",IF(E232&lt;=46,0,IF(E232&gt;=100,1,IF(AND(E232&lt;=100,E232&gt;91),ROUND(E232*'Reference Curves'!$J$103+'Reference Curves'!$J$104,2),ROUND(E232*'Reference Curves'!$I$103+'Reference Curves'!$I$104,2)))))</f>
        <v/>
      </c>
      <c r="G232" s="416"/>
      <c r="H232" s="416"/>
      <c r="I232" s="419"/>
      <c r="J232" s="444"/>
      <c r="K232" s="10"/>
      <c r="N232" s="9"/>
    </row>
    <row r="233" spans="1:14" s="5" customFormat="1" ht="15.6" customHeight="1" x14ac:dyDescent="0.5">
      <c r="A233" s="436" t="s">
        <v>47</v>
      </c>
      <c r="B233" s="441" t="s">
        <v>139</v>
      </c>
      <c r="C233" s="139" t="s">
        <v>193</v>
      </c>
      <c r="D233" s="160"/>
      <c r="E233" s="30"/>
      <c r="F233" s="215" t="str">
        <f>IF(E233="","",IF(G204="","Enter Stream Temperature",  IF(G204="CS-I (MWF)",IF(E233&gt;=21.2,0,1),  IF(G204="CS-I",IF(E233&gt;=21.7,0,1),  IF(G204="CS-II",IF(E233&gt;=23.9,0,1),  IF(G204="WS-I",IF(E233&gt;=29,0,1),  IF(G204="WS-II",IF(E233&gt;=28.6,0,1), IF(G204="WS-III",IF(E233&gt;=31.8,0,1)))))))))</f>
        <v/>
      </c>
      <c r="G233" s="422" t="str">
        <f>IFERROR(AVERAGE(F233:F234),"")</f>
        <v/>
      </c>
      <c r="H233" s="422">
        <f>IF(OR(G233&lt;&gt;"",G235&lt;&gt;"",G236&lt;&gt;""),ROUND(AVERAGE(G233:G236),2),IF(B208="Yes",1,0.8))</f>
        <v>0.8</v>
      </c>
      <c r="I233" s="430" t="str">
        <f>IF(H233="","",IF(H233&gt;0.69,"Functioning",IF(H233&gt;0.29,"Functioning At Risk",IF(H233&gt;-1,"Not Functioning"))))</f>
        <v>Functioning</v>
      </c>
      <c r="J233" s="219" t="s">
        <v>290</v>
      </c>
      <c r="K233" s="10"/>
      <c r="N233" s="9"/>
    </row>
    <row r="234" spans="1:14" s="5" customFormat="1" ht="15.75" x14ac:dyDescent="0.5">
      <c r="A234" s="436"/>
      <c r="B234" s="441"/>
      <c r="C234" s="140" t="s">
        <v>194</v>
      </c>
      <c r="D234" s="155"/>
      <c r="E234" s="35"/>
      <c r="F234" s="216" t="str">
        <f>IF(E234="","",IF(G204="","Enter Stream Temperature",  IF(G204="CS-I (MWF)",IF(E234&gt;=18.3,0,IF(E234&lt;=13.8,1,ROUND(E234*'Reference Curves'!$M$4+'Reference Curves'!$M$5,2))),  IF(G204="CS-I",IF(E234&gt;=17.6,0,IF(E234&lt;=15.7,1,ROUND(E234*'Reference Curves'!$N$4+'Reference Curves'!$N$5,2))),  IF(G204="CS-II",IF(E234&gt;=19.1,0,IF(E234&lt;=16.6,1,ROUND(E234*'Reference Curves'!$O$4+'Reference Curves'!$O$5,2))),  IF(G204="WS-I",IF(E234&gt;=25.7,0,IF(E234&lt;=20.9,1,ROUND(E234*'Reference Curves'!$P$4+'Reference Curves'!$P$5,2))),  IF(G204="WS-II",IF(E234&gt;=29.7,0,IF(E234&lt;=22.5,1,ROUND(E234*'Reference Curves'!$Q$4+'Reference Curves'!$Q$5,2))), IF(G204="WS-III",IF(E234&gt;=30,0,IF(E234&lt;=25.9,1,ROUND(E234*'Reference Curves'!$R$4+'Reference Curves'!$R$5,2)))    ))))))))</f>
        <v/>
      </c>
      <c r="G234" s="424"/>
      <c r="H234" s="423"/>
      <c r="I234" s="430"/>
      <c r="J234" s="442">
        <f>IF(AND(H212="",H219="",H233="",H237=""),"",ROUND((IF(H212="",0,H212)*0.3)+(IF(H219="",0,H219)*0.3)+(IF(H233="",0,H233)*0.2)+(IF(H237="",0,H237)*0.2),2))</f>
        <v>0.32</v>
      </c>
      <c r="K234" s="10"/>
      <c r="N234" s="9"/>
    </row>
    <row r="235" spans="1:14" s="5" customFormat="1" ht="15.75" x14ac:dyDescent="0.5">
      <c r="A235" s="436"/>
      <c r="B235" s="192" t="s">
        <v>140</v>
      </c>
      <c r="C235" s="142" t="s">
        <v>195</v>
      </c>
      <c r="D235" s="156"/>
      <c r="E235" s="54"/>
      <c r="F235" s="216" t="str">
        <f>IF(E235="","",ROUND( IF(E235&lt;=6,0, IF(E235&gt;=10.31,1,E235*'Reference Curves'!$M$8+'Reference Curves'!$M$9)),2))</f>
        <v/>
      </c>
      <c r="G235" s="163" t="str">
        <f>IFERROR(AVERAGE(F235),"")</f>
        <v/>
      </c>
      <c r="H235" s="423"/>
      <c r="I235" s="430"/>
      <c r="J235" s="443"/>
      <c r="K235" s="10"/>
      <c r="N235" s="9"/>
    </row>
    <row r="236" spans="1:14" s="5" customFormat="1" ht="15.75" x14ac:dyDescent="0.5">
      <c r="A236" s="436"/>
      <c r="B236" s="192" t="s">
        <v>196</v>
      </c>
      <c r="C236" s="143" t="s">
        <v>357</v>
      </c>
      <c r="D236" s="157"/>
      <c r="E236" s="54"/>
      <c r="F236" s="216" t="str">
        <f>IF(E236="","",IF(OR(G205=3),IF(E236&gt;=150,0,IF(E236&lt;=16,1,ROUND('Reference Curves'!$M$13*LN(E236)+'Reference Curves'!$M$14,2))), IF(OR(G205=1,G205=2),  IF(E236&gt;=97,0,IF(E236&lt;=12,1,ROUND('Reference Curves'!$N$13*LN(E236)+'Reference Curves'!$N$14,2))))))</f>
        <v/>
      </c>
      <c r="G236" s="163" t="str">
        <f>IFERROR(AVERAGE(F236),"")</f>
        <v/>
      </c>
      <c r="H236" s="424"/>
      <c r="I236" s="430"/>
      <c r="J236" s="443"/>
      <c r="K236" s="10"/>
      <c r="N236" s="9"/>
    </row>
    <row r="237" spans="1:14" s="5" customFormat="1" ht="15.75" x14ac:dyDescent="0.5">
      <c r="A237" s="435" t="s">
        <v>48</v>
      </c>
      <c r="B237" s="191" t="s">
        <v>93</v>
      </c>
      <c r="C237" s="145" t="s">
        <v>197</v>
      </c>
      <c r="D237" s="28"/>
      <c r="E237" s="54"/>
      <c r="F237" s="217" t="str">
        <f>IF(E237="","",IF(G205="","Enter Biotype",IF(G205=1,IF(E237&lt;=0,0,IF(E237&gt;=57,1,ROUND(IF(E237&lt;=34,'Reference Curves'!$T$5*E237+'Reference Curves'!$T$6,  IF(E237&lt;=45, 'Reference Curves'!$U$5*E237+'Reference Curves'!$U$6,  'Reference Curves'!$V$5*E237+'Reference Curves'!$V$6)),2))),   IF(G205=2,IF(E237&lt;=0,0,IF(E237&gt;=63,1,ROUND(IF(E237&lt;=40,'Reference Curves'!$W$5*E237+'Reference Curves'!$W$6,  IF(E237&lt;=48,'Reference Curves'!$X$5*E237+'Reference Curves'!$X$6,  'Reference Curves'!$Y$5*E237+'Reference Curves'!$Y$6)),2))),   IF(OR(G205=3),IF(E237&lt;=0,0,IF(E237&gt;=52,1,ROUND(IF(E237&lt;=29,'Reference Curves'!$Z$5*E237+'Reference Curves'!$Z$6, IF(E237&lt;=42, 'Reference Curves'!$AA$5*E237+'Reference Curves'!$AA$6,  'Reference Curves'!$AB$5*E237+'Reference Curves'!$AB$6)),2))))))))</f>
        <v/>
      </c>
      <c r="G237" s="164" t="str">
        <f>IFERROR(AVERAGE(F237),"")</f>
        <v/>
      </c>
      <c r="H237" s="420">
        <f>IF(OR(G237&lt;&gt;"",G238&lt;&gt;""),ROUND(AVERAGE(G237:G240),2),IF(B208="Yes",1,0.8))</f>
        <v>0.8</v>
      </c>
      <c r="I237" s="430" t="str">
        <f>IF(H237="","",IF(H237&gt;0.69,"Functioning",IF(H237&gt;0.29,"Functioning At Risk",IF(H237&gt;-1,"Not Functioning"))))</f>
        <v>Functioning</v>
      </c>
      <c r="J237" s="443"/>
      <c r="K237" s="10"/>
      <c r="N237" s="9"/>
    </row>
    <row r="238" spans="1:14" s="5" customFormat="1" ht="15.75" x14ac:dyDescent="0.5">
      <c r="A238" s="435"/>
      <c r="B238" s="398" t="s">
        <v>51</v>
      </c>
      <c r="C238" s="146" t="s">
        <v>198</v>
      </c>
      <c r="D238" s="28"/>
      <c r="E238" s="30"/>
      <c r="F238" s="164" t="str">
        <f>IF(E238="","",IF(E238&lt;=0,0,IF(E238&gt;=100,1,ROUND(IF(E238&lt;80,E238*'Reference Curves'!$T$10+'Reference Curves'!$T$11,E238*'Reference Curves'!$U$10+'Reference Curves'!$U$11),2))))</f>
        <v/>
      </c>
      <c r="G238" s="427" t="str">
        <f>IFERROR(AVERAGE(F238:F240),"")</f>
        <v/>
      </c>
      <c r="H238" s="420"/>
      <c r="I238" s="430"/>
      <c r="J238" s="443"/>
      <c r="K238" s="10"/>
      <c r="N238" s="9"/>
    </row>
    <row r="239" spans="1:14" s="5" customFormat="1" ht="15.75" x14ac:dyDescent="0.5">
      <c r="A239" s="435"/>
      <c r="B239" s="398"/>
      <c r="C239" s="147" t="s">
        <v>199</v>
      </c>
      <c r="D239" s="159"/>
      <c r="E239" s="34"/>
      <c r="F239" s="164" t="str">
        <f>IF(E239="","",ROUND(IF(E239&gt;=3,0,IF(E239&gt;=2,0.3,IF(E239&gt;=1,0.69,1))),2))</f>
        <v/>
      </c>
      <c r="G239" s="428"/>
      <c r="H239" s="420"/>
      <c r="I239" s="430"/>
      <c r="J239" s="443"/>
      <c r="K239" s="10"/>
      <c r="N239" s="9"/>
    </row>
    <row r="240" spans="1:14" s="5" customFormat="1" ht="15.75" x14ac:dyDescent="0.5">
      <c r="A240" s="435"/>
      <c r="B240" s="398"/>
      <c r="C240" s="148" t="s">
        <v>200</v>
      </c>
      <c r="D240" s="161"/>
      <c r="E240" s="35"/>
      <c r="F240" s="218" t="str">
        <f>IF(E240="","",IF(G208="","Enter Stream Producitvity Rating",IF(G208="High",IF(E240&lt;5,0,IF(E240&gt;=40,1,ROUND(E240*'Reference Curves'!$T$15+'Reference Curves'!$T$16,2))),IF(G208="Moderate",IF(E240&lt;10,0,IF(E240&gt;=80,1,ROUND(E240*'Reference Curves'!$U$15+'Reference Curves'!$U$16,2))),IF(G208="Low",IF(E240&lt;15,0,IF(E240&gt;=119,1,ROUND(E240*'Reference Curves'!$V$15+'Reference Curves'!$V$16,2)))   )))))</f>
        <v/>
      </c>
      <c r="G240" s="429"/>
      <c r="H240" s="420"/>
      <c r="I240" s="430"/>
      <c r="J240" s="444"/>
      <c r="K240" s="10"/>
      <c r="N240" s="9"/>
    </row>
    <row r="241" spans="1:14" s="5" customFormat="1" x14ac:dyDescent="0.45">
      <c r="I241" s="55"/>
      <c r="J241" s="4"/>
      <c r="K241" s="10"/>
    </row>
    <row r="242" spans="1:14" s="5" customFormat="1" x14ac:dyDescent="0.45">
      <c r="I242" s="55"/>
      <c r="J242" s="4"/>
      <c r="K242" s="10"/>
    </row>
    <row r="243" spans="1:14" s="5" customFormat="1" ht="21" customHeight="1" x14ac:dyDescent="0.45">
      <c r="A243" s="408" t="s">
        <v>349</v>
      </c>
      <c r="B243" s="409"/>
      <c r="C243" s="409"/>
      <c r="D243" s="409"/>
      <c r="E243" s="409"/>
      <c r="F243" s="409"/>
      <c r="G243" s="409"/>
      <c r="H243" s="409"/>
      <c r="I243" s="409"/>
      <c r="J243" s="410"/>
    </row>
    <row r="244" spans="1:14" s="5" customFormat="1" ht="16.149999999999999" customHeight="1" x14ac:dyDescent="0.45">
      <c r="A244" s="184" t="str">
        <f>A4</f>
        <v>Reach ID:</v>
      </c>
      <c r="B244" s="224">
        <f>'Project Assessment'!A16</f>
        <v>0</v>
      </c>
      <c r="C244" s="200" t="str">
        <f>C4</f>
        <v>Stream Slope (%):</v>
      </c>
      <c r="D244" s="290"/>
      <c r="E244" s="402" t="str">
        <f>E4</f>
        <v>Stream Temperature:</v>
      </c>
      <c r="F244" s="403"/>
      <c r="G244" s="187"/>
      <c r="H244" s="406" t="str">
        <f>H4</f>
        <v>Upstream Latitude:</v>
      </c>
      <c r="I244" s="407"/>
      <c r="J244" s="185"/>
    </row>
    <row r="245" spans="1:14" s="5" customFormat="1" ht="16.149999999999999" customHeight="1" x14ac:dyDescent="0.45">
      <c r="A245" s="184" t="str">
        <f t="shared" ref="A245:A248" si="20">A5</f>
        <v>Reference Stream Type:</v>
      </c>
      <c r="B245" s="187"/>
      <c r="C245" s="276" t="str">
        <f t="shared" ref="C245:C248" si="21">C5</f>
        <v>Proposed Bankfull Width (ft):</v>
      </c>
      <c r="D245" s="185"/>
      <c r="E245" s="402" t="str">
        <f t="shared" ref="E245:E248" si="22">E5</f>
        <v>Biotype:</v>
      </c>
      <c r="F245" s="403"/>
      <c r="G245" s="187"/>
      <c r="H245" s="406" t="str">
        <f t="shared" ref="H245:H247" si="23">H5</f>
        <v>Upstream Longitude:</v>
      </c>
      <c r="I245" s="407"/>
      <c r="J245" s="185"/>
    </row>
    <row r="246" spans="1:14" s="5" customFormat="1" ht="16.149999999999999" customHeight="1" x14ac:dyDescent="0.65">
      <c r="A246" s="184" t="str">
        <f t="shared" si="20"/>
        <v>Flow Permanence:</v>
      </c>
      <c r="B246" s="224">
        <f>'Project Assessment'!B16</f>
        <v>0</v>
      </c>
      <c r="C246" s="276" t="str">
        <f t="shared" si="21"/>
        <v>Valley Type:</v>
      </c>
      <c r="D246" s="187"/>
      <c r="E246" s="402" t="str">
        <f t="shared" si="22"/>
        <v>Ecoregion:</v>
      </c>
      <c r="F246" s="403"/>
      <c r="G246" s="187"/>
      <c r="H246" s="406" t="str">
        <f t="shared" si="23"/>
        <v>Downstream Latitude:</v>
      </c>
      <c r="I246" s="407"/>
      <c r="J246" s="185"/>
      <c r="K246" s="26"/>
    </row>
    <row r="247" spans="1:14" s="5" customFormat="1" ht="16.149999999999999" customHeight="1" x14ac:dyDescent="0.5">
      <c r="A247" s="184" t="str">
        <f t="shared" si="20"/>
        <v>Strahler Stream Order:</v>
      </c>
      <c r="B247" s="224">
        <f>'Project Assessment'!C16</f>
        <v>0</v>
      </c>
      <c r="C247" s="276" t="str">
        <f t="shared" si="21"/>
        <v>Reference Vegetation Cover:</v>
      </c>
      <c r="D247" s="187"/>
      <c r="E247" s="402" t="str">
        <f t="shared" si="22"/>
        <v>River Basin:</v>
      </c>
      <c r="F247" s="403"/>
      <c r="G247" s="187"/>
      <c r="H247" s="406" t="str">
        <f t="shared" si="23"/>
        <v>Downstream Longitude:</v>
      </c>
      <c r="I247" s="407"/>
      <c r="J247" s="185"/>
      <c r="K247" s="39"/>
    </row>
    <row r="248" spans="1:14" s="5" customFormat="1" ht="18" customHeight="1" x14ac:dyDescent="0.5">
      <c r="A248" s="184" t="str">
        <f t="shared" si="20"/>
        <v>Outstanding Water:</v>
      </c>
      <c r="B248" s="224">
        <f>'Project Assessment'!E16</f>
        <v>0</v>
      </c>
      <c r="C248" s="276" t="str">
        <f t="shared" si="21"/>
        <v>Sediment Regime:</v>
      </c>
      <c r="D248" s="263"/>
      <c r="E248" s="402" t="str">
        <f t="shared" si="22"/>
        <v>Stream Productivity Class:</v>
      </c>
      <c r="F248" s="403"/>
      <c r="G248" s="187"/>
      <c r="H248" s="201"/>
      <c r="I248" s="201"/>
      <c r="J248" s="201"/>
      <c r="K248" s="39"/>
    </row>
    <row r="249" spans="1:14" s="5" customFormat="1" ht="4.5" customHeight="1" x14ac:dyDescent="0.5">
      <c r="B249" s="58"/>
      <c r="C249" s="58"/>
      <c r="D249" s="58"/>
      <c r="E249" s="58"/>
      <c r="F249" s="58"/>
      <c r="G249" s="58"/>
      <c r="H249" s="58"/>
      <c r="I249" s="56"/>
      <c r="J249" s="10"/>
      <c r="K249" s="39"/>
    </row>
    <row r="250" spans="1:14" s="5" customFormat="1" ht="19.899999999999999" customHeight="1" x14ac:dyDescent="0.65">
      <c r="A250" s="431" t="str">
        <f>_xlfn.CONCAT("EXISTING CONDITION ASSESSMENT for Reach ",B244)</f>
        <v>EXISTING CONDITION ASSESSMENT for Reach 0</v>
      </c>
      <c r="B250" s="431"/>
      <c r="C250" s="431"/>
      <c r="D250" s="431"/>
      <c r="E250" s="431"/>
      <c r="F250" s="431"/>
      <c r="G250" s="431" t="s">
        <v>13</v>
      </c>
      <c r="H250" s="431"/>
      <c r="I250" s="431"/>
      <c r="J250" s="431"/>
      <c r="K250" s="10"/>
    </row>
    <row r="251" spans="1:14" s="5" customFormat="1" ht="15.75" x14ac:dyDescent="0.5">
      <c r="A251" s="32" t="s">
        <v>1</v>
      </c>
      <c r="B251" s="32" t="s">
        <v>2</v>
      </c>
      <c r="C251" s="432" t="s">
        <v>3</v>
      </c>
      <c r="D251" s="433"/>
      <c r="E251" s="32" t="s">
        <v>11</v>
      </c>
      <c r="F251" s="31" t="s">
        <v>12</v>
      </c>
      <c r="G251" s="32" t="s">
        <v>14</v>
      </c>
      <c r="H251" s="32" t="s">
        <v>15</v>
      </c>
      <c r="I251" s="57" t="s">
        <v>15</v>
      </c>
      <c r="J251" s="32" t="s">
        <v>98</v>
      </c>
      <c r="K251" s="10"/>
    </row>
    <row r="252" spans="1:14" s="5" customFormat="1" ht="15.75" x14ac:dyDescent="0.5">
      <c r="A252" s="434" t="s">
        <v>173</v>
      </c>
      <c r="B252" s="437" t="s">
        <v>71</v>
      </c>
      <c r="C252" s="132" t="s">
        <v>138</v>
      </c>
      <c r="D252" s="149"/>
      <c r="E252" s="30"/>
      <c r="F252" s="202" t="str">
        <f>IF(E252="","",IF(E252&gt;78,0,IF(E252&lt;=55,1,ROUND(E252*'Reference Curves'!$B$3+'Reference Curves'!$B$4,2))))</f>
        <v/>
      </c>
      <c r="G252" s="411" t="str">
        <f>IFERROR(AVERAGE(F252:F253),"")</f>
        <v/>
      </c>
      <c r="H252" s="411" t="str">
        <f>IFERROR(ROUND(AVERAGE(G252:G258),2),"")</f>
        <v/>
      </c>
      <c r="I252" s="438" t="str">
        <f>IF(H252="","",IF(H252:H258&gt;0.69,"Functioning",IF(H252&gt;0.29,"Functioning At Risk",IF(H252&gt;-1,"Not Functioning"))))</f>
        <v/>
      </c>
      <c r="J252" s="219" t="s">
        <v>339</v>
      </c>
      <c r="K252" s="10"/>
    </row>
    <row r="253" spans="1:14" s="5" customFormat="1" ht="15.75" x14ac:dyDescent="0.5">
      <c r="A253" s="434"/>
      <c r="B253" s="437"/>
      <c r="C253" s="133" t="s">
        <v>184</v>
      </c>
      <c r="D253" s="150"/>
      <c r="E253" s="35"/>
      <c r="F253" s="203" t="str">
        <f>IF(E253="","",   IF(E253&gt;3.2,0, IF(E253&lt;0, "", ROUND('Reference Curves'!$B$8*E253+'Reference Curves'!$B$9,2))))</f>
        <v/>
      </c>
      <c r="G253" s="412"/>
      <c r="H253" s="412"/>
      <c r="I253" s="439"/>
      <c r="J253" s="442" t="str">
        <f>IF(AND(H252="",H259=""),"",ROUND((IF(H252="",0,H252)*0.3)+(IF(H259="",0,H259)*0.3),2))</f>
        <v/>
      </c>
      <c r="K253" s="10"/>
    </row>
    <row r="254" spans="1:14" s="5" customFormat="1" ht="15.75" x14ac:dyDescent="0.5">
      <c r="A254" s="434"/>
      <c r="B254" s="400" t="s">
        <v>185</v>
      </c>
      <c r="C254" s="134" t="s">
        <v>186</v>
      </c>
      <c r="D254" s="149"/>
      <c r="E254" s="34"/>
      <c r="F254" s="204" t="s">
        <v>285</v>
      </c>
      <c r="G254" s="411" t="str">
        <f>IFERROR(IF(AND(ISNUMBER(E254),E254&lt;1),0,AVERAGE(F254:F255)),"")</f>
        <v/>
      </c>
      <c r="H254" s="412"/>
      <c r="I254" s="439"/>
      <c r="J254" s="443"/>
      <c r="K254" s="10"/>
    </row>
    <row r="255" spans="1:14" s="5" customFormat="1" ht="15.75" x14ac:dyDescent="0.5">
      <c r="A255" s="434"/>
      <c r="B255" s="401"/>
      <c r="C255" s="151" t="s">
        <v>187</v>
      </c>
      <c r="D255" s="152"/>
      <c r="E255" s="34"/>
      <c r="F255" s="205" t="str">
        <f>IF(E255="","",IF(G244= "CS-II", ROUND(IF(E255&lt;=0.6,0, IF(E255&gt;=2.3,1,E255*'Reference Curves'!$D$14+'Reference Curves'!$D$15)),2),IF(AND(D245&lt;20,LEFT(G244,2)="CS"), ROUND(IF(E255&lt;=0.2,0, IF(E255&gt;=1,1,E255*'Reference Curves'!$B$14+'Reference Curves'!$B$15)),2), IF(AND(D245&gt;=20,LEFT(G244,2)= "CS"), ROUND(IF(E255&lt;=0.4,0, IF(E255&gt;=1.5,1,E255*'Reference Curves'!$C$14+'Reference Curves'!$C$15)),2),"FALSE"))))</f>
        <v/>
      </c>
      <c r="G255" s="413"/>
      <c r="H255" s="412"/>
      <c r="I255" s="439"/>
      <c r="J255" s="443"/>
      <c r="K255" s="10"/>
    </row>
    <row r="256" spans="1:14" s="5" customFormat="1" ht="15.75" x14ac:dyDescent="0.5">
      <c r="A256" s="434"/>
      <c r="B256" s="437" t="s">
        <v>4</v>
      </c>
      <c r="C256" s="133" t="s">
        <v>5</v>
      </c>
      <c r="D256" s="14"/>
      <c r="E256" s="30"/>
      <c r="F256" s="206" t="str">
        <f>IF( E256="","",
IF( E256&gt;1.71,0, IF( E256&gt;1, ROUND(E256*'Reference Curves'!C$20+'Reference Curves'!C$21,2),
IF( D248="Transport", ROUND(IF( E256&lt;0.35,0, E256*'Reference Curves'!$B$20+'Reference Curves'!$B$21 ),2), 1 ))))</f>
        <v/>
      </c>
      <c r="G256" s="411" t="str">
        <f>IFERROR(AVERAGE(F256:F258),"")</f>
        <v/>
      </c>
      <c r="H256" s="412"/>
      <c r="I256" s="439"/>
      <c r="J256" s="443"/>
      <c r="K256" s="10"/>
      <c r="N256" s="9"/>
    </row>
    <row r="257" spans="1:14" s="5" customFormat="1" ht="15.75" x14ac:dyDescent="0.5">
      <c r="A257" s="434"/>
      <c r="B257" s="437"/>
      <c r="C257" s="133" t="s">
        <v>6</v>
      </c>
      <c r="D257" s="14"/>
      <c r="E257" s="34"/>
      <c r="F257" s="205" t="str">
        <f>IF(E257="","",IF(OR(LEFT(B245,1)="A",LEFT(B245,1)="B"),IF(E257&lt;1.05,0,IF(E257&gt;=2.2,1,ROUND(IF(E257&lt;1.4,E257*'Reference Curves'!$B$40+'Reference Curves'!$B$41,E257*'Reference Curves'!$C$40+'Reference Curves'!$C$41),2))), IF(B245="C",IF(E257&lt;1.7,0,IF(E257&gt;=4.2,1,ROUND(IF(E257&lt;2.4,E257*'Reference Curves'!$C$25+'Reference Curves'!$C$26,E257*'Reference Curves'!$B$25+'Reference Curves'!$B$26),2))),                                                                                                                                                                                                                    IF(B245="Cb",IF(E257&lt;1.7,0,IF(E257&gt;=3.9,1,ROUND(IF(E257&lt;2.4,E257*'Reference Curves'!$C$30+'Reference Curves'!$C$31,E257*'Reference Curves'!$B$30+'Reference Curves'!$B$31),2))),
IF(LEFT(B245,1)="E",IF(E257&lt;1.7,0,IF(E257&gt;=6.7,1,ROUND(IF(E257&lt;2.4,E257*'Reference Curves'!$C$35+'Reference Curves'!$C$36,E257*'Reference Curves'!$B$35+'Reference Curves'!$B$36),2))))))))</f>
        <v/>
      </c>
      <c r="G257" s="412"/>
      <c r="H257" s="412"/>
      <c r="I257" s="439"/>
      <c r="J257" s="443"/>
      <c r="K257" s="10"/>
      <c r="N257" s="9"/>
    </row>
    <row r="258" spans="1:14" s="5" customFormat="1" ht="15.75" customHeight="1" x14ac:dyDescent="0.5">
      <c r="A258" s="434"/>
      <c r="B258" s="437"/>
      <c r="C258" s="135" t="s">
        <v>188</v>
      </c>
      <c r="D258" s="14"/>
      <c r="E258" s="35"/>
      <c r="F258" s="207" t="str">
        <f>IF(E258="","",IF(D246="Unconfined Alluvial",IF(E258&lt;=0,0, IF(E258&gt;=100,1, ROUND(IF(E258&lt;10,E258*'Reference Curves'!$B$46+'Reference Curves'!$B$47, IF(E258&lt;50,E258*'Reference Curves'!$C$46+'Reference Curves'!$C$47,E258*'Reference Curves'!$D$46+'Reference Curves'!$D$47)),2))), IF(D246="Confined Alluvial",IF(E258&lt;=0,0,IF(E258&gt;=50,1,ROUND(IF(E258&lt;5,E258*'Reference Curves'!$E$46+'Reference Curves'!$E$47,IF(E258&lt;25,E258*'Reference Curves'!$F$46+'Reference Curves'!$F$47,E258*'Reference Curves'!$G$46+'Reference Curves'!$G$47)),2))))))</f>
        <v/>
      </c>
      <c r="G258" s="413"/>
      <c r="H258" s="413"/>
      <c r="I258" s="440"/>
      <c r="J258" s="443"/>
      <c r="K258" s="10"/>
      <c r="N258" s="9"/>
    </row>
    <row r="259" spans="1:14" s="5" customFormat="1" ht="15.6" customHeight="1" x14ac:dyDescent="0.5">
      <c r="A259" s="399" t="s">
        <v>20</v>
      </c>
      <c r="B259" s="399" t="s">
        <v>21</v>
      </c>
      <c r="C259" s="16" t="s">
        <v>19</v>
      </c>
      <c r="D259" s="46"/>
      <c r="E259" s="30"/>
      <c r="F259" s="208" t="str">
        <f>IF(E259="","",IF(E259&gt;=660,1,IF(E259&lt;=430,ROUND('Reference Curves'!$I$4*E259+'Reference Curves'!$I$5,2),ROUND('Reference Curves'!$J$4*E259+'Reference Curves'!$J$5,2))))</f>
        <v/>
      </c>
      <c r="G259" s="414" t="str">
        <f>IFERROR(AVERAGE(F259:F260),"")</f>
        <v/>
      </c>
      <c r="H259" s="414" t="str">
        <f>IFERROR(ROUND(AVERAGE(G259:G272),2),"")</f>
        <v/>
      </c>
      <c r="I259" s="417" t="str">
        <f>IF(H259="","",IF(H259&gt;0.69,"Functioning",IF(H259&gt;0.29,"Functioning At Risk",IF(H259&gt;-1,"Not Functioning"))))</f>
        <v/>
      </c>
      <c r="J259" s="443"/>
      <c r="K259" s="10"/>
      <c r="N259" s="9"/>
    </row>
    <row r="260" spans="1:14" s="5" customFormat="1" ht="15.75" x14ac:dyDescent="0.5">
      <c r="A260" s="399"/>
      <c r="B260" s="399"/>
      <c r="C260" s="18" t="s">
        <v>189</v>
      </c>
      <c r="D260" s="47"/>
      <c r="E260" s="35"/>
      <c r="F260" s="209" t="str">
        <f>IF(E260="","",IF(E260&gt;=28,1,ROUND(IF(E260&lt;=13,'Reference Curves'!$I$9*E260,'Reference Curves'!$J$9*E260+'Reference Curves'!$J$10),2)))</f>
        <v/>
      </c>
      <c r="G260" s="416"/>
      <c r="H260" s="415"/>
      <c r="I260" s="418"/>
      <c r="J260" s="443"/>
      <c r="K260" s="10"/>
      <c r="N260" s="9"/>
    </row>
    <row r="261" spans="1:14" s="5" customFormat="1" ht="15.75" x14ac:dyDescent="0.5">
      <c r="A261" s="399"/>
      <c r="B261" s="399" t="s">
        <v>114</v>
      </c>
      <c r="C261" s="16" t="s">
        <v>190</v>
      </c>
      <c r="D261" s="46"/>
      <c r="E261" s="78"/>
      <c r="F261" s="208" t="str">
        <f>IF(E261="","",ROUND(IF(E261&lt;=2,0,IF(E261&gt;=9,1, IF(E261&gt;=5,E261^2*'Reference Curves'!$I$14+E261*'Reference Curves'!$I$15+'Reference Curves'!$I$16, E261*'Reference Curves'!$J$15+'Reference Curves'!$J$16))),2))</f>
        <v/>
      </c>
      <c r="G261" s="414" t="str">
        <f>IFERROR(IF(E264&gt;=50,0,AVERAGE(F261:F264)),"")</f>
        <v/>
      </c>
      <c r="H261" s="415"/>
      <c r="I261" s="418"/>
      <c r="J261" s="443"/>
      <c r="K261" s="10"/>
      <c r="N261" s="9"/>
    </row>
    <row r="262" spans="1:14" s="5" customFormat="1" ht="15.75" x14ac:dyDescent="0.5">
      <c r="A262" s="399"/>
      <c r="B262" s="399"/>
      <c r="C262" s="18" t="s">
        <v>42</v>
      </c>
      <c r="D262" s="67"/>
      <c r="E262" s="78"/>
      <c r="F262" s="210" t="str">
        <f>IF(E262="","",IF(OR(E262="Ex/Ex",E262="Ex/VH",E262="Ex/H",E262="Ex/M",E262="VH/Ex",E262="VH/VH", E262="H/Ex",E262="H/VH"),0, IF(OR(E262="M/Ex"),0.1,IF(OR(E262="VH/H",E262="VH/M",E262="H/H",E262="H/M", E262="M/VH"),0.2, IF(OR(E262="Ex/VL",E262="Ex/L", E262="M/H"),0.3, IF(OR(E262="VH/L",E262="H/L"),0.4, IF(OR(E262="VH/VL",E262="H/VL",E262="M/M"),0.5, IF(OR(E262="M/L",E262="L/Ex"),0.6, IF(OR(E262="M/VL",E262="L/VH", E262="L/H",E262="L/M",E262="L/L",E262="L/VL", LEFT(E262,2)="VL"),1)))))))))</f>
        <v/>
      </c>
      <c r="G262" s="415"/>
      <c r="H262" s="415"/>
      <c r="I262" s="418"/>
      <c r="J262" s="443"/>
      <c r="K262" s="10"/>
      <c r="N262" s="9"/>
    </row>
    <row r="263" spans="1:14" s="5" customFormat="1" ht="15.75" x14ac:dyDescent="0.5">
      <c r="A263" s="399"/>
      <c r="B263" s="399"/>
      <c r="C263" s="136" t="s">
        <v>54</v>
      </c>
      <c r="D263" s="67"/>
      <c r="E263" s="78"/>
      <c r="F263" s="210" t="str">
        <f>IF(E263="","",ROUND(IF(E263&gt;=75,0,IF(E263&lt;=5,1,IF(E263&gt;10,E263*'Reference Curves'!I$20+'Reference Curves'!I$21,'Reference Curves'!$J$20*E263+'Reference Curves'!$J$21))),2))</f>
        <v/>
      </c>
      <c r="G263" s="421"/>
      <c r="H263" s="415"/>
      <c r="I263" s="418"/>
      <c r="J263" s="443"/>
      <c r="K263" s="10"/>
      <c r="N263" s="9"/>
    </row>
    <row r="264" spans="1:14" s="5" customFormat="1" ht="15.75" x14ac:dyDescent="0.5">
      <c r="A264" s="399"/>
      <c r="B264" s="399"/>
      <c r="C264" s="137" t="s">
        <v>113</v>
      </c>
      <c r="D264" s="154"/>
      <c r="E264" s="153"/>
      <c r="F264" s="211" t="str">
        <f>IF(E264="","",IF(E264&gt;=30,0,ROUND(E264*'Reference Curves'!$I$24+'Reference Curves'!$I$25,2)))</f>
        <v/>
      </c>
      <c r="G264" s="416"/>
      <c r="H264" s="415"/>
      <c r="I264" s="418"/>
      <c r="J264" s="443"/>
      <c r="K264" s="10"/>
      <c r="N264" s="9"/>
    </row>
    <row r="265" spans="1:14" s="5" customFormat="1" ht="15.75" x14ac:dyDescent="0.5">
      <c r="A265" s="399"/>
      <c r="B265" s="399" t="s">
        <v>44</v>
      </c>
      <c r="C265" s="16" t="s">
        <v>45</v>
      </c>
      <c r="D265" s="20"/>
      <c r="E265" s="37"/>
      <c r="F265" s="212" t="str">
        <f>IF(E265="","",IF(B245="Bc",IF(OR(E265&gt;=12,E265&lt;=0.1),0,IF(E265&lt;=3.4,1,ROUND('Reference Curves'!$I$33*E265+'Reference Curves'!$I$34,2))),
IF(OR(B245="B",B245="Ba"),IF(OR(E265&gt;=7.5,E265&lt;=0.1),0,IF(E265&lt;=3,1,ROUND(IF(E265&gt;4,'Reference Curves'!$I$29*E265+'Reference Curves'!$I$30,'Reference Curves'!$J$29*E265+'Reference Curves'!$J$30),2))),
IF(B245="Cb",IF(OR(E265&gt;=8.35,E265&lt;1.4),0,IF(AND(E265&gt;=3.7,E265&lt;=5),1,ROUND(IF(E265&lt;3.7,'Reference Curves'!$I$49*E265+'Reference Curves'!$I$50,'Reference Curves'!$J$49*E265+'Reference Curves'!$J$50),2))),
IF(B245="C",IF(OR(E265&gt;=9.3,E265&lt;=3),0,IF(AND(E265&gt;=4,E265&lt;=6),1,ROUND(IF(E265&lt;4,'Reference Curves'!$I$44*E265+'Reference Curves'!$I$45,'Reference Curves'!$J$44*E265+'Reference Curves'!$J$45),2))),
IF(B245="E",IF(OR(E265&gt;=8.3,E265&lt;1.85),0,IF(AND(E265&gt;=3.5,E265&lt;=5),1,ROUND(IF(E265&lt;3.5,'Reference Curves'!$I$38*E265+'Reference Curves'!$I$39,'Reference Curves'!$J$38*E265+'Reference Curves'!$J$39),2)))      ))))))</f>
        <v/>
      </c>
      <c r="G265" s="425" t="str">
        <f>IFERROR(AVERAGE(F265:F268),"")</f>
        <v/>
      </c>
      <c r="H265" s="415"/>
      <c r="I265" s="418"/>
      <c r="J265" s="443"/>
      <c r="K265" s="10"/>
      <c r="N265" s="9"/>
    </row>
    <row r="266" spans="1:14" s="5" customFormat="1" ht="15.75" x14ac:dyDescent="0.5">
      <c r="A266" s="399"/>
      <c r="B266" s="399"/>
      <c r="C266" s="18" t="s">
        <v>46</v>
      </c>
      <c r="D266" s="15"/>
      <c r="E266" s="36"/>
      <c r="F266" s="213" t="str">
        <f>IF(E266="","",IF(E266&lt;=1,0,IF(E266&gt;=3.2,1,IF(E266&gt;=2.2,ROUND('Reference Curves'!$J$54*E266+'Reference Curves'!$J$55,2),(ROUND('Reference Curves'!$I$54*E266+'Reference Curves'!$I$55,2))))))</f>
        <v/>
      </c>
      <c r="G266" s="421"/>
      <c r="H266" s="415"/>
      <c r="I266" s="418"/>
      <c r="J266" s="443"/>
      <c r="K266" s="10"/>
      <c r="N266" s="9"/>
    </row>
    <row r="267" spans="1:14" s="5" customFormat="1" ht="15.75" customHeight="1" x14ac:dyDescent="0.5">
      <c r="A267" s="399"/>
      <c r="B267" s="399"/>
      <c r="C267" s="18" t="s">
        <v>92</v>
      </c>
      <c r="D267" s="15"/>
      <c r="E267" s="36"/>
      <c r="F267" s="283" t="str">
        <f>IF(E267="","", IF(D244="","FALSE",IF(D244&lt;3,IF( OR(E267&gt;=91,E267&lt;=13.5),0, IF(AND(E267&gt;49,E267&lt;61), 1, ROUND(IF(E267&lt;50,'Reference Curves'!$I$60*E267+'Reference Curves'!$I$61, IF(E267&gt;60,'Reference Curves'!$J$60*E267+'Reference Curves'!$J$61)),2))), IF(D244&gt;=3,IF(OR(E267&gt;94.5,E267&lt;41.5),0, IF(AND(E267 &gt;=68, E267&lt;=78),1, ROUND(IF(E267&lt;68,'Reference Curves'!$I$65*E267+'Reference Curves'!$I$66,'Reference Curves'!$J$65*E267+'Reference Curves'!$J$66),2) ))))))</f>
        <v/>
      </c>
      <c r="G267" s="421"/>
      <c r="H267" s="415"/>
      <c r="I267" s="418"/>
      <c r="J267" s="443"/>
      <c r="K267" s="10"/>
      <c r="N267" s="9"/>
    </row>
    <row r="268" spans="1:14" s="5" customFormat="1" ht="15.75" x14ac:dyDescent="0.5">
      <c r="A268" s="399"/>
      <c r="B268" s="399"/>
      <c r="C268" s="19" t="s">
        <v>79</v>
      </c>
      <c r="D268" s="15"/>
      <c r="E268" s="38"/>
      <c r="F268" s="284" t="str">
        <f>IF(E268="","",IF(E268&gt;=1.6,0,IF(E268&lt;=1,1,ROUND('Reference Curves'!$I$74*E268^3+'Reference Curves'!$I$75*E268^2+'Reference Curves'!$I$76*E268+'Reference Curves'!$I$77,2))))</f>
        <v/>
      </c>
      <c r="G268" s="426"/>
      <c r="H268" s="415"/>
      <c r="I268" s="418"/>
      <c r="J268" s="443"/>
      <c r="K268" s="10"/>
      <c r="N268" s="9"/>
    </row>
    <row r="269" spans="1:14" s="5" customFormat="1" ht="15.75" x14ac:dyDescent="0.5">
      <c r="A269" s="399"/>
      <c r="B269" s="399" t="s">
        <v>43</v>
      </c>
      <c r="C269" s="18" t="s">
        <v>201</v>
      </c>
      <c r="D269" s="46"/>
      <c r="E269" s="17"/>
      <c r="F269" s="214" t="str">
        <f>IF( E269="","",
IF( D246="Unconfined Alluvial", IF( E269&gt;=100,1,
ROUND('Reference Curves'!$I$82*E269+'Reference Curves'!$I$83,2) ),
IF( OR(D246="Confined Alluvial", D246="Colluvial/V-Shaped"), ( IF(E269&gt;=100,1,
IF(E269&gt;=60, ROUND('Reference Curves'!$J$82*E269+'Reference Curves'!$J$83,2), ROUND('Reference Curves'!$K$82*E269+'Reference Curves'!$K$83,2) ) ) ) ) ) )</f>
        <v/>
      </c>
      <c r="G269" s="414" t="str">
        <f>IFERROR(AVERAGE(F269:F272),"")</f>
        <v/>
      </c>
      <c r="H269" s="415"/>
      <c r="I269" s="418"/>
      <c r="J269" s="443"/>
      <c r="K269" s="10"/>
      <c r="N269" s="9"/>
    </row>
    <row r="270" spans="1:14" s="5" customFormat="1" ht="15.75" x14ac:dyDescent="0.5">
      <c r="A270" s="399"/>
      <c r="B270" s="399"/>
      <c r="C270" s="18" t="s">
        <v>191</v>
      </c>
      <c r="D270" s="67"/>
      <c r="E270" s="79"/>
      <c r="F270" s="213" t="str">
        <f>IF( E270="","", IF(D247&lt;&gt;"Woody","FALSE", IF( OR(G246="Mountains",G246="Basins"),
IF(E270&lt;=0,0, IF(E270&gt;=122,1, IF(E270&lt;69, ROUND('Reference Curves'!$I$87*E270+'Reference Curves'!$I$88,2), ROUND('Reference Curves'!$J$87*E270+'Reference Curves'!$J$88,2) ) ) ),
IF(G246="Plains",IF(OR(E270&lt;=0,E270&gt;111),0,IF(AND(E270&gt;=69,E270&lt;=76),1,IF(E270&lt;69,ROUND(E270*'Reference Curves'!$I$92+'Reference Curves'!$I$93,2),ROUND(E270*'Reference Curves'!$J$92+'Reference Curves'!$J$93,2))))))))</f>
        <v/>
      </c>
      <c r="G270" s="415"/>
      <c r="H270" s="415"/>
      <c r="I270" s="418"/>
      <c r="J270" s="443"/>
      <c r="K270" s="10"/>
      <c r="N270" s="9"/>
    </row>
    <row r="271" spans="1:14" s="5" customFormat="1" ht="15.75" x14ac:dyDescent="0.5">
      <c r="A271" s="399"/>
      <c r="B271" s="399"/>
      <c r="C271" s="18" t="s">
        <v>141</v>
      </c>
      <c r="D271" s="67"/>
      <c r="E271" s="79"/>
      <c r="F271" s="213" t="str">
        <f>IF(E271="","",IF(D247="Herbaceous",IF(E271&lt;=34,0,IF(E271&gt;=120,1,IF(E271&gt;73,ROUND(E271*'Reference Curves'!$J$98+'Reference Curves'!$J$99,2),ROUND(E271*'Reference Curves'!$I$98+'Reference Curves'!$I$99,2))))))</f>
        <v/>
      </c>
      <c r="G271" s="421"/>
      <c r="H271" s="415"/>
      <c r="I271" s="418"/>
      <c r="J271" s="443"/>
      <c r="K271" s="10"/>
      <c r="N271" s="9"/>
    </row>
    <row r="272" spans="1:14" s="5" customFormat="1" ht="15.75" x14ac:dyDescent="0.5">
      <c r="A272" s="399"/>
      <c r="B272" s="399"/>
      <c r="C272" s="138" t="s">
        <v>192</v>
      </c>
      <c r="D272" s="158"/>
      <c r="E272" s="162"/>
      <c r="F272" s="283" t="str">
        <f>IF(E272="","",IF(E272&lt;=46,0,IF(E272&gt;=100,1,IF(AND(E272&lt;=100,E272&gt;91),ROUND(E272*'Reference Curves'!$J$103+'Reference Curves'!$J$104,2),ROUND(E272*'Reference Curves'!$I$103+'Reference Curves'!$I$104,2)))))</f>
        <v/>
      </c>
      <c r="G272" s="416"/>
      <c r="H272" s="416"/>
      <c r="I272" s="419"/>
      <c r="J272" s="444"/>
      <c r="K272" s="10"/>
      <c r="N272" s="9"/>
    </row>
    <row r="273" spans="1:14" s="5" customFormat="1" ht="15.6" customHeight="1" x14ac:dyDescent="0.5">
      <c r="A273" s="436" t="s">
        <v>47</v>
      </c>
      <c r="B273" s="441" t="s">
        <v>139</v>
      </c>
      <c r="C273" s="139" t="s">
        <v>193</v>
      </c>
      <c r="D273" s="160"/>
      <c r="E273" s="30"/>
      <c r="F273" s="215" t="str">
        <f>IF(E273="","",IF(G244="","Enter Stream Temperature",  IF(G244="CS-I (MWF)",IF(E273&gt;=21.2,0,1),  IF(G244="CS-I",IF(E273&gt;=21.7,0,1),  IF(G244="CS-II",IF(E273&gt;=23.9,0,1),  IF(G244="WS-I",IF(E273&gt;=29,0,1),  IF(G244="WS-II",IF(E273&gt;=28.6,0,1), IF(G244="WS-III",IF(E273&gt;=31.8,0,1)))))))))</f>
        <v/>
      </c>
      <c r="G273" s="422" t="str">
        <f>IFERROR(AVERAGE(F273:F274),"")</f>
        <v/>
      </c>
      <c r="H273" s="422">
        <f>IF(OR(G273&lt;&gt;"",G275&lt;&gt;"",G276&lt;&gt;""),ROUND(AVERAGE(G273:G276),2),IF(B248="Yes",1,0.8))</f>
        <v>0.8</v>
      </c>
      <c r="I273" s="430" t="str">
        <f>IF(H273="","",IF(H273&gt;0.69,"Functioning",IF(H273&gt;0.29,"Functioning At Risk",IF(H273&gt;-1,"Not Functioning"))))</f>
        <v>Functioning</v>
      </c>
      <c r="J273" s="219" t="s">
        <v>290</v>
      </c>
      <c r="K273" s="10"/>
      <c r="N273" s="9"/>
    </row>
    <row r="274" spans="1:14" s="5" customFormat="1" ht="15.75" x14ac:dyDescent="0.5">
      <c r="A274" s="436"/>
      <c r="B274" s="441"/>
      <c r="C274" s="140" t="s">
        <v>194</v>
      </c>
      <c r="D274" s="155"/>
      <c r="E274" s="35"/>
      <c r="F274" s="216" t="str">
        <f>IF(E274="","",IF(G244="","Enter Stream Temperature",  IF(G244="CS-I (MWF)",IF(E274&gt;=18.3,0,IF(E274&lt;=13.8,1,ROUND(E274*'Reference Curves'!$M$4+'Reference Curves'!$M$5,2))),  IF(G244="CS-I",IF(E274&gt;=17.6,0,IF(E274&lt;=15.7,1,ROUND(E274*'Reference Curves'!$N$4+'Reference Curves'!$N$5,2))),  IF(G244="CS-II",IF(E274&gt;=19.1,0,IF(E274&lt;=16.6,1,ROUND(E274*'Reference Curves'!$O$4+'Reference Curves'!$O$5,2))),  IF(G244="WS-I",IF(E274&gt;=25.7,0,IF(E274&lt;=20.9,1,ROUND(E274*'Reference Curves'!$P$4+'Reference Curves'!$P$5,2))),  IF(G244="WS-II",IF(E274&gt;=29.7,0,IF(E274&lt;=22.5,1,ROUND(E274*'Reference Curves'!$Q$4+'Reference Curves'!$Q$5,2))), IF(G244="WS-III",IF(E274&gt;=30,0,IF(E274&lt;=25.9,1,ROUND(E274*'Reference Curves'!$R$4+'Reference Curves'!$R$5,2)))    ))))))))</f>
        <v/>
      </c>
      <c r="G274" s="424"/>
      <c r="H274" s="423"/>
      <c r="I274" s="430"/>
      <c r="J274" s="442">
        <f>IF(AND(H252="",H259="",H273="",H277=""),"",ROUND((IF(H252="",0,H252)*0.3)+(IF(H259="",0,H259)*0.3)+(IF(H273="",0,H273)*0.2)+(IF(H277="",0,H277)*0.2),2))</f>
        <v>0.32</v>
      </c>
      <c r="K274" s="10"/>
      <c r="N274" s="9"/>
    </row>
    <row r="275" spans="1:14" s="5" customFormat="1" ht="15.75" x14ac:dyDescent="0.5">
      <c r="A275" s="436"/>
      <c r="B275" s="192" t="s">
        <v>140</v>
      </c>
      <c r="C275" s="142" t="s">
        <v>195</v>
      </c>
      <c r="D275" s="156"/>
      <c r="E275" s="54"/>
      <c r="F275" s="216" t="str">
        <f>IF(E275="","",ROUND( IF(E275&lt;=6,0, IF(E275&gt;=10.31,1,E275*'Reference Curves'!$M$8+'Reference Curves'!$M$9)),2))</f>
        <v/>
      </c>
      <c r="G275" s="163" t="str">
        <f>IFERROR(AVERAGE(F275),"")</f>
        <v/>
      </c>
      <c r="H275" s="423"/>
      <c r="I275" s="430"/>
      <c r="J275" s="443"/>
      <c r="K275" s="10"/>
      <c r="N275" s="9"/>
    </row>
    <row r="276" spans="1:14" s="5" customFormat="1" ht="15.75" x14ac:dyDescent="0.5">
      <c r="A276" s="436"/>
      <c r="B276" s="192" t="s">
        <v>196</v>
      </c>
      <c r="C276" s="143" t="s">
        <v>357</v>
      </c>
      <c r="D276" s="157"/>
      <c r="E276" s="54"/>
      <c r="F276" s="216" t="str">
        <f>IF(E276="","",IF(OR(G245=3),IF(E276&gt;=150,0,IF(E276&lt;=16,1,ROUND('Reference Curves'!$M$13*LN(E276)+'Reference Curves'!$M$14,2))), IF(OR(G245=1,G245=2),  IF(E276&gt;=97,0,IF(E276&lt;=12,1,ROUND('Reference Curves'!$N$13*LN(E276)+'Reference Curves'!$N$14,2))))))</f>
        <v/>
      </c>
      <c r="G276" s="163" t="str">
        <f>IFERROR(AVERAGE(F276),"")</f>
        <v/>
      </c>
      <c r="H276" s="424"/>
      <c r="I276" s="430"/>
      <c r="J276" s="443"/>
      <c r="K276" s="10"/>
      <c r="N276" s="9"/>
    </row>
    <row r="277" spans="1:14" s="5" customFormat="1" ht="15.75" x14ac:dyDescent="0.5">
      <c r="A277" s="435" t="s">
        <v>48</v>
      </c>
      <c r="B277" s="191" t="s">
        <v>93</v>
      </c>
      <c r="C277" s="145" t="s">
        <v>197</v>
      </c>
      <c r="D277" s="28"/>
      <c r="E277" s="54"/>
      <c r="F277" s="217" t="str">
        <f>IF(E277="","",IF(G245="","Enter Biotype",IF(G245=1,IF(E277&lt;=0,0,IF(E277&gt;=57,1,ROUND(IF(E277&lt;=34,'Reference Curves'!$T$5*E277+'Reference Curves'!$T$6,  IF(E277&lt;=45, 'Reference Curves'!$U$5*E277+'Reference Curves'!$U$6,  'Reference Curves'!$V$5*E277+'Reference Curves'!$V$6)),2))),   IF(G245=2,IF(E277&lt;=0,0,IF(E277&gt;=63,1,ROUND(IF(E277&lt;=40,'Reference Curves'!$W$5*E277+'Reference Curves'!$W$6,  IF(E277&lt;=48,'Reference Curves'!$X$5*E277+'Reference Curves'!$X$6,  'Reference Curves'!$Y$5*E277+'Reference Curves'!$Y$6)),2))),   IF(OR(G245=3),IF(E277&lt;=0,0,IF(E277&gt;=52,1,ROUND(IF(E277&lt;=29,'Reference Curves'!$Z$5*E277+'Reference Curves'!$Z$6, IF(E277&lt;=42, 'Reference Curves'!$AA$5*E277+'Reference Curves'!$AA$6,  'Reference Curves'!$AB$5*E277+'Reference Curves'!$AB$6)),2))))))))</f>
        <v/>
      </c>
      <c r="G277" s="164" t="str">
        <f>IFERROR(AVERAGE(F277),"")</f>
        <v/>
      </c>
      <c r="H277" s="420">
        <f>IF(OR(G277&lt;&gt;"",G278&lt;&gt;""),ROUND(AVERAGE(G277:G280),2),IF(B248="Yes",1,0.8))</f>
        <v>0.8</v>
      </c>
      <c r="I277" s="430" t="str">
        <f>IF(H277="","",IF(H277&gt;0.69,"Functioning",IF(H277&gt;0.29,"Functioning At Risk",IF(H277&gt;-1,"Not Functioning"))))</f>
        <v>Functioning</v>
      </c>
      <c r="J277" s="443"/>
      <c r="K277" s="10"/>
      <c r="N277" s="9"/>
    </row>
    <row r="278" spans="1:14" s="5" customFormat="1" ht="15.75" x14ac:dyDescent="0.5">
      <c r="A278" s="435"/>
      <c r="B278" s="398" t="s">
        <v>51</v>
      </c>
      <c r="C278" s="146" t="s">
        <v>198</v>
      </c>
      <c r="D278" s="28"/>
      <c r="E278" s="30"/>
      <c r="F278" s="164" t="str">
        <f>IF(E278="","",IF(E278&lt;=0,0,IF(E278&gt;=100,1,ROUND(IF(E278&lt;80,E278*'Reference Curves'!$T$10+'Reference Curves'!$T$11,E278*'Reference Curves'!$U$10+'Reference Curves'!$U$11),2))))</f>
        <v/>
      </c>
      <c r="G278" s="427" t="str">
        <f>IFERROR(AVERAGE(F278:F280),"")</f>
        <v/>
      </c>
      <c r="H278" s="420"/>
      <c r="I278" s="430"/>
      <c r="J278" s="443"/>
      <c r="K278" s="10"/>
      <c r="N278" s="9"/>
    </row>
    <row r="279" spans="1:14" s="5" customFormat="1" ht="15.75" x14ac:dyDescent="0.5">
      <c r="A279" s="435"/>
      <c r="B279" s="398"/>
      <c r="C279" s="147" t="s">
        <v>199</v>
      </c>
      <c r="D279" s="159"/>
      <c r="E279" s="34"/>
      <c r="F279" s="164" t="str">
        <f>IF(E279="","",ROUND(IF(E279&gt;=3,0,IF(E279&gt;=2,0.3,IF(E279&gt;=1,0.69,1))),2))</f>
        <v/>
      </c>
      <c r="G279" s="428"/>
      <c r="H279" s="420"/>
      <c r="I279" s="430"/>
      <c r="J279" s="443"/>
      <c r="K279" s="10"/>
      <c r="N279" s="9"/>
    </row>
    <row r="280" spans="1:14" s="5" customFormat="1" ht="15.75" x14ac:dyDescent="0.5">
      <c r="A280" s="435"/>
      <c r="B280" s="398"/>
      <c r="C280" s="148" t="s">
        <v>200</v>
      </c>
      <c r="D280" s="161"/>
      <c r="E280" s="35"/>
      <c r="F280" s="218" t="str">
        <f>IF(E280="","",IF(G248="","Enter Stream Producitvity Rating",IF(G248="High",IF(E280&lt;5,0,IF(E280&gt;=40,1,ROUND(E280*'Reference Curves'!$T$15+'Reference Curves'!$T$16,2))),IF(G248="Moderate",IF(E280&lt;10,0,IF(E280&gt;=80,1,ROUND(E280*'Reference Curves'!$U$15+'Reference Curves'!$U$16,2))),IF(G248="Low",IF(E280&lt;15,0,IF(E280&gt;=119,1,ROUND(E280*'Reference Curves'!$V$15+'Reference Curves'!$V$16,2)))   )))))</f>
        <v/>
      </c>
      <c r="G280" s="429"/>
      <c r="H280" s="420"/>
      <c r="I280" s="430"/>
      <c r="J280" s="444"/>
      <c r="K280" s="10"/>
      <c r="N280" s="9"/>
    </row>
    <row r="281" spans="1:14" s="5" customFormat="1" x14ac:dyDescent="0.45">
      <c r="I281" s="55"/>
      <c r="J281" s="4"/>
      <c r="K281" s="10"/>
    </row>
    <row r="282" spans="1:14" s="5" customFormat="1" x14ac:dyDescent="0.45">
      <c r="I282" s="55"/>
      <c r="J282" s="4"/>
      <c r="K282" s="10"/>
    </row>
    <row r="283" spans="1:14" s="5" customFormat="1" ht="21" customHeight="1" x14ac:dyDescent="0.45">
      <c r="A283" s="408" t="s">
        <v>349</v>
      </c>
      <c r="B283" s="409"/>
      <c r="C283" s="409"/>
      <c r="D283" s="409"/>
      <c r="E283" s="409"/>
      <c r="F283" s="409"/>
      <c r="G283" s="409"/>
      <c r="H283" s="409"/>
      <c r="I283" s="409"/>
      <c r="J283" s="410"/>
    </row>
    <row r="284" spans="1:14" s="5" customFormat="1" ht="16.149999999999999" customHeight="1" x14ac:dyDescent="0.45">
      <c r="A284" s="184" t="str">
        <f>A4</f>
        <v>Reach ID:</v>
      </c>
      <c r="B284" s="224">
        <f>'Project Assessment'!A17</f>
        <v>0</v>
      </c>
      <c r="C284" s="200" t="str">
        <f>C4</f>
        <v>Stream Slope (%):</v>
      </c>
      <c r="D284" s="290"/>
      <c r="E284" s="402" t="str">
        <f>E4</f>
        <v>Stream Temperature:</v>
      </c>
      <c r="F284" s="403"/>
      <c r="G284" s="187"/>
      <c r="H284" s="406" t="str">
        <f>H4</f>
        <v>Upstream Latitude:</v>
      </c>
      <c r="I284" s="407"/>
      <c r="J284" s="185"/>
    </row>
    <row r="285" spans="1:14" s="5" customFormat="1" ht="16.149999999999999" customHeight="1" x14ac:dyDescent="0.45">
      <c r="A285" s="184" t="str">
        <f t="shared" ref="A285:A288" si="24">A5</f>
        <v>Reference Stream Type:</v>
      </c>
      <c r="B285" s="187"/>
      <c r="C285" s="276" t="str">
        <f t="shared" ref="C285:C288" si="25">C5</f>
        <v>Proposed Bankfull Width (ft):</v>
      </c>
      <c r="D285" s="185"/>
      <c r="E285" s="402" t="str">
        <f t="shared" ref="E285:E288" si="26">E5</f>
        <v>Biotype:</v>
      </c>
      <c r="F285" s="403"/>
      <c r="G285" s="187"/>
      <c r="H285" s="406" t="str">
        <f t="shared" ref="H285:H287" si="27">H5</f>
        <v>Upstream Longitude:</v>
      </c>
      <c r="I285" s="407"/>
      <c r="J285" s="185"/>
    </row>
    <row r="286" spans="1:14" s="5" customFormat="1" ht="16.149999999999999" customHeight="1" x14ac:dyDescent="0.65">
      <c r="A286" s="184" t="str">
        <f t="shared" si="24"/>
        <v>Flow Permanence:</v>
      </c>
      <c r="B286" s="224">
        <f>'Project Assessment'!B17</f>
        <v>0</v>
      </c>
      <c r="C286" s="276" t="str">
        <f t="shared" si="25"/>
        <v>Valley Type:</v>
      </c>
      <c r="D286" s="187"/>
      <c r="E286" s="402" t="str">
        <f t="shared" si="26"/>
        <v>Ecoregion:</v>
      </c>
      <c r="F286" s="403"/>
      <c r="G286" s="187"/>
      <c r="H286" s="406" t="str">
        <f t="shared" si="27"/>
        <v>Downstream Latitude:</v>
      </c>
      <c r="I286" s="407"/>
      <c r="J286" s="185"/>
      <c r="K286" s="26"/>
    </row>
    <row r="287" spans="1:14" s="5" customFormat="1" ht="16.149999999999999" customHeight="1" x14ac:dyDescent="0.5">
      <c r="A287" s="184" t="str">
        <f t="shared" si="24"/>
        <v>Strahler Stream Order:</v>
      </c>
      <c r="B287" s="224">
        <f>'Project Assessment'!C17</f>
        <v>0</v>
      </c>
      <c r="C287" s="276" t="str">
        <f t="shared" si="25"/>
        <v>Reference Vegetation Cover:</v>
      </c>
      <c r="D287" s="187"/>
      <c r="E287" s="402" t="str">
        <f t="shared" si="26"/>
        <v>River Basin:</v>
      </c>
      <c r="F287" s="403"/>
      <c r="G287" s="187"/>
      <c r="H287" s="406" t="str">
        <f t="shared" si="27"/>
        <v>Downstream Longitude:</v>
      </c>
      <c r="I287" s="407"/>
      <c r="J287" s="185"/>
      <c r="K287" s="39"/>
    </row>
    <row r="288" spans="1:14" s="5" customFormat="1" ht="18" customHeight="1" x14ac:dyDescent="0.5">
      <c r="A288" s="184" t="str">
        <f t="shared" si="24"/>
        <v>Outstanding Water:</v>
      </c>
      <c r="B288" s="224">
        <f>'Project Assessment'!E17</f>
        <v>0</v>
      </c>
      <c r="C288" s="276" t="str">
        <f t="shared" si="25"/>
        <v>Sediment Regime:</v>
      </c>
      <c r="D288" s="263"/>
      <c r="E288" s="402" t="str">
        <f t="shared" si="26"/>
        <v>Stream Productivity Class:</v>
      </c>
      <c r="F288" s="403"/>
      <c r="G288" s="187"/>
      <c r="H288" s="201"/>
      <c r="I288" s="201"/>
      <c r="J288" s="201"/>
      <c r="K288" s="39"/>
    </row>
    <row r="289" spans="1:14" s="5" customFormat="1" ht="4.5" customHeight="1" x14ac:dyDescent="0.5">
      <c r="B289" s="58"/>
      <c r="C289" s="58"/>
      <c r="D289" s="58"/>
      <c r="E289" s="58"/>
      <c r="F289" s="58"/>
      <c r="G289" s="58"/>
      <c r="H289" s="58"/>
      <c r="I289" s="56"/>
      <c r="J289" s="10"/>
      <c r="K289" s="39"/>
    </row>
    <row r="290" spans="1:14" s="5" customFormat="1" ht="19.899999999999999" customHeight="1" x14ac:dyDescent="0.65">
      <c r="A290" s="431" t="str">
        <f>_xlfn.CONCAT("EXISTING CONDITION ASSESSMENT for Reach ",B284)</f>
        <v>EXISTING CONDITION ASSESSMENT for Reach 0</v>
      </c>
      <c r="B290" s="431"/>
      <c r="C290" s="431"/>
      <c r="D290" s="431"/>
      <c r="E290" s="431"/>
      <c r="F290" s="431"/>
      <c r="G290" s="431" t="s">
        <v>13</v>
      </c>
      <c r="H290" s="431"/>
      <c r="I290" s="431"/>
      <c r="J290" s="431"/>
      <c r="K290" s="10"/>
    </row>
    <row r="291" spans="1:14" s="5" customFormat="1" ht="15.75" x14ac:dyDescent="0.5">
      <c r="A291" s="32" t="s">
        <v>1</v>
      </c>
      <c r="B291" s="32" t="s">
        <v>2</v>
      </c>
      <c r="C291" s="432" t="s">
        <v>3</v>
      </c>
      <c r="D291" s="433"/>
      <c r="E291" s="32" t="s">
        <v>11</v>
      </c>
      <c r="F291" s="31" t="s">
        <v>12</v>
      </c>
      <c r="G291" s="32" t="s">
        <v>14</v>
      </c>
      <c r="H291" s="32" t="s">
        <v>15</v>
      </c>
      <c r="I291" s="57" t="s">
        <v>15</v>
      </c>
      <c r="J291" s="32" t="s">
        <v>98</v>
      </c>
      <c r="K291" s="10"/>
    </row>
    <row r="292" spans="1:14" s="5" customFormat="1" ht="15.75" x14ac:dyDescent="0.5">
      <c r="A292" s="434" t="s">
        <v>173</v>
      </c>
      <c r="B292" s="437" t="s">
        <v>71</v>
      </c>
      <c r="C292" s="132" t="s">
        <v>138</v>
      </c>
      <c r="D292" s="149"/>
      <c r="E292" s="30"/>
      <c r="F292" s="202" t="str">
        <f>IF(E292="","",IF(E292&gt;78,0,IF(E292&lt;=55,1,ROUND(E292*'Reference Curves'!$B$3+'Reference Curves'!$B$4,2))))</f>
        <v/>
      </c>
      <c r="G292" s="411" t="str">
        <f>IFERROR(AVERAGE(F292:F293),"")</f>
        <v/>
      </c>
      <c r="H292" s="411" t="str">
        <f>IFERROR(ROUND(AVERAGE(G292:G298),2),"")</f>
        <v/>
      </c>
      <c r="I292" s="438" t="str">
        <f>IF(H292="","",IF(H292:H298&gt;0.69,"Functioning",IF(H292&gt;0.29,"Functioning At Risk",IF(H292&gt;-1,"Not Functioning"))))</f>
        <v/>
      </c>
      <c r="J292" s="219" t="s">
        <v>339</v>
      </c>
      <c r="K292" s="10"/>
    </row>
    <row r="293" spans="1:14" s="5" customFormat="1" ht="15.75" x14ac:dyDescent="0.5">
      <c r="A293" s="434"/>
      <c r="B293" s="437"/>
      <c r="C293" s="133" t="s">
        <v>184</v>
      </c>
      <c r="D293" s="150"/>
      <c r="E293" s="35"/>
      <c r="F293" s="203" t="str">
        <f>IF(E293="","",   IF(E293&gt;3.2,0, IF(E293&lt;0, "", ROUND('Reference Curves'!$B$8*E293+'Reference Curves'!$B$9,2))))</f>
        <v/>
      </c>
      <c r="G293" s="412"/>
      <c r="H293" s="412"/>
      <c r="I293" s="439"/>
      <c r="J293" s="442" t="str">
        <f>IF(AND(H292="",H299=""),"",ROUND((IF(H292="",0,H292)*0.3)+(IF(H299="",0,H299)*0.3),2))</f>
        <v/>
      </c>
      <c r="K293" s="10"/>
    </row>
    <row r="294" spans="1:14" s="5" customFormat="1" ht="15.75" x14ac:dyDescent="0.5">
      <c r="A294" s="434"/>
      <c r="B294" s="400" t="s">
        <v>185</v>
      </c>
      <c r="C294" s="134" t="s">
        <v>186</v>
      </c>
      <c r="D294" s="149"/>
      <c r="E294" s="34"/>
      <c r="F294" s="204" t="s">
        <v>285</v>
      </c>
      <c r="G294" s="411" t="str">
        <f>IFERROR(IF(AND(ISNUMBER(E294),E294&lt;1),0,AVERAGE(F294:F295)),"")</f>
        <v/>
      </c>
      <c r="H294" s="412"/>
      <c r="I294" s="439"/>
      <c r="J294" s="443"/>
      <c r="K294" s="10"/>
    </row>
    <row r="295" spans="1:14" s="5" customFormat="1" ht="15.75" x14ac:dyDescent="0.5">
      <c r="A295" s="434"/>
      <c r="B295" s="401"/>
      <c r="C295" s="151" t="s">
        <v>187</v>
      </c>
      <c r="D295" s="152"/>
      <c r="E295" s="34"/>
      <c r="F295" s="205" t="str">
        <f>IF(E295="","",IF(G284= "CS-II", ROUND(IF(E295&lt;=0.6,0, IF(E295&gt;=2.3,1,E295*'Reference Curves'!$D$14+'Reference Curves'!$D$15)),2),IF(AND(D285&lt;20,LEFT(G284,2)="CS"), ROUND(IF(E295&lt;=0.2,0, IF(E295&gt;=1,1,E295*'Reference Curves'!$B$14+'Reference Curves'!$B$15)),2), IF(AND(D285&gt;=20,LEFT(G284,2)= "CS"), ROUND(IF(E295&lt;=0.4,0, IF(E295&gt;=1.5,1,E295*'Reference Curves'!$C$14+'Reference Curves'!$C$15)),2),"FALSE"))))</f>
        <v/>
      </c>
      <c r="G295" s="413"/>
      <c r="H295" s="412"/>
      <c r="I295" s="439"/>
      <c r="J295" s="443"/>
      <c r="K295" s="10"/>
    </row>
    <row r="296" spans="1:14" s="5" customFormat="1" ht="15.75" x14ac:dyDescent="0.5">
      <c r="A296" s="434"/>
      <c r="B296" s="437" t="s">
        <v>4</v>
      </c>
      <c r="C296" s="133" t="s">
        <v>5</v>
      </c>
      <c r="D296" s="14"/>
      <c r="E296" s="30"/>
      <c r="F296" s="206" t="str">
        <f>IF( E296="","",
IF( E296&gt;1.71,0, IF( E296&gt;1, ROUND(E296*'Reference Curves'!C$20+'Reference Curves'!C$21,2),
IF( D288="Transport", ROUND(IF( E296&lt;0.35,0, E296*'Reference Curves'!$B$20+'Reference Curves'!$B$21 ),2), 1 ))))</f>
        <v/>
      </c>
      <c r="G296" s="411" t="str">
        <f>IFERROR(AVERAGE(F296:F298),"")</f>
        <v/>
      </c>
      <c r="H296" s="412"/>
      <c r="I296" s="439"/>
      <c r="J296" s="443"/>
      <c r="K296" s="10"/>
      <c r="N296" s="9"/>
    </row>
    <row r="297" spans="1:14" s="5" customFormat="1" ht="15.75" x14ac:dyDescent="0.5">
      <c r="A297" s="434"/>
      <c r="B297" s="437"/>
      <c r="C297" s="133" t="s">
        <v>6</v>
      </c>
      <c r="D297" s="14"/>
      <c r="E297" s="34"/>
      <c r="F297" s="205" t="str">
        <f>IF(E297="","",IF(OR(LEFT(B285,1)="A",LEFT(B285,1)="B"),IF(E297&lt;1.05,0,IF(E297&gt;=2.2,1,ROUND(IF(E297&lt;1.4,E297*'Reference Curves'!$B$40+'Reference Curves'!$B$41,E297*'Reference Curves'!$C$40+'Reference Curves'!$C$41),2))), IF(B285="C",IF(E297&lt;1.7,0,IF(E297&gt;=4.2,1,ROUND(IF(E297&lt;2.4,E297*'Reference Curves'!$C$25+'Reference Curves'!$C$26,E297*'Reference Curves'!$B$25+'Reference Curves'!$B$26),2))),                                                                                                                                                                                                                    IF(B285="Cb",IF(E297&lt;1.7,0,IF(E297&gt;=3.9,1,ROUND(IF(E297&lt;2.4,E297*'Reference Curves'!$C$30+'Reference Curves'!$C$31,E297*'Reference Curves'!$B$30+'Reference Curves'!$B$31),2))),
IF(LEFT(B285,1)="E",IF(E297&lt;1.7,0,IF(E297&gt;=6.7,1,ROUND(IF(E297&lt;2.4,E297*'Reference Curves'!$C$35+'Reference Curves'!$C$36,E297*'Reference Curves'!$B$35+'Reference Curves'!$B$36),2))))))))</f>
        <v/>
      </c>
      <c r="G297" s="412"/>
      <c r="H297" s="412"/>
      <c r="I297" s="439"/>
      <c r="J297" s="443"/>
      <c r="K297" s="10"/>
      <c r="N297" s="9"/>
    </row>
    <row r="298" spans="1:14" s="5" customFormat="1" ht="15.75" customHeight="1" x14ac:dyDescent="0.5">
      <c r="A298" s="434"/>
      <c r="B298" s="437"/>
      <c r="C298" s="135" t="s">
        <v>188</v>
      </c>
      <c r="D298" s="14"/>
      <c r="E298" s="35"/>
      <c r="F298" s="207" t="str">
        <f>IF(E298="","",IF(D286="Unconfined Alluvial",IF(E298&lt;=0,0, IF(E298&gt;=100,1, ROUND(IF(E298&lt;10,E298*'Reference Curves'!$B$46+'Reference Curves'!$B$47, IF(E298&lt;50,E298*'Reference Curves'!$C$46+'Reference Curves'!$C$47,E298*'Reference Curves'!$D$46+'Reference Curves'!$D$47)),2))), IF(D286="Confined Alluvial",IF(E298&lt;=0,0,IF(E298&gt;=50,1,ROUND(IF(E298&lt;5,E298*'Reference Curves'!$E$46+'Reference Curves'!$E$47,IF(E298&lt;25,E298*'Reference Curves'!$F$46+'Reference Curves'!$F$47,E298*'Reference Curves'!$G$46+'Reference Curves'!$G$47)),2))))))</f>
        <v/>
      </c>
      <c r="G298" s="413"/>
      <c r="H298" s="413"/>
      <c r="I298" s="440"/>
      <c r="J298" s="443"/>
      <c r="K298" s="10"/>
      <c r="N298" s="9"/>
    </row>
    <row r="299" spans="1:14" s="5" customFormat="1" ht="15.6" customHeight="1" x14ac:dyDescent="0.5">
      <c r="A299" s="399" t="s">
        <v>20</v>
      </c>
      <c r="B299" s="399" t="s">
        <v>21</v>
      </c>
      <c r="C299" s="16" t="s">
        <v>19</v>
      </c>
      <c r="D299" s="46"/>
      <c r="E299" s="30"/>
      <c r="F299" s="208" t="str">
        <f>IF(E299="","",IF(E299&gt;=660,1,IF(E299&lt;=430,ROUND('Reference Curves'!$I$4*E299+'Reference Curves'!$I$5,2),ROUND('Reference Curves'!$J$4*E299+'Reference Curves'!$J$5,2))))</f>
        <v/>
      </c>
      <c r="G299" s="414" t="str">
        <f>IFERROR(AVERAGE(F299:F300),"")</f>
        <v/>
      </c>
      <c r="H299" s="414" t="str">
        <f>IFERROR(ROUND(AVERAGE(G299:G312),2),"")</f>
        <v/>
      </c>
      <c r="I299" s="417" t="str">
        <f>IF(H299="","",IF(H299&gt;0.69,"Functioning",IF(H299&gt;0.29,"Functioning At Risk",IF(H299&gt;-1,"Not Functioning"))))</f>
        <v/>
      </c>
      <c r="J299" s="443"/>
      <c r="K299" s="10"/>
      <c r="N299" s="9"/>
    </row>
    <row r="300" spans="1:14" s="5" customFormat="1" ht="15.75" x14ac:dyDescent="0.5">
      <c r="A300" s="399"/>
      <c r="B300" s="399"/>
      <c r="C300" s="18" t="s">
        <v>189</v>
      </c>
      <c r="D300" s="47"/>
      <c r="E300" s="35"/>
      <c r="F300" s="209" t="str">
        <f>IF(E300="","",IF(E300&gt;=28,1,ROUND(IF(E300&lt;=13,'Reference Curves'!$I$9*E300,'Reference Curves'!$J$9*E300+'Reference Curves'!$J$10),2)))</f>
        <v/>
      </c>
      <c r="G300" s="416"/>
      <c r="H300" s="415"/>
      <c r="I300" s="418"/>
      <c r="J300" s="443"/>
      <c r="K300" s="10"/>
      <c r="N300" s="9"/>
    </row>
    <row r="301" spans="1:14" s="5" customFormat="1" ht="15.75" x14ac:dyDescent="0.5">
      <c r="A301" s="399"/>
      <c r="B301" s="399" t="s">
        <v>114</v>
      </c>
      <c r="C301" s="16" t="s">
        <v>190</v>
      </c>
      <c r="D301" s="46"/>
      <c r="E301" s="78"/>
      <c r="F301" s="208" t="str">
        <f>IF(E301="","",ROUND(IF(E301&lt;=2,0,IF(E301&gt;=9,1, IF(E301&gt;=5,E301^2*'Reference Curves'!$I$14+E301*'Reference Curves'!$I$15+'Reference Curves'!$I$16, E301*'Reference Curves'!$J$15+'Reference Curves'!$J$16))),2))</f>
        <v/>
      </c>
      <c r="G301" s="414" t="str">
        <f>IFERROR(IF(E304&gt;=50,0,AVERAGE(F301:F304)),"")</f>
        <v/>
      </c>
      <c r="H301" s="415"/>
      <c r="I301" s="418"/>
      <c r="J301" s="443"/>
      <c r="K301" s="10"/>
      <c r="N301" s="9"/>
    </row>
    <row r="302" spans="1:14" s="5" customFormat="1" ht="15.75" x14ac:dyDescent="0.5">
      <c r="A302" s="399"/>
      <c r="B302" s="399"/>
      <c r="C302" s="18" t="s">
        <v>42</v>
      </c>
      <c r="D302" s="67"/>
      <c r="E302" s="78"/>
      <c r="F302" s="210" t="str">
        <f>IF(E302="","",IF(OR(E302="Ex/Ex",E302="Ex/VH",E302="Ex/H",E302="Ex/M",E302="VH/Ex",E302="VH/VH", E302="H/Ex",E302="H/VH"),0, IF(OR(E302="M/Ex"),0.1,IF(OR(E302="VH/H",E302="VH/M",E302="H/H",E302="H/M", E302="M/VH"),0.2, IF(OR(E302="Ex/VL",E302="Ex/L", E302="M/H"),0.3, IF(OR(E302="VH/L",E302="H/L"),0.4, IF(OR(E302="VH/VL",E302="H/VL",E302="M/M"),0.5, IF(OR(E302="M/L",E302="L/Ex"),0.6, IF(OR(E302="M/VL",E302="L/VH", E302="L/H",E302="L/M",E302="L/L",E302="L/VL", LEFT(E302,2)="VL"),1)))))))))</f>
        <v/>
      </c>
      <c r="G302" s="415"/>
      <c r="H302" s="415"/>
      <c r="I302" s="418"/>
      <c r="J302" s="443"/>
      <c r="K302" s="10"/>
      <c r="N302" s="9"/>
    </row>
    <row r="303" spans="1:14" s="5" customFormat="1" ht="15.75" x14ac:dyDescent="0.5">
      <c r="A303" s="399"/>
      <c r="B303" s="399"/>
      <c r="C303" s="136" t="s">
        <v>54</v>
      </c>
      <c r="D303" s="67"/>
      <c r="E303" s="78"/>
      <c r="F303" s="210" t="str">
        <f>IF(E303="","",ROUND(IF(E303&gt;=75,0,IF(E303&lt;=5,1,IF(E303&gt;10,E303*'Reference Curves'!I$20+'Reference Curves'!I$21,'Reference Curves'!$J$20*E303+'Reference Curves'!$J$21))),2))</f>
        <v/>
      </c>
      <c r="G303" s="421"/>
      <c r="H303" s="415"/>
      <c r="I303" s="418"/>
      <c r="J303" s="443"/>
      <c r="K303" s="10"/>
      <c r="N303" s="9"/>
    </row>
    <row r="304" spans="1:14" s="5" customFormat="1" ht="15.75" x14ac:dyDescent="0.5">
      <c r="A304" s="399"/>
      <c r="B304" s="399"/>
      <c r="C304" s="137" t="s">
        <v>113</v>
      </c>
      <c r="D304" s="154"/>
      <c r="E304" s="153"/>
      <c r="F304" s="211" t="str">
        <f>IF(E304="","",IF(E304&gt;=30,0,ROUND(E304*'Reference Curves'!$I$24+'Reference Curves'!$I$25,2)))</f>
        <v/>
      </c>
      <c r="G304" s="416"/>
      <c r="H304" s="415"/>
      <c r="I304" s="418"/>
      <c r="J304" s="443"/>
      <c r="K304" s="10"/>
      <c r="N304" s="9"/>
    </row>
    <row r="305" spans="1:14" s="5" customFormat="1" ht="15.75" x14ac:dyDescent="0.5">
      <c r="A305" s="399"/>
      <c r="B305" s="399" t="s">
        <v>44</v>
      </c>
      <c r="C305" s="16" t="s">
        <v>45</v>
      </c>
      <c r="D305" s="20"/>
      <c r="E305" s="37"/>
      <c r="F305" s="212" t="str">
        <f>IF(E305="","",IF(B285="Bc",IF(OR(E305&gt;=12,E305&lt;=0.1),0,IF(E305&lt;=3.4,1,ROUND('Reference Curves'!$I$33*E305+'Reference Curves'!$I$34,2))),
IF(OR(B285="B",B285="Ba"),IF(OR(E305&gt;=7.5,E305&lt;=0.1),0,IF(E305&lt;=3,1,ROUND(IF(E305&gt;4,'Reference Curves'!$I$29*E305+'Reference Curves'!$I$30,'Reference Curves'!$J$29*E305+'Reference Curves'!$J$30),2))),
IF(B285="Cb",IF(OR(E305&gt;=8.35,E305&lt;1.4),0,IF(AND(E305&gt;=3.7,E305&lt;=5),1,ROUND(IF(E305&lt;3.7,'Reference Curves'!$I$49*E305+'Reference Curves'!$I$50,'Reference Curves'!$J$49*E305+'Reference Curves'!$J$50),2))),
IF(B285="C",IF(OR(E305&gt;=9.3,E305&lt;=3),0,IF(AND(E305&gt;=4,E305&lt;=6),1,ROUND(IF(E305&lt;4,'Reference Curves'!$I$44*E305+'Reference Curves'!$I$45,'Reference Curves'!$J$44*E305+'Reference Curves'!$J$45),2))),
IF(B285="E",IF(OR(E305&gt;=8.3,E305&lt;1.85),0,IF(AND(E305&gt;=3.5,E305&lt;=5),1,ROUND(IF(E305&lt;3.5,'Reference Curves'!$I$38*E305+'Reference Curves'!$I$39,'Reference Curves'!$J$38*E305+'Reference Curves'!$J$39),2)))      ))))))</f>
        <v/>
      </c>
      <c r="G305" s="425" t="str">
        <f>IFERROR(AVERAGE(F305:F308),"")</f>
        <v/>
      </c>
      <c r="H305" s="415"/>
      <c r="I305" s="418"/>
      <c r="J305" s="443"/>
      <c r="K305" s="10"/>
      <c r="N305" s="9"/>
    </row>
    <row r="306" spans="1:14" s="5" customFormat="1" ht="15.75" x14ac:dyDescent="0.5">
      <c r="A306" s="399"/>
      <c r="B306" s="399"/>
      <c r="C306" s="18" t="s">
        <v>46</v>
      </c>
      <c r="D306" s="15"/>
      <c r="E306" s="36"/>
      <c r="F306" s="213" t="str">
        <f>IF(E306="","",IF(E306&lt;=1,0,IF(E306&gt;=3.2,1,IF(E306&gt;=2.2,ROUND('Reference Curves'!$J$54*E306+'Reference Curves'!$J$55,2),(ROUND('Reference Curves'!$I$54*E306+'Reference Curves'!$I$55,2))))))</f>
        <v/>
      </c>
      <c r="G306" s="421"/>
      <c r="H306" s="415"/>
      <c r="I306" s="418"/>
      <c r="J306" s="443"/>
      <c r="K306" s="10"/>
      <c r="N306" s="9"/>
    </row>
    <row r="307" spans="1:14" s="5" customFormat="1" ht="15.75" customHeight="1" x14ac:dyDescent="0.5">
      <c r="A307" s="399"/>
      <c r="B307" s="399"/>
      <c r="C307" s="18" t="s">
        <v>92</v>
      </c>
      <c r="D307" s="15"/>
      <c r="E307" s="36"/>
      <c r="F307" s="283" t="str">
        <f>IF(E307="","", IF(D284="","FALSE",IF(D284&lt;3,IF( OR(E307&gt;=91,E307&lt;=13.5),0, IF(AND(E307&gt;49,E307&lt;61), 1, ROUND(IF(E307&lt;50,'Reference Curves'!$I$60*E307+'Reference Curves'!$I$61, IF(E307&gt;60,'Reference Curves'!$J$60*E307+'Reference Curves'!$J$61)),2))), IF(D284&gt;=3,IF(OR(E307&gt;94.5,E307&lt;41.5),0, IF(AND(E307 &gt;=68, E307&lt;=78),1, ROUND(IF(E307&lt;68,'Reference Curves'!$I$65*E307+'Reference Curves'!$I$66,'Reference Curves'!$J$65*E307+'Reference Curves'!$J$66),2) ))))))</f>
        <v/>
      </c>
      <c r="G307" s="421"/>
      <c r="H307" s="415"/>
      <c r="I307" s="418"/>
      <c r="J307" s="443"/>
      <c r="K307" s="10"/>
      <c r="N307" s="9"/>
    </row>
    <row r="308" spans="1:14" s="5" customFormat="1" ht="15.75" x14ac:dyDescent="0.5">
      <c r="A308" s="399"/>
      <c r="B308" s="399"/>
      <c r="C308" s="19" t="s">
        <v>79</v>
      </c>
      <c r="D308" s="15"/>
      <c r="E308" s="38"/>
      <c r="F308" s="284" t="str">
        <f>IF(E308="","",IF(E308&gt;=1.6,0,IF(E308&lt;=1,1,ROUND('Reference Curves'!$I$74*E308^3+'Reference Curves'!$I$75*E308^2+'Reference Curves'!$I$76*E308+'Reference Curves'!$I$77,2))))</f>
        <v/>
      </c>
      <c r="G308" s="426"/>
      <c r="H308" s="415"/>
      <c r="I308" s="418"/>
      <c r="J308" s="443"/>
      <c r="K308" s="10"/>
      <c r="N308" s="9"/>
    </row>
    <row r="309" spans="1:14" s="5" customFormat="1" ht="15.75" x14ac:dyDescent="0.5">
      <c r="A309" s="399"/>
      <c r="B309" s="399" t="s">
        <v>43</v>
      </c>
      <c r="C309" s="18" t="s">
        <v>201</v>
      </c>
      <c r="D309" s="46"/>
      <c r="E309" s="17"/>
      <c r="F309" s="214" t="str">
        <f>IF( E309="","",
IF( D286="Unconfined Alluvial", IF( E309&gt;=100,1,
ROUND('Reference Curves'!$I$82*E309+'Reference Curves'!$I$83,2) ),
IF( OR(D286="Confined Alluvial", D286="Colluvial/V-Shaped"), ( IF(E309&gt;=100,1,
IF(E309&gt;=60, ROUND('Reference Curves'!$J$82*E309+'Reference Curves'!$J$83,2), ROUND('Reference Curves'!$K$82*E309+'Reference Curves'!$K$83,2) ) ) ) ) ) )</f>
        <v/>
      </c>
      <c r="G309" s="414" t="str">
        <f>IFERROR(AVERAGE(F309:F312),"")</f>
        <v/>
      </c>
      <c r="H309" s="415"/>
      <c r="I309" s="418"/>
      <c r="J309" s="443"/>
      <c r="K309" s="10"/>
      <c r="N309" s="9"/>
    </row>
    <row r="310" spans="1:14" s="5" customFormat="1" ht="15.75" x14ac:dyDescent="0.5">
      <c r="A310" s="399"/>
      <c r="B310" s="399"/>
      <c r="C310" s="18" t="s">
        <v>191</v>
      </c>
      <c r="D310" s="67"/>
      <c r="E310" s="79"/>
      <c r="F310" s="213" t="str">
        <f>IF( E310="","", IF(D287&lt;&gt;"Woody","FALSE", IF( OR(G286="Mountains",G286="Basins"),
IF(E310&lt;=0,0, IF(E310&gt;=122,1, IF(E310&lt;69, ROUND('Reference Curves'!$I$87*E310+'Reference Curves'!$I$88,2), ROUND('Reference Curves'!$J$87*E310+'Reference Curves'!$J$88,2) ) ) ),
IF(G286="Plains",IF(OR(E310&lt;=0,E310&gt;111),0,IF(AND(E310&gt;=69,E310&lt;=76),1,IF(E310&lt;69,ROUND(E310*'Reference Curves'!$I$92+'Reference Curves'!$I$93,2),ROUND(E310*'Reference Curves'!$J$92+'Reference Curves'!$J$93,2))))))))</f>
        <v/>
      </c>
      <c r="G310" s="415"/>
      <c r="H310" s="415"/>
      <c r="I310" s="418"/>
      <c r="J310" s="443"/>
      <c r="K310" s="10"/>
      <c r="N310" s="9"/>
    </row>
    <row r="311" spans="1:14" s="5" customFormat="1" ht="15.75" x14ac:dyDescent="0.5">
      <c r="A311" s="399"/>
      <c r="B311" s="399"/>
      <c r="C311" s="18" t="s">
        <v>141</v>
      </c>
      <c r="D311" s="67"/>
      <c r="E311" s="79"/>
      <c r="F311" s="213" t="str">
        <f>IF(E311="","",IF(D287="Herbaceous",IF(E311&lt;=34,0,IF(E311&gt;=120,1,IF(E311&gt;73,ROUND(E311*'Reference Curves'!$J$98+'Reference Curves'!$J$99,2),ROUND(E311*'Reference Curves'!$I$98+'Reference Curves'!$I$99,2))))))</f>
        <v/>
      </c>
      <c r="G311" s="421"/>
      <c r="H311" s="415"/>
      <c r="I311" s="418"/>
      <c r="J311" s="443"/>
      <c r="K311" s="10"/>
      <c r="N311" s="9"/>
    </row>
    <row r="312" spans="1:14" s="5" customFormat="1" ht="15.75" x14ac:dyDescent="0.5">
      <c r="A312" s="399"/>
      <c r="B312" s="399"/>
      <c r="C312" s="138" t="s">
        <v>192</v>
      </c>
      <c r="D312" s="158"/>
      <c r="E312" s="162"/>
      <c r="F312" s="283" t="str">
        <f>IF(E312="","",IF(E312&lt;=46,0,IF(E312&gt;=100,1,IF(AND(E312&lt;=100,E312&gt;91),ROUND(E312*'Reference Curves'!$J$103+'Reference Curves'!$J$104,2),ROUND(E312*'Reference Curves'!$I$103+'Reference Curves'!$I$104,2)))))</f>
        <v/>
      </c>
      <c r="G312" s="416"/>
      <c r="H312" s="416"/>
      <c r="I312" s="419"/>
      <c r="J312" s="444"/>
      <c r="K312" s="10"/>
      <c r="N312" s="9"/>
    </row>
    <row r="313" spans="1:14" s="5" customFormat="1" ht="15.6" customHeight="1" x14ac:dyDescent="0.5">
      <c r="A313" s="436" t="s">
        <v>47</v>
      </c>
      <c r="B313" s="441" t="s">
        <v>139</v>
      </c>
      <c r="C313" s="139" t="s">
        <v>193</v>
      </c>
      <c r="D313" s="160"/>
      <c r="E313" s="30"/>
      <c r="F313" s="215" t="str">
        <f>IF(E313="","",IF(G284="","Enter Stream Temperature",  IF(G284="CS-I (MWF)",IF(E313&gt;=21.2,0,1),  IF(G284="CS-I",IF(E313&gt;=21.7,0,1),  IF(G284="CS-II",IF(E313&gt;=23.9,0,1),  IF(G284="WS-I",IF(E313&gt;=29,0,1),  IF(G284="WS-II",IF(E313&gt;=28.6,0,1), IF(G284="WS-III",IF(E313&gt;=31.8,0,1)))))))))</f>
        <v/>
      </c>
      <c r="G313" s="422" t="str">
        <f>IFERROR(AVERAGE(F313:F314),"")</f>
        <v/>
      </c>
      <c r="H313" s="422">
        <f>IF(OR(G313&lt;&gt;"",G315&lt;&gt;"",G316&lt;&gt;""),ROUND(AVERAGE(G313:G316),2),IF(B288="Yes",1,0.8))</f>
        <v>0.8</v>
      </c>
      <c r="I313" s="430" t="str">
        <f>IF(H313="","",IF(H313&gt;0.69,"Functioning",IF(H313&gt;0.29,"Functioning At Risk",IF(H313&gt;-1,"Not Functioning"))))</f>
        <v>Functioning</v>
      </c>
      <c r="J313" s="219" t="s">
        <v>290</v>
      </c>
      <c r="K313" s="10"/>
      <c r="N313" s="9"/>
    </row>
    <row r="314" spans="1:14" s="5" customFormat="1" ht="15.75" x14ac:dyDescent="0.5">
      <c r="A314" s="436"/>
      <c r="B314" s="441"/>
      <c r="C314" s="140" t="s">
        <v>194</v>
      </c>
      <c r="D314" s="155"/>
      <c r="E314" s="35"/>
      <c r="F314" s="216" t="str">
        <f>IF(E314="","",IF(G284="","Enter Stream Temperature",  IF(G284="CS-I (MWF)",IF(E314&gt;=18.3,0,IF(E314&lt;=13.8,1,ROUND(E314*'Reference Curves'!$M$4+'Reference Curves'!$M$5,2))),  IF(G284="CS-I",IF(E314&gt;=17.6,0,IF(E314&lt;=15.7,1,ROUND(E314*'Reference Curves'!$N$4+'Reference Curves'!$N$5,2))),  IF(G284="CS-II",IF(E314&gt;=19.1,0,IF(E314&lt;=16.6,1,ROUND(E314*'Reference Curves'!$O$4+'Reference Curves'!$O$5,2))),  IF(G284="WS-I",IF(E314&gt;=25.7,0,IF(E314&lt;=20.9,1,ROUND(E314*'Reference Curves'!$P$4+'Reference Curves'!$P$5,2))),  IF(G284="WS-II",IF(E314&gt;=29.7,0,IF(E314&lt;=22.5,1,ROUND(E314*'Reference Curves'!$Q$4+'Reference Curves'!$Q$5,2))), IF(G284="WS-III",IF(E314&gt;=30,0,IF(E314&lt;=25.9,1,ROUND(E314*'Reference Curves'!$R$4+'Reference Curves'!$R$5,2)))    ))))))))</f>
        <v/>
      </c>
      <c r="G314" s="424"/>
      <c r="H314" s="423"/>
      <c r="I314" s="430"/>
      <c r="J314" s="442">
        <f>IF(AND(H292="",H299="",H313="",H317=""),"",ROUND((IF(H292="",0,H292)*0.3)+(IF(H299="",0,H299)*0.3)+(IF(H313="",0,H313)*0.2)+(IF(H317="",0,H317)*0.2),2))</f>
        <v>0.32</v>
      </c>
      <c r="K314" s="10"/>
      <c r="N314" s="9"/>
    </row>
    <row r="315" spans="1:14" s="5" customFormat="1" ht="15.75" x14ac:dyDescent="0.5">
      <c r="A315" s="436"/>
      <c r="B315" s="192" t="s">
        <v>140</v>
      </c>
      <c r="C315" s="142" t="s">
        <v>195</v>
      </c>
      <c r="D315" s="156"/>
      <c r="E315" s="54"/>
      <c r="F315" s="216" t="str">
        <f>IF(E315="","",ROUND( IF(E315&lt;=6,0, IF(E315&gt;=10.31,1,E315*'Reference Curves'!$M$8+'Reference Curves'!$M$9)),2))</f>
        <v/>
      </c>
      <c r="G315" s="163" t="str">
        <f>IFERROR(AVERAGE(F315),"")</f>
        <v/>
      </c>
      <c r="H315" s="423"/>
      <c r="I315" s="430"/>
      <c r="J315" s="443"/>
      <c r="K315" s="10"/>
      <c r="N315" s="9"/>
    </row>
    <row r="316" spans="1:14" s="5" customFormat="1" ht="15.75" x14ac:dyDescent="0.5">
      <c r="A316" s="436"/>
      <c r="B316" s="192" t="s">
        <v>196</v>
      </c>
      <c r="C316" s="143" t="s">
        <v>357</v>
      </c>
      <c r="D316" s="157"/>
      <c r="E316" s="54"/>
      <c r="F316" s="216" t="str">
        <f>IF(E316="","",IF(OR(G285=3),IF(E316&gt;=150,0,IF(E316&lt;=16,1,ROUND('Reference Curves'!$M$13*LN(E316)+'Reference Curves'!$M$14,2))), IF(OR(G285=1,G285=2),  IF(E316&gt;=97,0,IF(E316&lt;=12,1,ROUND('Reference Curves'!$N$13*LN(E316)+'Reference Curves'!$N$14,2))))))</f>
        <v/>
      </c>
      <c r="G316" s="163" t="str">
        <f>IFERROR(AVERAGE(F316),"")</f>
        <v/>
      </c>
      <c r="H316" s="424"/>
      <c r="I316" s="430"/>
      <c r="J316" s="443"/>
      <c r="K316" s="10"/>
      <c r="N316" s="9"/>
    </row>
    <row r="317" spans="1:14" s="5" customFormat="1" ht="15.75" x14ac:dyDescent="0.5">
      <c r="A317" s="435" t="s">
        <v>48</v>
      </c>
      <c r="B317" s="191" t="s">
        <v>93</v>
      </c>
      <c r="C317" s="145" t="s">
        <v>197</v>
      </c>
      <c r="D317" s="28"/>
      <c r="E317" s="54"/>
      <c r="F317" s="217" t="str">
        <f>IF(E317="","",IF(G285="","Enter Biotype",IF(G285=1,IF(E317&lt;=0,0,IF(E317&gt;=57,1,ROUND(IF(E317&lt;=34,'Reference Curves'!$T$5*E317+'Reference Curves'!$T$6,  IF(E317&lt;=45, 'Reference Curves'!$U$5*E317+'Reference Curves'!$U$6,  'Reference Curves'!$V$5*E317+'Reference Curves'!$V$6)),2))),   IF(G285=2,IF(E317&lt;=0,0,IF(E317&gt;=63,1,ROUND(IF(E317&lt;=40,'Reference Curves'!$W$5*E317+'Reference Curves'!$W$6,  IF(E317&lt;=48,'Reference Curves'!$X$5*E317+'Reference Curves'!$X$6,  'Reference Curves'!$Y$5*E317+'Reference Curves'!$Y$6)),2))),   IF(OR(G285=3),IF(E317&lt;=0,0,IF(E317&gt;=52,1,ROUND(IF(E317&lt;=29,'Reference Curves'!$Z$5*E317+'Reference Curves'!$Z$6, IF(E317&lt;=42, 'Reference Curves'!$AA$5*E317+'Reference Curves'!$AA$6,  'Reference Curves'!$AB$5*E317+'Reference Curves'!$AB$6)),2))))))))</f>
        <v/>
      </c>
      <c r="G317" s="164" t="str">
        <f>IFERROR(AVERAGE(F317),"")</f>
        <v/>
      </c>
      <c r="H317" s="420">
        <f>IF(OR(G317&lt;&gt;"",G318&lt;&gt;""),ROUND(AVERAGE(G317:G320),2),IF(B288="Yes",1,0.8))</f>
        <v>0.8</v>
      </c>
      <c r="I317" s="430" t="str">
        <f>IF(H317="","",IF(H317&gt;0.69,"Functioning",IF(H317&gt;0.29,"Functioning At Risk",IF(H317&gt;-1,"Not Functioning"))))</f>
        <v>Functioning</v>
      </c>
      <c r="J317" s="443"/>
      <c r="K317" s="10"/>
      <c r="N317" s="9"/>
    </row>
    <row r="318" spans="1:14" s="5" customFormat="1" ht="15.75" x14ac:dyDescent="0.5">
      <c r="A318" s="435"/>
      <c r="B318" s="398" t="s">
        <v>51</v>
      </c>
      <c r="C318" s="146" t="s">
        <v>198</v>
      </c>
      <c r="D318" s="28"/>
      <c r="E318" s="30"/>
      <c r="F318" s="164" t="str">
        <f>IF(E318="","",IF(E318&lt;=0,0,IF(E318&gt;=100,1,ROUND(IF(E318&lt;80,E318*'Reference Curves'!$T$10+'Reference Curves'!$T$11,E318*'Reference Curves'!$U$10+'Reference Curves'!$U$11),2))))</f>
        <v/>
      </c>
      <c r="G318" s="427" t="str">
        <f>IFERROR(AVERAGE(F318:F320),"")</f>
        <v/>
      </c>
      <c r="H318" s="420"/>
      <c r="I318" s="430"/>
      <c r="J318" s="443"/>
      <c r="K318" s="10"/>
      <c r="N318" s="9"/>
    </row>
    <row r="319" spans="1:14" s="5" customFormat="1" ht="15.75" x14ac:dyDescent="0.5">
      <c r="A319" s="435"/>
      <c r="B319" s="398"/>
      <c r="C319" s="147" t="s">
        <v>199</v>
      </c>
      <c r="D319" s="159"/>
      <c r="E319" s="34"/>
      <c r="F319" s="164" t="str">
        <f>IF(E319="","",ROUND(IF(E319&gt;=3,0,IF(E319&gt;=2,0.3,IF(E319&gt;=1,0.69,1))),2))</f>
        <v/>
      </c>
      <c r="G319" s="428"/>
      <c r="H319" s="420"/>
      <c r="I319" s="430"/>
      <c r="J319" s="443"/>
      <c r="K319" s="10"/>
      <c r="N319" s="9"/>
    </row>
    <row r="320" spans="1:14" s="5" customFormat="1" ht="15.75" x14ac:dyDescent="0.5">
      <c r="A320" s="435"/>
      <c r="B320" s="398"/>
      <c r="C320" s="148" t="s">
        <v>200</v>
      </c>
      <c r="D320" s="161"/>
      <c r="E320" s="35"/>
      <c r="F320" s="218" t="str">
        <f>IF(E320="","",IF(G288="","Enter Stream Producitvity Rating",IF(G288="High",IF(E320&lt;5,0,IF(E320&gt;=40,1,ROUND(E320*'Reference Curves'!$T$15+'Reference Curves'!$T$16,2))),IF(G288="Moderate",IF(E320&lt;10,0,IF(E320&gt;=80,1,ROUND(E320*'Reference Curves'!$U$15+'Reference Curves'!$U$16,2))),IF(G288="Low",IF(E320&lt;15,0,IF(E320&gt;=119,1,ROUND(E320*'Reference Curves'!$V$15+'Reference Curves'!$V$16,2)))   )))))</f>
        <v/>
      </c>
      <c r="G320" s="429"/>
      <c r="H320" s="420"/>
      <c r="I320" s="430"/>
      <c r="J320" s="444"/>
      <c r="K320" s="10"/>
      <c r="N320" s="9"/>
    </row>
    <row r="321" spans="1:14" s="5" customFormat="1" x14ac:dyDescent="0.45">
      <c r="I321" s="55"/>
      <c r="J321" s="4"/>
      <c r="K321" s="10"/>
    </row>
    <row r="322" spans="1:14" s="5" customFormat="1" x14ac:dyDescent="0.45">
      <c r="I322" s="55"/>
      <c r="K322" s="10"/>
    </row>
    <row r="323" spans="1:14" s="5" customFormat="1" ht="21" customHeight="1" x14ac:dyDescent="0.45">
      <c r="A323" s="408" t="s">
        <v>349</v>
      </c>
      <c r="B323" s="409"/>
      <c r="C323" s="409"/>
      <c r="D323" s="409"/>
      <c r="E323" s="409"/>
      <c r="F323" s="409"/>
      <c r="G323" s="409"/>
      <c r="H323" s="409"/>
      <c r="I323" s="409"/>
      <c r="J323" s="410"/>
    </row>
    <row r="324" spans="1:14" s="5" customFormat="1" ht="16.149999999999999" customHeight="1" x14ac:dyDescent="0.45">
      <c r="A324" s="184" t="str">
        <f>A4</f>
        <v>Reach ID:</v>
      </c>
      <c r="B324" s="224">
        <f>'Project Assessment'!A18</f>
        <v>0</v>
      </c>
      <c r="C324" s="200" t="str">
        <f>C4</f>
        <v>Stream Slope (%):</v>
      </c>
      <c r="D324" s="290"/>
      <c r="E324" s="402" t="str">
        <f>E4</f>
        <v>Stream Temperature:</v>
      </c>
      <c r="F324" s="403"/>
      <c r="G324" s="187"/>
      <c r="H324" s="406" t="str">
        <f>H4</f>
        <v>Upstream Latitude:</v>
      </c>
      <c r="I324" s="407"/>
      <c r="J324" s="185"/>
    </row>
    <row r="325" spans="1:14" s="5" customFormat="1" ht="16.149999999999999" customHeight="1" x14ac:dyDescent="0.45">
      <c r="A325" s="184" t="str">
        <f t="shared" ref="A325:A328" si="28">A5</f>
        <v>Reference Stream Type:</v>
      </c>
      <c r="B325" s="187"/>
      <c r="C325" s="276" t="str">
        <f t="shared" ref="C325:C328" si="29">C5</f>
        <v>Proposed Bankfull Width (ft):</v>
      </c>
      <c r="D325" s="185"/>
      <c r="E325" s="402" t="str">
        <f t="shared" ref="E325:E328" si="30">E5</f>
        <v>Biotype:</v>
      </c>
      <c r="F325" s="403"/>
      <c r="G325" s="187"/>
      <c r="H325" s="406" t="str">
        <f t="shared" ref="H325:H327" si="31">H5</f>
        <v>Upstream Longitude:</v>
      </c>
      <c r="I325" s="407"/>
      <c r="J325" s="185"/>
    </row>
    <row r="326" spans="1:14" s="5" customFormat="1" ht="16.149999999999999" customHeight="1" x14ac:dyDescent="0.65">
      <c r="A326" s="184" t="str">
        <f t="shared" si="28"/>
        <v>Flow Permanence:</v>
      </c>
      <c r="B326" s="224">
        <f>'Project Assessment'!B18</f>
        <v>0</v>
      </c>
      <c r="C326" s="276" t="str">
        <f t="shared" si="29"/>
        <v>Valley Type:</v>
      </c>
      <c r="D326" s="187"/>
      <c r="E326" s="402" t="str">
        <f t="shared" si="30"/>
        <v>Ecoregion:</v>
      </c>
      <c r="F326" s="403"/>
      <c r="G326" s="187"/>
      <c r="H326" s="406" t="str">
        <f t="shared" si="31"/>
        <v>Downstream Latitude:</v>
      </c>
      <c r="I326" s="407"/>
      <c r="J326" s="185"/>
      <c r="K326" s="26"/>
    </row>
    <row r="327" spans="1:14" s="5" customFormat="1" ht="16.149999999999999" customHeight="1" x14ac:dyDescent="0.5">
      <c r="A327" s="184" t="str">
        <f t="shared" si="28"/>
        <v>Strahler Stream Order:</v>
      </c>
      <c r="B327" s="224">
        <f>'Project Assessment'!C18</f>
        <v>0</v>
      </c>
      <c r="C327" s="276" t="str">
        <f t="shared" si="29"/>
        <v>Reference Vegetation Cover:</v>
      </c>
      <c r="D327" s="187"/>
      <c r="E327" s="402" t="str">
        <f t="shared" si="30"/>
        <v>River Basin:</v>
      </c>
      <c r="F327" s="403"/>
      <c r="G327" s="187"/>
      <c r="H327" s="406" t="str">
        <f t="shared" si="31"/>
        <v>Downstream Longitude:</v>
      </c>
      <c r="I327" s="407"/>
      <c r="J327" s="185"/>
      <c r="K327" s="39"/>
    </row>
    <row r="328" spans="1:14" s="5" customFormat="1" ht="18" customHeight="1" x14ac:dyDescent="0.5">
      <c r="A328" s="184" t="str">
        <f t="shared" si="28"/>
        <v>Outstanding Water:</v>
      </c>
      <c r="B328" s="224">
        <f>'Project Assessment'!E18</f>
        <v>0</v>
      </c>
      <c r="C328" s="276" t="str">
        <f t="shared" si="29"/>
        <v>Sediment Regime:</v>
      </c>
      <c r="D328" s="263"/>
      <c r="E328" s="402" t="str">
        <f t="shared" si="30"/>
        <v>Stream Productivity Class:</v>
      </c>
      <c r="F328" s="403"/>
      <c r="G328" s="187"/>
      <c r="H328" s="201"/>
      <c r="I328" s="201"/>
      <c r="J328" s="201"/>
      <c r="K328" s="39"/>
    </row>
    <row r="329" spans="1:14" s="5" customFormat="1" ht="4.5" customHeight="1" x14ac:dyDescent="0.5">
      <c r="B329" s="58"/>
      <c r="C329" s="58"/>
      <c r="D329" s="58"/>
      <c r="E329" s="58"/>
      <c r="F329" s="58"/>
      <c r="G329" s="58"/>
      <c r="H329" s="58"/>
      <c r="I329" s="56"/>
      <c r="J329" s="10"/>
      <c r="K329" s="39"/>
    </row>
    <row r="330" spans="1:14" s="5" customFormat="1" ht="19.899999999999999" customHeight="1" x14ac:dyDescent="0.65">
      <c r="A330" s="431" t="str">
        <f>_xlfn.CONCAT("EXISTING CONDITION ASSESSMENT for Reach ",B324)</f>
        <v>EXISTING CONDITION ASSESSMENT for Reach 0</v>
      </c>
      <c r="B330" s="431"/>
      <c r="C330" s="431"/>
      <c r="D330" s="431"/>
      <c r="E330" s="431"/>
      <c r="F330" s="431"/>
      <c r="G330" s="431" t="s">
        <v>13</v>
      </c>
      <c r="H330" s="431"/>
      <c r="I330" s="431"/>
      <c r="J330" s="431"/>
      <c r="K330" s="10"/>
    </row>
    <row r="331" spans="1:14" s="5" customFormat="1" ht="15.75" x14ac:dyDescent="0.5">
      <c r="A331" s="32" t="s">
        <v>1</v>
      </c>
      <c r="B331" s="32" t="s">
        <v>2</v>
      </c>
      <c r="C331" s="432" t="s">
        <v>3</v>
      </c>
      <c r="D331" s="433"/>
      <c r="E331" s="32" t="s">
        <v>11</v>
      </c>
      <c r="F331" s="31" t="s">
        <v>12</v>
      </c>
      <c r="G331" s="32" t="s">
        <v>14</v>
      </c>
      <c r="H331" s="32" t="s">
        <v>15</v>
      </c>
      <c r="I331" s="57" t="s">
        <v>15</v>
      </c>
      <c r="J331" s="32" t="s">
        <v>98</v>
      </c>
      <c r="K331" s="10"/>
    </row>
    <row r="332" spans="1:14" s="5" customFormat="1" ht="15.75" x14ac:dyDescent="0.5">
      <c r="A332" s="434" t="s">
        <v>173</v>
      </c>
      <c r="B332" s="437" t="s">
        <v>71</v>
      </c>
      <c r="C332" s="132" t="s">
        <v>138</v>
      </c>
      <c r="D332" s="149"/>
      <c r="E332" s="30"/>
      <c r="F332" s="202" t="str">
        <f>IF(E332="","",IF(E332&gt;78,0,IF(E332&lt;=55,1,ROUND(E332*'Reference Curves'!$B$3+'Reference Curves'!$B$4,2))))</f>
        <v/>
      </c>
      <c r="G332" s="411" t="str">
        <f>IFERROR(AVERAGE(F332:F333),"")</f>
        <v/>
      </c>
      <c r="H332" s="411" t="str">
        <f>IFERROR(ROUND(AVERAGE(G332:G338),2),"")</f>
        <v/>
      </c>
      <c r="I332" s="438" t="str">
        <f>IF(H332="","",IF(H332:H338&gt;0.69,"Functioning",IF(H332&gt;0.29,"Functioning At Risk",IF(H332&gt;-1,"Not Functioning"))))</f>
        <v/>
      </c>
      <c r="J332" s="219" t="s">
        <v>339</v>
      </c>
      <c r="K332" s="10"/>
    </row>
    <row r="333" spans="1:14" s="5" customFormat="1" ht="15.75" x14ac:dyDescent="0.5">
      <c r="A333" s="434"/>
      <c r="B333" s="437"/>
      <c r="C333" s="133" t="s">
        <v>184</v>
      </c>
      <c r="D333" s="150"/>
      <c r="E333" s="35"/>
      <c r="F333" s="203" t="str">
        <f>IF(E333="","",   IF(E333&gt;3.2,0, IF(E333&lt;0, "", ROUND('Reference Curves'!$B$8*E333+'Reference Curves'!$B$9,2))))</f>
        <v/>
      </c>
      <c r="G333" s="412"/>
      <c r="H333" s="412"/>
      <c r="I333" s="439"/>
      <c r="J333" s="442" t="str">
        <f>IF(AND(H332="",H339=""),"",ROUND((IF(H332="",0,H332)*0.3)+(IF(H339="",0,H339)*0.3),2))</f>
        <v/>
      </c>
      <c r="K333" s="10"/>
    </row>
    <row r="334" spans="1:14" s="5" customFormat="1" ht="15.75" x14ac:dyDescent="0.5">
      <c r="A334" s="434"/>
      <c r="B334" s="400" t="s">
        <v>185</v>
      </c>
      <c r="C334" s="134" t="s">
        <v>186</v>
      </c>
      <c r="D334" s="149"/>
      <c r="E334" s="34"/>
      <c r="F334" s="204" t="s">
        <v>285</v>
      </c>
      <c r="G334" s="411" t="str">
        <f>IFERROR(IF(AND(ISNUMBER(E334),E334&lt;1),0,AVERAGE(F334:F335)),"")</f>
        <v/>
      </c>
      <c r="H334" s="412"/>
      <c r="I334" s="439"/>
      <c r="J334" s="443"/>
      <c r="K334" s="10"/>
    </row>
    <row r="335" spans="1:14" s="5" customFormat="1" ht="15.75" x14ac:dyDescent="0.5">
      <c r="A335" s="434"/>
      <c r="B335" s="401"/>
      <c r="C335" s="151" t="s">
        <v>187</v>
      </c>
      <c r="D335" s="152"/>
      <c r="E335" s="34"/>
      <c r="F335" s="205" t="str">
        <f>IF(E335="","",IF(G324= "CS-II", ROUND(IF(E335&lt;=0.6,0, IF(E335&gt;=2.3,1,E335*'Reference Curves'!$D$14+'Reference Curves'!$D$15)),2),IF(AND(D325&lt;20,LEFT(G324,2)="CS"), ROUND(IF(E335&lt;=0.2,0, IF(E335&gt;=1,1,E335*'Reference Curves'!$B$14+'Reference Curves'!$B$15)),2), IF(AND(D325&gt;=20,LEFT(G324,2)= "CS"), ROUND(IF(E335&lt;=0.4,0, IF(E335&gt;=1.5,1,E335*'Reference Curves'!$C$14+'Reference Curves'!$C$15)),2),"FALSE"))))</f>
        <v/>
      </c>
      <c r="G335" s="413"/>
      <c r="H335" s="412"/>
      <c r="I335" s="439"/>
      <c r="J335" s="443"/>
      <c r="K335" s="10"/>
    </row>
    <row r="336" spans="1:14" s="5" customFormat="1" ht="15.75" x14ac:dyDescent="0.5">
      <c r="A336" s="434"/>
      <c r="B336" s="437" t="s">
        <v>4</v>
      </c>
      <c r="C336" s="133" t="s">
        <v>5</v>
      </c>
      <c r="D336" s="14"/>
      <c r="E336" s="30"/>
      <c r="F336" s="206" t="str">
        <f>IF( E336="","",
IF( E336&gt;1.71,0, IF( E336&gt;1, ROUND(E336*'Reference Curves'!C$20+'Reference Curves'!C$21,2),
IF( D328="Transport", ROUND(IF( E336&lt;0.35,0, E336*'Reference Curves'!$B$20+'Reference Curves'!$B$21 ),2), 1 ))))</f>
        <v/>
      </c>
      <c r="G336" s="411" t="str">
        <f>IFERROR(AVERAGE(F336:F338),"")</f>
        <v/>
      </c>
      <c r="H336" s="412"/>
      <c r="I336" s="439"/>
      <c r="J336" s="443"/>
      <c r="K336" s="10"/>
      <c r="N336" s="9"/>
    </row>
    <row r="337" spans="1:14" s="5" customFormat="1" ht="15.75" x14ac:dyDescent="0.5">
      <c r="A337" s="434"/>
      <c r="B337" s="437"/>
      <c r="C337" s="133" t="s">
        <v>6</v>
      </c>
      <c r="D337" s="14"/>
      <c r="E337" s="34"/>
      <c r="F337" s="205" t="str">
        <f>IF(E337="","",IF(OR(LEFT(B325,1)="A",LEFT(B325,1)="B"),IF(E337&lt;1.05,0,IF(E337&gt;=2.2,1,ROUND(IF(E337&lt;1.4,E337*'Reference Curves'!$B$40+'Reference Curves'!$B$41,E337*'Reference Curves'!$C$40+'Reference Curves'!$C$41),2))), IF(B325="C",IF(E337&lt;1.7,0,IF(E337&gt;=4.2,1,ROUND(IF(E337&lt;2.4,E337*'Reference Curves'!$C$25+'Reference Curves'!$C$26,E337*'Reference Curves'!$B$25+'Reference Curves'!$B$26),2))),                                                                                                                                                                                                                    IF(B325="Cb",IF(E337&lt;1.7,0,IF(E337&gt;=3.9,1,ROUND(IF(E337&lt;2.4,E337*'Reference Curves'!$C$30+'Reference Curves'!$C$31,E337*'Reference Curves'!$B$30+'Reference Curves'!$B$31),2))),
IF(LEFT(B325,1)="E",IF(E337&lt;1.7,0,IF(E337&gt;=6.7,1,ROUND(IF(E337&lt;2.4,E337*'Reference Curves'!$C$35+'Reference Curves'!$C$36,E337*'Reference Curves'!$B$35+'Reference Curves'!$B$36),2))))))))</f>
        <v/>
      </c>
      <c r="G337" s="412"/>
      <c r="H337" s="412"/>
      <c r="I337" s="439"/>
      <c r="J337" s="443"/>
      <c r="K337" s="10"/>
      <c r="N337" s="9"/>
    </row>
    <row r="338" spans="1:14" s="5" customFormat="1" ht="15.75" customHeight="1" x14ac:dyDescent="0.5">
      <c r="A338" s="434"/>
      <c r="B338" s="437"/>
      <c r="C338" s="135" t="s">
        <v>188</v>
      </c>
      <c r="D338" s="14"/>
      <c r="E338" s="35"/>
      <c r="F338" s="207" t="str">
        <f>IF(E338="","",IF(D326="Unconfined Alluvial",IF(E338&lt;=0,0, IF(E338&gt;=100,1, ROUND(IF(E338&lt;10,E338*'Reference Curves'!$B$46+'Reference Curves'!$B$47, IF(E338&lt;50,E338*'Reference Curves'!$C$46+'Reference Curves'!$C$47,E338*'Reference Curves'!$D$46+'Reference Curves'!$D$47)),2))), IF(D326="Confined Alluvial",IF(E338&lt;=0,0,IF(E338&gt;=50,1,ROUND(IF(E338&lt;5,E338*'Reference Curves'!$E$46+'Reference Curves'!$E$47,IF(E338&lt;25,E338*'Reference Curves'!$F$46+'Reference Curves'!$F$47,E338*'Reference Curves'!$G$46+'Reference Curves'!$G$47)),2))))))</f>
        <v/>
      </c>
      <c r="G338" s="413"/>
      <c r="H338" s="413"/>
      <c r="I338" s="440"/>
      <c r="J338" s="443"/>
      <c r="K338" s="10"/>
      <c r="N338" s="9"/>
    </row>
    <row r="339" spans="1:14" s="5" customFormat="1" ht="15.6" customHeight="1" x14ac:dyDescent="0.5">
      <c r="A339" s="399" t="s">
        <v>20</v>
      </c>
      <c r="B339" s="399" t="s">
        <v>21</v>
      </c>
      <c r="C339" s="16" t="s">
        <v>19</v>
      </c>
      <c r="D339" s="46"/>
      <c r="E339" s="30"/>
      <c r="F339" s="208" t="str">
        <f>IF(E339="","",IF(E339&gt;=660,1,IF(E339&lt;=430,ROUND('Reference Curves'!$I$4*E339+'Reference Curves'!$I$5,2),ROUND('Reference Curves'!$J$4*E339+'Reference Curves'!$J$5,2))))</f>
        <v/>
      </c>
      <c r="G339" s="414" t="str">
        <f>IFERROR(AVERAGE(F339:F340),"")</f>
        <v/>
      </c>
      <c r="H339" s="414" t="str">
        <f>IFERROR(ROUND(AVERAGE(G339:G352),2),"")</f>
        <v/>
      </c>
      <c r="I339" s="417" t="str">
        <f>IF(H339="","",IF(H339&gt;0.69,"Functioning",IF(H339&gt;0.29,"Functioning At Risk",IF(H339&gt;-1,"Not Functioning"))))</f>
        <v/>
      </c>
      <c r="J339" s="443"/>
      <c r="K339" s="10"/>
      <c r="N339" s="9"/>
    </row>
    <row r="340" spans="1:14" s="5" customFormat="1" ht="15.75" x14ac:dyDescent="0.5">
      <c r="A340" s="399"/>
      <c r="B340" s="399"/>
      <c r="C340" s="18" t="s">
        <v>189</v>
      </c>
      <c r="D340" s="47"/>
      <c r="E340" s="35"/>
      <c r="F340" s="209" t="str">
        <f>IF(E340="","",IF(E340&gt;=28,1,ROUND(IF(E340&lt;=13,'Reference Curves'!$I$9*E340,'Reference Curves'!$J$9*E340+'Reference Curves'!$J$10),2)))</f>
        <v/>
      </c>
      <c r="G340" s="416"/>
      <c r="H340" s="415"/>
      <c r="I340" s="418"/>
      <c r="J340" s="443"/>
      <c r="K340" s="10"/>
      <c r="N340" s="9"/>
    </row>
    <row r="341" spans="1:14" s="5" customFormat="1" ht="15.75" x14ac:dyDescent="0.5">
      <c r="A341" s="399"/>
      <c r="B341" s="399" t="s">
        <v>114</v>
      </c>
      <c r="C341" s="16" t="s">
        <v>190</v>
      </c>
      <c r="D341" s="46"/>
      <c r="E341" s="78"/>
      <c r="F341" s="208" t="str">
        <f>IF(E341="","",ROUND(IF(E341&lt;=2,0,IF(E341&gt;=9,1, IF(E341&gt;=5,E341^2*'Reference Curves'!$I$14+E341*'Reference Curves'!$I$15+'Reference Curves'!$I$16, E341*'Reference Curves'!$J$15+'Reference Curves'!$J$16))),2))</f>
        <v/>
      </c>
      <c r="G341" s="414" t="str">
        <f>IFERROR(IF(E344&gt;=50,0,AVERAGE(F341:F344)),"")</f>
        <v/>
      </c>
      <c r="H341" s="415"/>
      <c r="I341" s="418"/>
      <c r="J341" s="443"/>
      <c r="K341" s="10"/>
      <c r="N341" s="9"/>
    </row>
    <row r="342" spans="1:14" s="5" customFormat="1" ht="15.75" x14ac:dyDescent="0.5">
      <c r="A342" s="399"/>
      <c r="B342" s="399"/>
      <c r="C342" s="18" t="s">
        <v>42</v>
      </c>
      <c r="D342" s="67"/>
      <c r="E342" s="78"/>
      <c r="F342" s="210" t="str">
        <f>IF(E342="","",IF(OR(E342="Ex/Ex",E342="Ex/VH",E342="Ex/H",E342="Ex/M",E342="VH/Ex",E342="VH/VH", E342="H/Ex",E342="H/VH"),0, IF(OR(E342="M/Ex"),0.1,IF(OR(E342="VH/H",E342="VH/M",E342="H/H",E342="H/M", E342="M/VH"),0.2, IF(OR(E342="Ex/VL",E342="Ex/L", E342="M/H"),0.3, IF(OR(E342="VH/L",E342="H/L"),0.4, IF(OR(E342="VH/VL",E342="H/VL",E342="M/M"),0.5, IF(OR(E342="M/L",E342="L/Ex"),0.6, IF(OR(E342="M/VL",E342="L/VH", E342="L/H",E342="L/M",E342="L/L",E342="L/VL", LEFT(E342,2)="VL"),1)))))))))</f>
        <v/>
      </c>
      <c r="G342" s="415"/>
      <c r="H342" s="415"/>
      <c r="I342" s="418"/>
      <c r="J342" s="443"/>
      <c r="K342" s="10"/>
      <c r="N342" s="9"/>
    </row>
    <row r="343" spans="1:14" s="5" customFormat="1" ht="15.75" x14ac:dyDescent="0.5">
      <c r="A343" s="399"/>
      <c r="B343" s="399"/>
      <c r="C343" s="136" t="s">
        <v>54</v>
      </c>
      <c r="D343" s="67"/>
      <c r="E343" s="78"/>
      <c r="F343" s="210" t="str">
        <f>IF(E343="","",ROUND(IF(E343&gt;=75,0,IF(E343&lt;=5,1,IF(E343&gt;10,E343*'Reference Curves'!I$20+'Reference Curves'!I$21,'Reference Curves'!$J$20*E343+'Reference Curves'!$J$21))),2))</f>
        <v/>
      </c>
      <c r="G343" s="421"/>
      <c r="H343" s="415"/>
      <c r="I343" s="418"/>
      <c r="J343" s="443"/>
      <c r="K343" s="10"/>
      <c r="N343" s="9"/>
    </row>
    <row r="344" spans="1:14" s="5" customFormat="1" ht="15.75" x14ac:dyDescent="0.5">
      <c r="A344" s="399"/>
      <c r="B344" s="399"/>
      <c r="C344" s="137" t="s">
        <v>113</v>
      </c>
      <c r="D344" s="154"/>
      <c r="E344" s="153"/>
      <c r="F344" s="211" t="str">
        <f>IF(E344="","",IF(E344&gt;=30,0,ROUND(E344*'Reference Curves'!$I$24+'Reference Curves'!$I$25,2)))</f>
        <v/>
      </c>
      <c r="G344" s="416"/>
      <c r="H344" s="415"/>
      <c r="I344" s="418"/>
      <c r="J344" s="443"/>
      <c r="K344" s="10"/>
      <c r="N344" s="9"/>
    </row>
    <row r="345" spans="1:14" s="5" customFormat="1" ht="15.75" x14ac:dyDescent="0.5">
      <c r="A345" s="399"/>
      <c r="B345" s="399" t="s">
        <v>44</v>
      </c>
      <c r="C345" s="16" t="s">
        <v>45</v>
      </c>
      <c r="D345" s="20"/>
      <c r="E345" s="37"/>
      <c r="F345" s="212" t="str">
        <f>IF(E345="","",IF(B325="Bc",IF(OR(E345&gt;=12,E345&lt;=0.1),0,IF(E345&lt;=3.4,1,ROUND('Reference Curves'!$I$33*E345+'Reference Curves'!$I$34,2))),
IF(OR(B325="B",B325="Ba"),IF(OR(E345&gt;=7.5,E345&lt;=0.1),0,IF(E345&lt;=3,1,ROUND(IF(E345&gt;4,'Reference Curves'!$I$29*E345+'Reference Curves'!$I$30,'Reference Curves'!$J$29*E345+'Reference Curves'!$J$30),2))),
IF(B325="Cb",IF(OR(E345&gt;=8.35,E345&lt;1.4),0,IF(AND(E345&gt;=3.7,E345&lt;=5),1,ROUND(IF(E345&lt;3.7,'Reference Curves'!$I$49*E345+'Reference Curves'!$I$50,'Reference Curves'!$J$49*E345+'Reference Curves'!$J$50),2))),
IF(B325="C",IF(OR(E345&gt;=9.3,E345&lt;=3),0,IF(AND(E345&gt;=4,E345&lt;=6),1,ROUND(IF(E345&lt;4,'Reference Curves'!$I$44*E345+'Reference Curves'!$I$45,'Reference Curves'!$J$44*E345+'Reference Curves'!$J$45),2))),
IF(B325="E",IF(OR(E345&gt;=8.3,E345&lt;1.85),0,IF(AND(E345&gt;=3.5,E345&lt;=5),1,ROUND(IF(E345&lt;3.5,'Reference Curves'!$I$38*E345+'Reference Curves'!$I$39,'Reference Curves'!$J$38*E345+'Reference Curves'!$J$39),2)))      ))))))</f>
        <v/>
      </c>
      <c r="G345" s="425" t="str">
        <f>IFERROR(AVERAGE(F345:F348),"")</f>
        <v/>
      </c>
      <c r="H345" s="415"/>
      <c r="I345" s="418"/>
      <c r="J345" s="443"/>
      <c r="K345" s="10"/>
      <c r="N345" s="9"/>
    </row>
    <row r="346" spans="1:14" s="5" customFormat="1" ht="15.75" x14ac:dyDescent="0.5">
      <c r="A346" s="399"/>
      <c r="B346" s="399"/>
      <c r="C346" s="18" t="s">
        <v>46</v>
      </c>
      <c r="D346" s="15"/>
      <c r="E346" s="36"/>
      <c r="F346" s="213" t="str">
        <f>IF(E346="","",IF(E346&lt;=1,0,IF(E346&gt;=3.2,1,IF(E346&gt;=2.2,ROUND('Reference Curves'!$J$54*E346+'Reference Curves'!$J$55,2),(ROUND('Reference Curves'!$I$54*E346+'Reference Curves'!$I$55,2))))))</f>
        <v/>
      </c>
      <c r="G346" s="421"/>
      <c r="H346" s="415"/>
      <c r="I346" s="418"/>
      <c r="J346" s="443"/>
      <c r="K346" s="10"/>
      <c r="N346" s="9"/>
    </row>
    <row r="347" spans="1:14" s="5" customFormat="1" ht="15.75" customHeight="1" x14ac:dyDescent="0.5">
      <c r="A347" s="399"/>
      <c r="B347" s="399"/>
      <c r="C347" s="18" t="s">
        <v>92</v>
      </c>
      <c r="D347" s="15"/>
      <c r="E347" s="36"/>
      <c r="F347" s="283" t="str">
        <f>IF(E347="","", IF(D324="","FALSE",IF(D324&lt;3,IF( OR(E347&gt;=91,E347&lt;=13.5),0, IF(AND(E347&gt;49,E347&lt;61), 1, ROUND(IF(E347&lt;50,'Reference Curves'!$I$60*E347+'Reference Curves'!$I$61, IF(E347&gt;60,'Reference Curves'!$J$60*E347+'Reference Curves'!$J$61)),2))), IF(D324&gt;=3,IF(OR(E347&gt;94.5,E347&lt;41.5),0, IF(AND(E347 &gt;=68, E347&lt;=78),1, ROUND(IF(E347&lt;68,'Reference Curves'!$I$65*E347+'Reference Curves'!$I$66,'Reference Curves'!$J$65*E347+'Reference Curves'!$J$66),2) ))))))</f>
        <v/>
      </c>
      <c r="G347" s="421"/>
      <c r="H347" s="415"/>
      <c r="I347" s="418"/>
      <c r="J347" s="443"/>
      <c r="K347" s="10"/>
      <c r="N347" s="9"/>
    </row>
    <row r="348" spans="1:14" s="5" customFormat="1" ht="15.75" x14ac:dyDescent="0.5">
      <c r="A348" s="399"/>
      <c r="B348" s="399"/>
      <c r="C348" s="19" t="s">
        <v>79</v>
      </c>
      <c r="D348" s="15"/>
      <c r="E348" s="38"/>
      <c r="F348" s="284" t="str">
        <f>IF(E348="","",IF(E348&gt;=1.6,0,IF(E348&lt;=1,1,ROUND('Reference Curves'!$I$74*E348^3+'Reference Curves'!$I$75*E348^2+'Reference Curves'!$I$76*E348+'Reference Curves'!$I$77,2))))</f>
        <v/>
      </c>
      <c r="G348" s="426"/>
      <c r="H348" s="415"/>
      <c r="I348" s="418"/>
      <c r="J348" s="443"/>
      <c r="K348" s="10"/>
      <c r="N348" s="9"/>
    </row>
    <row r="349" spans="1:14" s="5" customFormat="1" ht="15.75" x14ac:dyDescent="0.5">
      <c r="A349" s="399"/>
      <c r="B349" s="399" t="s">
        <v>43</v>
      </c>
      <c r="C349" s="18" t="s">
        <v>201</v>
      </c>
      <c r="D349" s="46"/>
      <c r="E349" s="17"/>
      <c r="F349" s="214" t="str">
        <f>IF( E349="","",
IF( D326="Unconfined Alluvial", IF( E349&gt;=100,1,
ROUND('Reference Curves'!$I$82*E349+'Reference Curves'!$I$83,2) ),
IF( OR(D326="Confined Alluvial", D326="Colluvial/V-Shaped"), ( IF(E349&gt;=100,1,
IF(E349&gt;=60, ROUND('Reference Curves'!$J$82*E349+'Reference Curves'!$J$83,2), ROUND('Reference Curves'!$K$82*E349+'Reference Curves'!$K$83,2) ) ) ) ) ) )</f>
        <v/>
      </c>
      <c r="G349" s="414" t="str">
        <f>IFERROR(AVERAGE(F349:F352),"")</f>
        <v/>
      </c>
      <c r="H349" s="415"/>
      <c r="I349" s="418"/>
      <c r="J349" s="443"/>
      <c r="K349" s="10"/>
      <c r="N349" s="9"/>
    </row>
    <row r="350" spans="1:14" s="5" customFormat="1" ht="15.75" x14ac:dyDescent="0.5">
      <c r="A350" s="399"/>
      <c r="B350" s="399"/>
      <c r="C350" s="18" t="s">
        <v>191</v>
      </c>
      <c r="D350" s="67"/>
      <c r="E350" s="79"/>
      <c r="F350" s="213" t="str">
        <f>IF( E350="","", IF(D327&lt;&gt;"Woody","FALSE", IF( OR(G326="Mountains",G326="Basins"),
IF(E350&lt;=0,0, IF(E350&gt;=122,1, IF(E350&lt;69, ROUND('Reference Curves'!$I$87*E350+'Reference Curves'!$I$88,2), ROUND('Reference Curves'!$J$87*E350+'Reference Curves'!$J$88,2) ) ) ),
IF(G326="Plains",IF(OR(E350&lt;=0,E350&gt;111),0,IF(AND(E350&gt;=69,E350&lt;=76),1,IF(E350&lt;69,ROUND(E350*'Reference Curves'!$I$92+'Reference Curves'!$I$93,2),ROUND(E350*'Reference Curves'!$J$92+'Reference Curves'!$J$93,2))))))))</f>
        <v/>
      </c>
      <c r="G350" s="415"/>
      <c r="H350" s="415"/>
      <c r="I350" s="418"/>
      <c r="J350" s="443"/>
      <c r="K350" s="10"/>
      <c r="N350" s="9"/>
    </row>
    <row r="351" spans="1:14" s="5" customFormat="1" ht="15.75" x14ac:dyDescent="0.5">
      <c r="A351" s="399"/>
      <c r="B351" s="399"/>
      <c r="C351" s="18" t="s">
        <v>141</v>
      </c>
      <c r="D351" s="67"/>
      <c r="E351" s="79"/>
      <c r="F351" s="213" t="str">
        <f>IF(E351="","",IF(D327="Herbaceous",IF(E351&lt;=34,0,IF(E351&gt;=120,1,IF(E351&gt;73,ROUND(E351*'Reference Curves'!$J$98+'Reference Curves'!$J$99,2),ROUND(E351*'Reference Curves'!$I$98+'Reference Curves'!$I$99,2))))))</f>
        <v/>
      </c>
      <c r="G351" s="421"/>
      <c r="H351" s="415"/>
      <c r="I351" s="418"/>
      <c r="J351" s="443"/>
      <c r="K351" s="10"/>
      <c r="N351" s="9"/>
    </row>
    <row r="352" spans="1:14" s="5" customFormat="1" ht="15.75" x14ac:dyDescent="0.5">
      <c r="A352" s="399"/>
      <c r="B352" s="399"/>
      <c r="C352" s="138" t="s">
        <v>192</v>
      </c>
      <c r="D352" s="158"/>
      <c r="E352" s="162"/>
      <c r="F352" s="283" t="str">
        <f>IF(E352="","",IF(E352&lt;=46,0,IF(E352&gt;=100,1,IF(AND(E352&lt;=100,E352&gt;91),ROUND(E352*'Reference Curves'!$J$103+'Reference Curves'!$J$104,2),ROUND(E352*'Reference Curves'!$I$103+'Reference Curves'!$I$104,2)))))</f>
        <v/>
      </c>
      <c r="G352" s="416"/>
      <c r="H352" s="416"/>
      <c r="I352" s="419"/>
      <c r="J352" s="444"/>
      <c r="K352" s="10"/>
      <c r="N352" s="9"/>
    </row>
    <row r="353" spans="1:14" s="5" customFormat="1" ht="15.6" customHeight="1" x14ac:dyDescent="0.5">
      <c r="A353" s="436" t="s">
        <v>47</v>
      </c>
      <c r="B353" s="441" t="s">
        <v>139</v>
      </c>
      <c r="C353" s="139" t="s">
        <v>193</v>
      </c>
      <c r="D353" s="160"/>
      <c r="E353" s="30"/>
      <c r="F353" s="215" t="str">
        <f>IF(E353="","",IF(G324="","Enter Stream Temperature",  IF(G324="CS-I (MWF)",IF(E353&gt;=21.2,0,1),  IF(G324="CS-I",IF(E353&gt;=21.7,0,1),  IF(G324="CS-II",IF(E353&gt;=23.9,0,1),  IF(G324="WS-I",IF(E353&gt;=29,0,1),  IF(G324="WS-II",IF(E353&gt;=28.6,0,1), IF(G324="WS-III",IF(E353&gt;=31.8,0,1)))))))))</f>
        <v/>
      </c>
      <c r="G353" s="422" t="str">
        <f>IFERROR(AVERAGE(F353:F354),"")</f>
        <v/>
      </c>
      <c r="H353" s="422">
        <f>IF(OR(G353&lt;&gt;"",G355&lt;&gt;"",G356&lt;&gt;""),ROUND(AVERAGE(G353:G356),2),IF(B328="Yes",1,0.8))</f>
        <v>0.8</v>
      </c>
      <c r="I353" s="430" t="str">
        <f>IF(H353="","",IF(H353&gt;0.69,"Functioning",IF(H353&gt;0.29,"Functioning At Risk",IF(H353&gt;-1,"Not Functioning"))))</f>
        <v>Functioning</v>
      </c>
      <c r="J353" s="219" t="s">
        <v>290</v>
      </c>
      <c r="K353" s="10"/>
      <c r="N353" s="9"/>
    </row>
    <row r="354" spans="1:14" s="5" customFormat="1" ht="15.75" x14ac:dyDescent="0.5">
      <c r="A354" s="436"/>
      <c r="B354" s="441"/>
      <c r="C354" s="140" t="s">
        <v>194</v>
      </c>
      <c r="D354" s="155"/>
      <c r="E354" s="35"/>
      <c r="F354" s="216" t="str">
        <f>IF(E354="","",IF(G324="","Enter Stream Temperature",  IF(G324="CS-I (MWF)",IF(E354&gt;=18.3,0,IF(E354&lt;=13.8,1,ROUND(E354*'Reference Curves'!$M$4+'Reference Curves'!$M$5,2))),  IF(G324="CS-I",IF(E354&gt;=17.6,0,IF(E354&lt;=15.7,1,ROUND(E354*'Reference Curves'!$N$4+'Reference Curves'!$N$5,2))),  IF(G324="CS-II",IF(E354&gt;=19.1,0,IF(E354&lt;=16.6,1,ROUND(E354*'Reference Curves'!$O$4+'Reference Curves'!$O$5,2))),  IF(G324="WS-I",IF(E354&gt;=25.7,0,IF(E354&lt;=20.9,1,ROUND(E354*'Reference Curves'!$P$4+'Reference Curves'!$P$5,2))),  IF(G324="WS-II",IF(E354&gt;=29.7,0,IF(E354&lt;=22.5,1,ROUND(E354*'Reference Curves'!$Q$4+'Reference Curves'!$Q$5,2))), IF(G324="WS-III",IF(E354&gt;=30,0,IF(E354&lt;=25.9,1,ROUND(E354*'Reference Curves'!$R$4+'Reference Curves'!$R$5,2)))    ))))))))</f>
        <v/>
      </c>
      <c r="G354" s="424"/>
      <c r="H354" s="423"/>
      <c r="I354" s="430"/>
      <c r="J354" s="442">
        <f>IF(AND(H332="",H339="",H353="",H357=""),"",ROUND((IF(H332="",0,H332)*0.3)+(IF(H339="",0,H339)*0.3)+(IF(H353="",0,H353)*0.2)+(IF(H357="",0,H357)*0.2),2))</f>
        <v>0.32</v>
      </c>
      <c r="K354" s="10"/>
      <c r="N354" s="9"/>
    </row>
    <row r="355" spans="1:14" s="5" customFormat="1" ht="15.75" x14ac:dyDescent="0.5">
      <c r="A355" s="436"/>
      <c r="B355" s="192" t="s">
        <v>140</v>
      </c>
      <c r="C355" s="142" t="s">
        <v>195</v>
      </c>
      <c r="D355" s="156"/>
      <c r="E355" s="54"/>
      <c r="F355" s="216" t="str">
        <f>IF(E355="","",ROUND( IF(E355&lt;=6,0, IF(E355&gt;=10.31,1,E355*'Reference Curves'!$M$8+'Reference Curves'!$M$9)),2))</f>
        <v/>
      </c>
      <c r="G355" s="163" t="str">
        <f>IFERROR(AVERAGE(F355),"")</f>
        <v/>
      </c>
      <c r="H355" s="423"/>
      <c r="I355" s="430"/>
      <c r="J355" s="443"/>
      <c r="K355" s="10"/>
      <c r="N355" s="9"/>
    </row>
    <row r="356" spans="1:14" s="5" customFormat="1" ht="15.75" x14ac:dyDescent="0.5">
      <c r="A356" s="436"/>
      <c r="B356" s="192" t="s">
        <v>196</v>
      </c>
      <c r="C356" s="143" t="s">
        <v>357</v>
      </c>
      <c r="D356" s="157"/>
      <c r="E356" s="54"/>
      <c r="F356" s="216" t="str">
        <f>IF(E356="","",IF(OR(G325=3),IF(E356&gt;=150,0,IF(E356&lt;=16,1,ROUND('Reference Curves'!$M$13*LN(E356)+'Reference Curves'!$M$14,2))), IF(OR(G325=1,G325=2),  IF(E356&gt;=97,0,IF(E356&lt;=12,1,ROUND('Reference Curves'!$N$13*LN(E356)+'Reference Curves'!$N$14,2))))))</f>
        <v/>
      </c>
      <c r="G356" s="163" t="str">
        <f>IFERROR(AVERAGE(F356),"")</f>
        <v/>
      </c>
      <c r="H356" s="424"/>
      <c r="I356" s="430"/>
      <c r="J356" s="443"/>
      <c r="K356" s="10"/>
      <c r="N356" s="9"/>
    </row>
    <row r="357" spans="1:14" s="5" customFormat="1" ht="15.75" x14ac:dyDescent="0.5">
      <c r="A357" s="435" t="s">
        <v>48</v>
      </c>
      <c r="B357" s="191" t="s">
        <v>93</v>
      </c>
      <c r="C357" s="145" t="s">
        <v>197</v>
      </c>
      <c r="D357" s="28"/>
      <c r="E357" s="54"/>
      <c r="F357" s="217" t="str">
        <f>IF(E357="","",IF(G325="","Enter Biotype",IF(G325=1,IF(E357&lt;=0,0,IF(E357&gt;=57,1,ROUND(IF(E357&lt;=34,'Reference Curves'!$T$5*E357+'Reference Curves'!$T$6,  IF(E357&lt;=45, 'Reference Curves'!$U$5*E357+'Reference Curves'!$U$6,  'Reference Curves'!$V$5*E357+'Reference Curves'!$V$6)),2))),   IF(G325=2,IF(E357&lt;=0,0,IF(E357&gt;=63,1,ROUND(IF(E357&lt;=40,'Reference Curves'!$W$5*E357+'Reference Curves'!$W$6,  IF(E357&lt;=48,'Reference Curves'!$X$5*E357+'Reference Curves'!$X$6,  'Reference Curves'!$Y$5*E357+'Reference Curves'!$Y$6)),2))),   IF(OR(G325=3),IF(E357&lt;=0,0,IF(E357&gt;=52,1,ROUND(IF(E357&lt;=29,'Reference Curves'!$Z$5*E357+'Reference Curves'!$Z$6, IF(E357&lt;=42, 'Reference Curves'!$AA$5*E357+'Reference Curves'!$AA$6,  'Reference Curves'!$AB$5*E357+'Reference Curves'!$AB$6)),2))))))))</f>
        <v/>
      </c>
      <c r="G357" s="164" t="str">
        <f>IFERROR(AVERAGE(F357),"")</f>
        <v/>
      </c>
      <c r="H357" s="420">
        <f>IF(OR(G357&lt;&gt;"",G358&lt;&gt;""),ROUND(AVERAGE(G357:G360),2),IF(B328="Yes",1,0.8))</f>
        <v>0.8</v>
      </c>
      <c r="I357" s="430" t="str">
        <f>IF(H357="","",IF(H357&gt;0.69,"Functioning",IF(H357&gt;0.29,"Functioning At Risk",IF(H357&gt;-1,"Not Functioning"))))</f>
        <v>Functioning</v>
      </c>
      <c r="J357" s="443"/>
      <c r="K357" s="10"/>
      <c r="N357" s="9"/>
    </row>
    <row r="358" spans="1:14" s="5" customFormat="1" ht="15.75" x14ac:dyDescent="0.5">
      <c r="A358" s="435"/>
      <c r="B358" s="398" t="s">
        <v>51</v>
      </c>
      <c r="C358" s="146" t="s">
        <v>198</v>
      </c>
      <c r="D358" s="28"/>
      <c r="E358" s="30"/>
      <c r="F358" s="164" t="str">
        <f>IF(E358="","",IF(E358&lt;=0,0,IF(E358&gt;=100,1,ROUND(IF(E358&lt;80,E358*'Reference Curves'!$T$10+'Reference Curves'!$T$11,E358*'Reference Curves'!$U$10+'Reference Curves'!$U$11),2))))</f>
        <v/>
      </c>
      <c r="G358" s="427" t="str">
        <f>IFERROR(AVERAGE(F358:F360),"")</f>
        <v/>
      </c>
      <c r="H358" s="420"/>
      <c r="I358" s="430"/>
      <c r="J358" s="443"/>
      <c r="K358" s="10"/>
      <c r="N358" s="9"/>
    </row>
    <row r="359" spans="1:14" s="5" customFormat="1" ht="15.75" x14ac:dyDescent="0.5">
      <c r="A359" s="435"/>
      <c r="B359" s="398"/>
      <c r="C359" s="147" t="s">
        <v>199</v>
      </c>
      <c r="D359" s="159"/>
      <c r="E359" s="34"/>
      <c r="F359" s="164" t="str">
        <f>IF(E359="","",ROUND(IF(E359&gt;=3,0,IF(E359&gt;=2,0.3,IF(E359&gt;=1,0.69,1))),2))</f>
        <v/>
      </c>
      <c r="G359" s="428"/>
      <c r="H359" s="420"/>
      <c r="I359" s="430"/>
      <c r="J359" s="443"/>
      <c r="K359" s="10"/>
      <c r="N359" s="9"/>
    </row>
    <row r="360" spans="1:14" s="5" customFormat="1" ht="15.75" x14ac:dyDescent="0.5">
      <c r="A360" s="435"/>
      <c r="B360" s="398"/>
      <c r="C360" s="148" t="s">
        <v>200</v>
      </c>
      <c r="D360" s="161"/>
      <c r="E360" s="35"/>
      <c r="F360" s="218" t="str">
        <f>IF(E360="","",IF(G328="","Enter Stream Producitvity Rating",IF(G328="High",IF(E360&lt;5,0,IF(E360&gt;=40,1,ROUND(E360*'Reference Curves'!$T$15+'Reference Curves'!$T$16,2))),IF(G328="Moderate",IF(E360&lt;10,0,IF(E360&gt;=80,1,ROUND(E360*'Reference Curves'!$U$15+'Reference Curves'!$U$16,2))),IF(G328="Low",IF(E360&lt;15,0,IF(E360&gt;=119,1,ROUND(E360*'Reference Curves'!$V$15+'Reference Curves'!$V$16,2)))   )))))</f>
        <v/>
      </c>
      <c r="G360" s="429"/>
      <c r="H360" s="420"/>
      <c r="I360" s="430"/>
      <c r="J360" s="444"/>
      <c r="K360" s="10"/>
      <c r="N360" s="9"/>
    </row>
    <row r="361" spans="1:14" s="5" customFormat="1" x14ac:dyDescent="0.45">
      <c r="I361" s="55"/>
      <c r="J361" s="4"/>
      <c r="K361" s="10"/>
    </row>
    <row r="362" spans="1:14" s="5" customFormat="1" x14ac:dyDescent="0.45">
      <c r="I362" s="55"/>
    </row>
    <row r="363" spans="1:14" s="5" customFormat="1" ht="21" customHeight="1" x14ac:dyDescent="0.45">
      <c r="A363" s="408" t="s">
        <v>349</v>
      </c>
      <c r="B363" s="409"/>
      <c r="C363" s="409"/>
      <c r="D363" s="409"/>
      <c r="E363" s="409"/>
      <c r="F363" s="409"/>
      <c r="G363" s="409"/>
      <c r="H363" s="409"/>
      <c r="I363" s="409"/>
      <c r="J363" s="410"/>
    </row>
    <row r="364" spans="1:14" s="5" customFormat="1" ht="16.149999999999999" customHeight="1" x14ac:dyDescent="0.45">
      <c r="A364" s="184" t="str">
        <f>A4</f>
        <v>Reach ID:</v>
      </c>
      <c r="B364" s="224">
        <f>'Project Assessment'!A19</f>
        <v>0</v>
      </c>
      <c r="C364" s="200" t="str">
        <f>C4</f>
        <v>Stream Slope (%):</v>
      </c>
      <c r="D364" s="290"/>
      <c r="E364" s="402" t="str">
        <f>E4</f>
        <v>Stream Temperature:</v>
      </c>
      <c r="F364" s="403"/>
      <c r="G364" s="187"/>
      <c r="H364" s="406" t="str">
        <f>H4</f>
        <v>Upstream Latitude:</v>
      </c>
      <c r="I364" s="407"/>
      <c r="J364" s="185"/>
    </row>
    <row r="365" spans="1:14" s="5" customFormat="1" ht="16.149999999999999" customHeight="1" x14ac:dyDescent="0.45">
      <c r="A365" s="184" t="str">
        <f t="shared" ref="A365:A368" si="32">A5</f>
        <v>Reference Stream Type:</v>
      </c>
      <c r="B365" s="187"/>
      <c r="C365" s="276" t="str">
        <f t="shared" ref="C365:C368" si="33">C5</f>
        <v>Proposed Bankfull Width (ft):</v>
      </c>
      <c r="D365" s="185"/>
      <c r="E365" s="402" t="str">
        <f t="shared" ref="E365:E368" si="34">E5</f>
        <v>Biotype:</v>
      </c>
      <c r="F365" s="403"/>
      <c r="G365" s="187"/>
      <c r="H365" s="406" t="str">
        <f t="shared" ref="H365:H367" si="35">H5</f>
        <v>Upstream Longitude:</v>
      </c>
      <c r="I365" s="407"/>
      <c r="J365" s="185"/>
    </row>
    <row r="366" spans="1:14" s="5" customFormat="1" ht="16.149999999999999" customHeight="1" x14ac:dyDescent="0.65">
      <c r="A366" s="184" t="str">
        <f t="shared" si="32"/>
        <v>Flow Permanence:</v>
      </c>
      <c r="B366" s="224">
        <f>'Project Assessment'!B19</f>
        <v>0</v>
      </c>
      <c r="C366" s="276" t="str">
        <f t="shared" si="33"/>
        <v>Valley Type:</v>
      </c>
      <c r="D366" s="187"/>
      <c r="E366" s="402" t="str">
        <f t="shared" si="34"/>
        <v>Ecoregion:</v>
      </c>
      <c r="F366" s="403"/>
      <c r="G366" s="187"/>
      <c r="H366" s="406" t="str">
        <f t="shared" si="35"/>
        <v>Downstream Latitude:</v>
      </c>
      <c r="I366" s="407"/>
      <c r="J366" s="185"/>
      <c r="K366" s="26"/>
    </row>
    <row r="367" spans="1:14" s="5" customFormat="1" ht="16.149999999999999" customHeight="1" x14ac:dyDescent="0.5">
      <c r="A367" s="184" t="str">
        <f t="shared" si="32"/>
        <v>Strahler Stream Order:</v>
      </c>
      <c r="B367" s="224">
        <f>'Project Assessment'!C19</f>
        <v>0</v>
      </c>
      <c r="C367" s="276" t="str">
        <f t="shared" si="33"/>
        <v>Reference Vegetation Cover:</v>
      </c>
      <c r="D367" s="187"/>
      <c r="E367" s="402" t="str">
        <f t="shared" si="34"/>
        <v>River Basin:</v>
      </c>
      <c r="F367" s="403"/>
      <c r="G367" s="187"/>
      <c r="H367" s="406" t="str">
        <f t="shared" si="35"/>
        <v>Downstream Longitude:</v>
      </c>
      <c r="I367" s="407"/>
      <c r="J367" s="185"/>
      <c r="K367" s="39"/>
    </row>
    <row r="368" spans="1:14" s="5" customFormat="1" ht="18" customHeight="1" x14ac:dyDescent="0.5">
      <c r="A368" s="184" t="str">
        <f t="shared" si="32"/>
        <v>Outstanding Water:</v>
      </c>
      <c r="B368" s="224">
        <f>'Project Assessment'!E19</f>
        <v>0</v>
      </c>
      <c r="C368" s="276" t="str">
        <f t="shared" si="33"/>
        <v>Sediment Regime:</v>
      </c>
      <c r="D368" s="263"/>
      <c r="E368" s="402" t="str">
        <f t="shared" si="34"/>
        <v>Stream Productivity Class:</v>
      </c>
      <c r="F368" s="403"/>
      <c r="G368" s="187"/>
      <c r="H368" s="201"/>
      <c r="I368" s="201"/>
      <c r="J368" s="201"/>
      <c r="K368" s="39"/>
    </row>
    <row r="369" spans="1:14" s="5" customFormat="1" ht="4.5" customHeight="1" x14ac:dyDescent="0.5">
      <c r="B369" s="58"/>
      <c r="C369" s="58"/>
      <c r="D369" s="58"/>
      <c r="E369" s="58"/>
      <c r="F369" s="58"/>
      <c r="G369" s="58"/>
      <c r="H369" s="58"/>
      <c r="I369" s="56"/>
      <c r="J369" s="10"/>
      <c r="K369" s="39"/>
    </row>
    <row r="370" spans="1:14" s="5" customFormat="1" ht="19.899999999999999" customHeight="1" x14ac:dyDescent="0.65">
      <c r="A370" s="431" t="str">
        <f>_xlfn.CONCAT("EXISTING CONDITION ASSESSMENT for Reach ",B364)</f>
        <v>EXISTING CONDITION ASSESSMENT for Reach 0</v>
      </c>
      <c r="B370" s="431"/>
      <c r="C370" s="431"/>
      <c r="D370" s="431"/>
      <c r="E370" s="431"/>
      <c r="F370" s="431"/>
      <c r="G370" s="431" t="s">
        <v>13</v>
      </c>
      <c r="H370" s="431"/>
      <c r="I370" s="431"/>
      <c r="J370" s="431"/>
      <c r="K370" s="10"/>
    </row>
    <row r="371" spans="1:14" s="5" customFormat="1" ht="15.75" x14ac:dyDescent="0.5">
      <c r="A371" s="32" t="s">
        <v>1</v>
      </c>
      <c r="B371" s="32" t="s">
        <v>2</v>
      </c>
      <c r="C371" s="432" t="s">
        <v>3</v>
      </c>
      <c r="D371" s="433"/>
      <c r="E371" s="32" t="s">
        <v>11</v>
      </c>
      <c r="F371" s="31" t="s">
        <v>12</v>
      </c>
      <c r="G371" s="32" t="s">
        <v>14</v>
      </c>
      <c r="H371" s="32" t="s">
        <v>15</v>
      </c>
      <c r="I371" s="57" t="s">
        <v>15</v>
      </c>
      <c r="J371" s="32" t="s">
        <v>98</v>
      </c>
      <c r="K371" s="10"/>
    </row>
    <row r="372" spans="1:14" s="5" customFormat="1" ht="15.75" x14ac:dyDescent="0.5">
      <c r="A372" s="434" t="s">
        <v>173</v>
      </c>
      <c r="B372" s="437" t="s">
        <v>71</v>
      </c>
      <c r="C372" s="132" t="s">
        <v>138</v>
      </c>
      <c r="D372" s="149"/>
      <c r="E372" s="30"/>
      <c r="F372" s="202" t="str">
        <f>IF(E372="","",IF(E372&gt;78,0,IF(E372&lt;=55,1,ROUND(E372*'Reference Curves'!$B$3+'Reference Curves'!$B$4,2))))</f>
        <v/>
      </c>
      <c r="G372" s="411" t="str">
        <f>IFERROR(AVERAGE(F372:F373),"")</f>
        <v/>
      </c>
      <c r="H372" s="411" t="str">
        <f>IFERROR(ROUND(AVERAGE(G372:G378),2),"")</f>
        <v/>
      </c>
      <c r="I372" s="438" t="str">
        <f>IF(H372="","",IF(H372:H378&gt;0.69,"Functioning",IF(H372&gt;0.29,"Functioning At Risk",IF(H372&gt;-1,"Not Functioning"))))</f>
        <v/>
      </c>
      <c r="J372" s="219" t="s">
        <v>339</v>
      </c>
      <c r="K372" s="10"/>
    </row>
    <row r="373" spans="1:14" s="5" customFormat="1" ht="15.75" x14ac:dyDescent="0.5">
      <c r="A373" s="434"/>
      <c r="B373" s="437"/>
      <c r="C373" s="133" t="s">
        <v>184</v>
      </c>
      <c r="D373" s="150"/>
      <c r="E373" s="35"/>
      <c r="F373" s="203" t="str">
        <f>IF(E373="","",   IF(E373&gt;3.2,0, IF(E373&lt;0, "", ROUND('Reference Curves'!$B$8*E373+'Reference Curves'!$B$9,2))))</f>
        <v/>
      </c>
      <c r="G373" s="412"/>
      <c r="H373" s="412"/>
      <c r="I373" s="439"/>
      <c r="J373" s="442" t="str">
        <f>IF(AND(H372="",H379=""),"",ROUND((IF(H372="",0,H372)*0.3)+(IF(H379="",0,H379)*0.3),2))</f>
        <v/>
      </c>
      <c r="K373" s="10"/>
    </row>
    <row r="374" spans="1:14" s="5" customFormat="1" ht="15.75" x14ac:dyDescent="0.5">
      <c r="A374" s="434"/>
      <c r="B374" s="400" t="s">
        <v>185</v>
      </c>
      <c r="C374" s="134" t="s">
        <v>186</v>
      </c>
      <c r="D374" s="149"/>
      <c r="E374" s="34"/>
      <c r="F374" s="204" t="s">
        <v>285</v>
      </c>
      <c r="G374" s="411" t="str">
        <f>IFERROR(IF(AND(ISNUMBER(E374),E374&lt;1),0,AVERAGE(F374:F375)),"")</f>
        <v/>
      </c>
      <c r="H374" s="412"/>
      <c r="I374" s="439"/>
      <c r="J374" s="443"/>
      <c r="K374" s="10"/>
    </row>
    <row r="375" spans="1:14" s="5" customFormat="1" ht="15.75" x14ac:dyDescent="0.5">
      <c r="A375" s="434"/>
      <c r="B375" s="401"/>
      <c r="C375" s="151" t="s">
        <v>187</v>
      </c>
      <c r="D375" s="152"/>
      <c r="E375" s="34"/>
      <c r="F375" s="205" t="str">
        <f>IF(E375="","",IF(G364= "CS-II", ROUND(IF(E375&lt;=0.6,0, IF(E375&gt;=2.3,1,E375*'Reference Curves'!$D$14+'Reference Curves'!$D$15)),2),IF(AND(D365&lt;20,LEFT(G364,2)="CS"), ROUND(IF(E375&lt;=0.2,0, IF(E375&gt;=1,1,E375*'Reference Curves'!$B$14+'Reference Curves'!$B$15)),2), IF(AND(D365&gt;=20,LEFT(G364,2)= "CS"), ROUND(IF(E375&lt;=0.4,0, IF(E375&gt;=1.5,1,E375*'Reference Curves'!$C$14+'Reference Curves'!$C$15)),2),"FALSE"))))</f>
        <v/>
      </c>
      <c r="G375" s="413"/>
      <c r="H375" s="412"/>
      <c r="I375" s="439"/>
      <c r="J375" s="443"/>
      <c r="K375" s="10"/>
    </row>
    <row r="376" spans="1:14" s="5" customFormat="1" ht="15.75" x14ac:dyDescent="0.5">
      <c r="A376" s="434"/>
      <c r="B376" s="437" t="s">
        <v>4</v>
      </c>
      <c r="C376" s="133" t="s">
        <v>5</v>
      </c>
      <c r="D376" s="14"/>
      <c r="E376" s="30"/>
      <c r="F376" s="206" t="str">
        <f>IF( E376="","",
IF( E376&gt;1.71,0, IF( E376&gt;1, ROUND(E376*'Reference Curves'!C$20+'Reference Curves'!C$21,2),
IF( D368="Transport", ROUND(IF( E376&lt;0.35,0, E376*'Reference Curves'!$B$20+'Reference Curves'!$B$21 ),2), 1 ))))</f>
        <v/>
      </c>
      <c r="G376" s="411" t="str">
        <f>IFERROR(AVERAGE(F376:F378),"")</f>
        <v/>
      </c>
      <c r="H376" s="412"/>
      <c r="I376" s="439"/>
      <c r="J376" s="443"/>
      <c r="K376" s="10"/>
      <c r="N376" s="9"/>
    </row>
    <row r="377" spans="1:14" s="5" customFormat="1" ht="15.75" x14ac:dyDescent="0.5">
      <c r="A377" s="434"/>
      <c r="B377" s="437"/>
      <c r="C377" s="133" t="s">
        <v>6</v>
      </c>
      <c r="D377" s="14"/>
      <c r="E377" s="34"/>
      <c r="F377" s="205" t="str">
        <f>IF(E377="","",IF(OR(LEFT(B365,1)="A",LEFT(B365,1)="B"),IF(E377&lt;1.05,0,IF(E377&gt;=2.2,1,ROUND(IF(E377&lt;1.4,E377*'Reference Curves'!$B$40+'Reference Curves'!$B$41,E377*'Reference Curves'!$C$40+'Reference Curves'!$C$41),2))), IF(B365="C",IF(E377&lt;1.7,0,IF(E377&gt;=4.2,1,ROUND(IF(E377&lt;2.4,E377*'Reference Curves'!$C$25+'Reference Curves'!$C$26,E377*'Reference Curves'!$B$25+'Reference Curves'!$B$26),2))),                                                                                                                                                                                                                    IF(B365="Cb",IF(E377&lt;1.7,0,IF(E377&gt;=3.9,1,ROUND(IF(E377&lt;2.4,E377*'Reference Curves'!$C$30+'Reference Curves'!$C$31,E377*'Reference Curves'!$B$30+'Reference Curves'!$B$31),2))),
IF(LEFT(B365,1)="E",IF(E377&lt;1.7,0,IF(E377&gt;=6.7,1,ROUND(IF(E377&lt;2.4,E377*'Reference Curves'!$C$35+'Reference Curves'!$C$36,E377*'Reference Curves'!$B$35+'Reference Curves'!$B$36),2))))))))</f>
        <v/>
      </c>
      <c r="G377" s="412"/>
      <c r="H377" s="412"/>
      <c r="I377" s="439"/>
      <c r="J377" s="443"/>
      <c r="K377" s="10"/>
      <c r="N377" s="9"/>
    </row>
    <row r="378" spans="1:14" s="5" customFormat="1" ht="15.75" customHeight="1" x14ac:dyDescent="0.5">
      <c r="A378" s="434"/>
      <c r="B378" s="437"/>
      <c r="C378" s="135" t="s">
        <v>188</v>
      </c>
      <c r="D378" s="14"/>
      <c r="E378" s="35"/>
      <c r="F378" s="207" t="str">
        <f>IF(E378="","",IF(D366="Unconfined Alluvial",IF(E378&lt;=0,0, IF(E378&gt;=100,1, ROUND(IF(E378&lt;10,E378*'Reference Curves'!$B$46+'Reference Curves'!$B$47, IF(E378&lt;50,E378*'Reference Curves'!$C$46+'Reference Curves'!$C$47,E378*'Reference Curves'!$D$46+'Reference Curves'!$D$47)),2))), IF(D366="Confined Alluvial",IF(E378&lt;=0,0,IF(E378&gt;=50,1,ROUND(IF(E378&lt;5,E378*'Reference Curves'!$E$46+'Reference Curves'!$E$47,IF(E378&lt;25,E378*'Reference Curves'!$F$46+'Reference Curves'!$F$47,E378*'Reference Curves'!$G$46+'Reference Curves'!$G$47)),2))))))</f>
        <v/>
      </c>
      <c r="G378" s="413"/>
      <c r="H378" s="413"/>
      <c r="I378" s="440"/>
      <c r="J378" s="443"/>
      <c r="K378" s="10"/>
      <c r="N378" s="9"/>
    </row>
    <row r="379" spans="1:14" s="5" customFormat="1" ht="15.6" customHeight="1" x14ac:dyDescent="0.5">
      <c r="A379" s="399" t="s">
        <v>20</v>
      </c>
      <c r="B379" s="399" t="s">
        <v>21</v>
      </c>
      <c r="C379" s="16" t="s">
        <v>19</v>
      </c>
      <c r="D379" s="46"/>
      <c r="E379" s="30"/>
      <c r="F379" s="208" t="str">
        <f>IF(E379="","",IF(E379&gt;=660,1,IF(E379&lt;=430,ROUND('Reference Curves'!$I$4*E379+'Reference Curves'!$I$5,2),ROUND('Reference Curves'!$J$4*E379+'Reference Curves'!$J$5,2))))</f>
        <v/>
      </c>
      <c r="G379" s="414" t="str">
        <f>IFERROR(AVERAGE(F379:F380),"")</f>
        <v/>
      </c>
      <c r="H379" s="414" t="str">
        <f>IFERROR(ROUND(AVERAGE(G379:G392),2),"")</f>
        <v/>
      </c>
      <c r="I379" s="417" t="str">
        <f>IF(H379="","",IF(H379&gt;0.69,"Functioning",IF(H379&gt;0.29,"Functioning At Risk",IF(H379&gt;-1,"Not Functioning"))))</f>
        <v/>
      </c>
      <c r="J379" s="443"/>
      <c r="K379" s="10"/>
      <c r="N379" s="9"/>
    </row>
    <row r="380" spans="1:14" s="5" customFormat="1" ht="15.75" x14ac:dyDescent="0.5">
      <c r="A380" s="399"/>
      <c r="B380" s="399"/>
      <c r="C380" s="18" t="s">
        <v>189</v>
      </c>
      <c r="D380" s="47"/>
      <c r="E380" s="35"/>
      <c r="F380" s="209" t="str">
        <f>IF(E380="","",IF(E380&gt;=28,1,ROUND(IF(E380&lt;=13,'Reference Curves'!$I$9*E380,'Reference Curves'!$J$9*E380+'Reference Curves'!$J$10),2)))</f>
        <v/>
      </c>
      <c r="G380" s="416"/>
      <c r="H380" s="415"/>
      <c r="I380" s="418"/>
      <c r="J380" s="443"/>
      <c r="K380" s="10"/>
      <c r="N380" s="9"/>
    </row>
    <row r="381" spans="1:14" s="5" customFormat="1" ht="15.75" x14ac:dyDescent="0.5">
      <c r="A381" s="399"/>
      <c r="B381" s="399" t="s">
        <v>114</v>
      </c>
      <c r="C381" s="16" t="s">
        <v>190</v>
      </c>
      <c r="D381" s="46"/>
      <c r="E381" s="78"/>
      <c r="F381" s="208" t="str">
        <f>IF(E381="","",ROUND(IF(E381&lt;=2,0,IF(E381&gt;=9,1, IF(E381&gt;=5,E381^2*'Reference Curves'!$I$14+E381*'Reference Curves'!$I$15+'Reference Curves'!$I$16, E381*'Reference Curves'!$J$15+'Reference Curves'!$J$16))),2))</f>
        <v/>
      </c>
      <c r="G381" s="414" t="str">
        <f>IFERROR(IF(E384&gt;=50,0,AVERAGE(F381:F384)),"")</f>
        <v/>
      </c>
      <c r="H381" s="415"/>
      <c r="I381" s="418"/>
      <c r="J381" s="443"/>
      <c r="K381" s="10"/>
      <c r="N381" s="9"/>
    </row>
    <row r="382" spans="1:14" s="5" customFormat="1" ht="15.75" x14ac:dyDescent="0.5">
      <c r="A382" s="399"/>
      <c r="B382" s="399"/>
      <c r="C382" s="18" t="s">
        <v>42</v>
      </c>
      <c r="D382" s="67"/>
      <c r="E382" s="78"/>
      <c r="F382" s="210" t="str">
        <f>IF(E382="","",IF(OR(E382="Ex/Ex",E382="Ex/VH",E382="Ex/H",E382="Ex/M",E382="VH/Ex",E382="VH/VH", E382="H/Ex",E382="H/VH"),0, IF(OR(E382="M/Ex"),0.1,IF(OR(E382="VH/H",E382="VH/M",E382="H/H",E382="H/M", E382="M/VH"),0.2, IF(OR(E382="Ex/VL",E382="Ex/L", E382="M/H"),0.3, IF(OR(E382="VH/L",E382="H/L"),0.4, IF(OR(E382="VH/VL",E382="H/VL",E382="M/M"),0.5, IF(OR(E382="M/L",E382="L/Ex"),0.6, IF(OR(E382="M/VL",E382="L/VH", E382="L/H",E382="L/M",E382="L/L",E382="L/VL", LEFT(E382,2)="VL"),1)))))))))</f>
        <v/>
      </c>
      <c r="G382" s="415"/>
      <c r="H382" s="415"/>
      <c r="I382" s="418"/>
      <c r="J382" s="443"/>
      <c r="K382" s="10"/>
      <c r="N382" s="9"/>
    </row>
    <row r="383" spans="1:14" s="5" customFormat="1" ht="15.75" x14ac:dyDescent="0.5">
      <c r="A383" s="399"/>
      <c r="B383" s="399"/>
      <c r="C383" s="136" t="s">
        <v>54</v>
      </c>
      <c r="D383" s="67"/>
      <c r="E383" s="78"/>
      <c r="F383" s="210" t="str">
        <f>IF(E383="","",ROUND(IF(E383&gt;=75,0,IF(E383&lt;=5,1,IF(E383&gt;10,E383*'Reference Curves'!I$20+'Reference Curves'!I$21,'Reference Curves'!$J$20*E383+'Reference Curves'!$J$21))),2))</f>
        <v/>
      </c>
      <c r="G383" s="421"/>
      <c r="H383" s="415"/>
      <c r="I383" s="418"/>
      <c r="J383" s="443"/>
      <c r="K383" s="10"/>
      <c r="N383" s="9"/>
    </row>
    <row r="384" spans="1:14" s="5" customFormat="1" ht="15.75" x14ac:dyDescent="0.5">
      <c r="A384" s="399"/>
      <c r="B384" s="399"/>
      <c r="C384" s="137" t="s">
        <v>113</v>
      </c>
      <c r="D384" s="154"/>
      <c r="E384" s="153"/>
      <c r="F384" s="211" t="str">
        <f>IF(E384="","",IF(E384&gt;=30,0,ROUND(E384*'Reference Curves'!$I$24+'Reference Curves'!$I$25,2)))</f>
        <v/>
      </c>
      <c r="G384" s="416"/>
      <c r="H384" s="415"/>
      <c r="I384" s="418"/>
      <c r="J384" s="443"/>
      <c r="K384" s="10"/>
      <c r="N384" s="9"/>
    </row>
    <row r="385" spans="1:14" s="5" customFormat="1" ht="15.75" x14ac:dyDescent="0.5">
      <c r="A385" s="399"/>
      <c r="B385" s="399" t="s">
        <v>44</v>
      </c>
      <c r="C385" s="16" t="s">
        <v>45</v>
      </c>
      <c r="D385" s="20"/>
      <c r="E385" s="37"/>
      <c r="F385" s="212" t="str">
        <f>IF(E385="","",IF(B365="Bc",IF(OR(E385&gt;=12,E385&lt;=0.1),0,IF(E385&lt;=3.4,1,ROUND('Reference Curves'!$I$33*E385+'Reference Curves'!$I$34,2))),
IF(OR(B365="B",B365="Ba"),IF(OR(E385&gt;=7.5,E385&lt;=0.1),0,IF(E385&lt;=3,1,ROUND(IF(E385&gt;4,'Reference Curves'!$I$29*E385+'Reference Curves'!$I$30,'Reference Curves'!$J$29*E385+'Reference Curves'!$J$30),2))),
IF(B365="Cb",IF(OR(E385&gt;=8.35,E385&lt;1.4),0,IF(AND(E385&gt;=3.7,E385&lt;=5),1,ROUND(IF(E385&lt;3.7,'Reference Curves'!$I$49*E385+'Reference Curves'!$I$50,'Reference Curves'!$J$49*E385+'Reference Curves'!$J$50),2))),
IF(B365="C",IF(OR(E385&gt;=9.3,E385&lt;=3),0,IF(AND(E385&gt;=4,E385&lt;=6),1,ROUND(IF(E385&lt;4,'Reference Curves'!$I$44*E385+'Reference Curves'!$I$45,'Reference Curves'!$J$44*E385+'Reference Curves'!$J$45),2))),
IF(B365="E",IF(OR(E385&gt;=8.3,E385&lt;1.85),0,IF(AND(E385&gt;=3.5,E385&lt;=5),1,ROUND(IF(E385&lt;3.5,'Reference Curves'!$I$38*E385+'Reference Curves'!$I$39,'Reference Curves'!$J$38*E385+'Reference Curves'!$J$39),2)))      ))))))</f>
        <v/>
      </c>
      <c r="G385" s="425" t="str">
        <f>IFERROR(AVERAGE(F385:F388),"")</f>
        <v/>
      </c>
      <c r="H385" s="415"/>
      <c r="I385" s="418"/>
      <c r="J385" s="443"/>
      <c r="K385" s="10"/>
      <c r="N385" s="9"/>
    </row>
    <row r="386" spans="1:14" s="5" customFormat="1" ht="15.75" x14ac:dyDescent="0.5">
      <c r="A386" s="399"/>
      <c r="B386" s="399"/>
      <c r="C386" s="18" t="s">
        <v>46</v>
      </c>
      <c r="D386" s="15"/>
      <c r="E386" s="36"/>
      <c r="F386" s="213" t="str">
        <f>IF(E386="","",IF(E386&lt;=1,0,IF(E386&gt;=3.2,1,IF(E386&gt;=2.2,ROUND('Reference Curves'!$J$54*E386+'Reference Curves'!$J$55,2),(ROUND('Reference Curves'!$I$54*E386+'Reference Curves'!$I$55,2))))))</f>
        <v/>
      </c>
      <c r="G386" s="421"/>
      <c r="H386" s="415"/>
      <c r="I386" s="418"/>
      <c r="J386" s="443"/>
      <c r="K386" s="10"/>
      <c r="N386" s="9"/>
    </row>
    <row r="387" spans="1:14" s="5" customFormat="1" ht="15.75" customHeight="1" x14ac:dyDescent="0.5">
      <c r="A387" s="399"/>
      <c r="B387" s="399"/>
      <c r="C387" s="18" t="s">
        <v>92</v>
      </c>
      <c r="D387" s="15"/>
      <c r="E387" s="36"/>
      <c r="F387" s="283" t="str">
        <f>IF(E387="","", IF(D364="","FALSE",IF(D364&lt;3,IF( OR(E387&gt;=91,E387&lt;=13.5),0, IF(AND(E387&gt;49,E387&lt;61), 1, ROUND(IF(E387&lt;50,'Reference Curves'!$I$60*E387+'Reference Curves'!$I$61, IF(E387&gt;60,'Reference Curves'!$J$60*E387+'Reference Curves'!$J$61)),2))), IF(D364&gt;=3,IF(OR(E387&gt;94.5,E387&lt;41.5),0, IF(AND(E387 &gt;=68, E387&lt;=78),1, ROUND(IF(E387&lt;68,'Reference Curves'!$I$65*E387+'Reference Curves'!$I$66,'Reference Curves'!$J$65*E387+'Reference Curves'!$J$66),2) ))))))</f>
        <v/>
      </c>
      <c r="G387" s="421"/>
      <c r="H387" s="415"/>
      <c r="I387" s="418"/>
      <c r="J387" s="443"/>
      <c r="K387" s="10"/>
      <c r="N387" s="9"/>
    </row>
    <row r="388" spans="1:14" s="5" customFormat="1" ht="15.75" x14ac:dyDescent="0.5">
      <c r="A388" s="399"/>
      <c r="B388" s="399"/>
      <c r="C388" s="19" t="s">
        <v>79</v>
      </c>
      <c r="D388" s="15"/>
      <c r="E388" s="38"/>
      <c r="F388" s="284" t="str">
        <f>IF(E388="","",IF(E388&gt;=1.6,0,IF(E388&lt;=1,1,ROUND('Reference Curves'!$I$74*E388^3+'Reference Curves'!$I$75*E388^2+'Reference Curves'!$I$76*E388+'Reference Curves'!$I$77,2))))</f>
        <v/>
      </c>
      <c r="G388" s="426"/>
      <c r="H388" s="415"/>
      <c r="I388" s="418"/>
      <c r="J388" s="443"/>
      <c r="K388" s="10"/>
      <c r="N388" s="9"/>
    </row>
    <row r="389" spans="1:14" s="5" customFormat="1" ht="15.75" x14ac:dyDescent="0.5">
      <c r="A389" s="399"/>
      <c r="B389" s="399" t="s">
        <v>43</v>
      </c>
      <c r="C389" s="18" t="s">
        <v>201</v>
      </c>
      <c r="D389" s="46"/>
      <c r="E389" s="17"/>
      <c r="F389" s="214" t="str">
        <f>IF( E389="","",
IF( D366="Unconfined Alluvial", IF( E389&gt;=100,1,
ROUND('Reference Curves'!$I$82*E389+'Reference Curves'!$I$83,2) ),
IF( OR(D366="Confined Alluvial", D366="Colluvial/V-Shaped"), ( IF(E389&gt;=100,1,
IF(E389&gt;=60, ROUND('Reference Curves'!$J$82*E389+'Reference Curves'!$J$83,2), ROUND('Reference Curves'!$K$82*E389+'Reference Curves'!$K$83,2) ) ) ) ) ) )</f>
        <v/>
      </c>
      <c r="G389" s="414" t="str">
        <f>IFERROR(AVERAGE(F389:F392),"")</f>
        <v/>
      </c>
      <c r="H389" s="415"/>
      <c r="I389" s="418"/>
      <c r="J389" s="443"/>
      <c r="K389" s="10"/>
      <c r="N389" s="9"/>
    </row>
    <row r="390" spans="1:14" s="5" customFormat="1" ht="15.75" x14ac:dyDescent="0.5">
      <c r="A390" s="399"/>
      <c r="B390" s="399"/>
      <c r="C390" s="18" t="s">
        <v>191</v>
      </c>
      <c r="D390" s="67"/>
      <c r="E390" s="79"/>
      <c r="F390" s="213" t="str">
        <f>IF( E390="","", IF(D367&lt;&gt;"Woody","FALSE", IF( OR(G366="Mountains",G366="Basins"),
IF(E390&lt;=0,0, IF(E390&gt;=122,1, IF(E390&lt;69, ROUND('Reference Curves'!$I$87*E390+'Reference Curves'!$I$88,2), ROUND('Reference Curves'!$J$87*E390+'Reference Curves'!$J$88,2) ) ) ),
IF(G366="Plains",IF(OR(E390&lt;=0,E390&gt;111),0,IF(AND(E390&gt;=69,E390&lt;=76),1,IF(E390&lt;69,ROUND(E390*'Reference Curves'!$I$92+'Reference Curves'!$I$93,2),ROUND(E390*'Reference Curves'!$J$92+'Reference Curves'!$J$93,2))))))))</f>
        <v/>
      </c>
      <c r="G390" s="415"/>
      <c r="H390" s="415"/>
      <c r="I390" s="418"/>
      <c r="J390" s="443"/>
      <c r="K390" s="10"/>
      <c r="N390" s="9"/>
    </row>
    <row r="391" spans="1:14" s="5" customFormat="1" ht="15.75" x14ac:dyDescent="0.5">
      <c r="A391" s="399"/>
      <c r="B391" s="399"/>
      <c r="C391" s="18" t="s">
        <v>141</v>
      </c>
      <c r="D391" s="67"/>
      <c r="E391" s="79"/>
      <c r="F391" s="213" t="str">
        <f>IF(E391="","",IF(D367="Herbaceous",IF(E391&lt;=34,0,IF(E391&gt;=120,1,IF(E391&gt;73,ROUND(E391*'Reference Curves'!$J$98+'Reference Curves'!$J$99,2),ROUND(E391*'Reference Curves'!$I$98+'Reference Curves'!$I$99,2))))))</f>
        <v/>
      </c>
      <c r="G391" s="421"/>
      <c r="H391" s="415"/>
      <c r="I391" s="418"/>
      <c r="J391" s="443"/>
      <c r="K391" s="10"/>
      <c r="N391" s="9"/>
    </row>
    <row r="392" spans="1:14" s="5" customFormat="1" ht="15.75" x14ac:dyDescent="0.5">
      <c r="A392" s="399"/>
      <c r="B392" s="399"/>
      <c r="C392" s="138" t="s">
        <v>192</v>
      </c>
      <c r="D392" s="158"/>
      <c r="E392" s="162"/>
      <c r="F392" s="283" t="str">
        <f>IF(E392="","",IF(E392&lt;=46,0,IF(E392&gt;=100,1,IF(AND(E392&lt;=100,E392&gt;91),ROUND(E392*'Reference Curves'!$J$103+'Reference Curves'!$J$104,2),ROUND(E392*'Reference Curves'!$I$103+'Reference Curves'!$I$104,2)))))</f>
        <v/>
      </c>
      <c r="G392" s="416"/>
      <c r="H392" s="416"/>
      <c r="I392" s="419"/>
      <c r="J392" s="444"/>
      <c r="K392" s="10"/>
      <c r="N392" s="9"/>
    </row>
    <row r="393" spans="1:14" s="5" customFormat="1" ht="15.6" customHeight="1" x14ac:dyDescent="0.5">
      <c r="A393" s="436" t="s">
        <v>47</v>
      </c>
      <c r="B393" s="441" t="s">
        <v>139</v>
      </c>
      <c r="C393" s="139" t="s">
        <v>193</v>
      </c>
      <c r="D393" s="160"/>
      <c r="E393" s="30"/>
      <c r="F393" s="215" t="str">
        <f>IF(E393="","",IF(G364="","Enter Stream Temperature",  IF(G364="CS-I (MWF)",IF(E393&gt;=21.2,0,1),  IF(G364="CS-I",IF(E393&gt;=21.7,0,1),  IF(G364="CS-II",IF(E393&gt;=23.9,0,1),  IF(G364="WS-I",IF(E393&gt;=29,0,1),  IF(G364="WS-II",IF(E393&gt;=28.6,0,1), IF(G364="WS-III",IF(E393&gt;=31.8,0,1)))))))))</f>
        <v/>
      </c>
      <c r="G393" s="422" t="str">
        <f>IFERROR(AVERAGE(F393:F394),"")</f>
        <v/>
      </c>
      <c r="H393" s="422">
        <f>IF(OR(G393&lt;&gt;"",G395&lt;&gt;"",G396&lt;&gt;""),ROUND(AVERAGE(G393:G396),2),IF(B368="Yes",1,0.8))</f>
        <v>0.8</v>
      </c>
      <c r="I393" s="430" t="str">
        <f>IF(H393="","",IF(H393&gt;0.69,"Functioning",IF(H393&gt;0.29,"Functioning At Risk",IF(H393&gt;-1,"Not Functioning"))))</f>
        <v>Functioning</v>
      </c>
      <c r="J393" s="219" t="s">
        <v>290</v>
      </c>
      <c r="K393" s="10"/>
      <c r="N393" s="9"/>
    </row>
    <row r="394" spans="1:14" s="5" customFormat="1" ht="15.75" x14ac:dyDescent="0.5">
      <c r="A394" s="436"/>
      <c r="B394" s="441"/>
      <c r="C394" s="140" t="s">
        <v>194</v>
      </c>
      <c r="D394" s="155"/>
      <c r="E394" s="35"/>
      <c r="F394" s="216" t="str">
        <f>IF(E394="","",IF(G364="","Enter Stream Temperature",  IF(G364="CS-I (MWF)",IF(E394&gt;=18.3,0,IF(E394&lt;=13.8,1,ROUND(E394*'Reference Curves'!$M$4+'Reference Curves'!$M$5,2))),  IF(G364="CS-I",IF(E394&gt;=17.6,0,IF(E394&lt;=15.7,1,ROUND(E394*'Reference Curves'!$N$4+'Reference Curves'!$N$5,2))),  IF(G364="CS-II",IF(E394&gt;=19.1,0,IF(E394&lt;=16.6,1,ROUND(E394*'Reference Curves'!$O$4+'Reference Curves'!$O$5,2))),  IF(G364="WS-I",IF(E394&gt;=25.7,0,IF(E394&lt;=20.9,1,ROUND(E394*'Reference Curves'!$P$4+'Reference Curves'!$P$5,2))),  IF(G364="WS-II",IF(E394&gt;=29.7,0,IF(E394&lt;=22.5,1,ROUND(E394*'Reference Curves'!$Q$4+'Reference Curves'!$Q$5,2))), IF(G364="WS-III",IF(E394&gt;=30,0,IF(E394&lt;=25.9,1,ROUND(E394*'Reference Curves'!$R$4+'Reference Curves'!$R$5,2)))    ))))))))</f>
        <v/>
      </c>
      <c r="G394" s="424"/>
      <c r="H394" s="423"/>
      <c r="I394" s="430"/>
      <c r="J394" s="442">
        <f>IF(AND(H372="",H379="",H393="",H397=""),"",ROUND((IF(H372="",0,H372)*0.3)+(IF(H379="",0,H379)*0.3)+(IF(H393="",0,H393)*0.2)+(IF(H397="",0,H397)*0.2),2))</f>
        <v>0.32</v>
      </c>
      <c r="K394" s="10"/>
      <c r="N394" s="9"/>
    </row>
    <row r="395" spans="1:14" s="5" customFormat="1" ht="15.75" x14ac:dyDescent="0.5">
      <c r="A395" s="436"/>
      <c r="B395" s="192" t="s">
        <v>140</v>
      </c>
      <c r="C395" s="142" t="s">
        <v>195</v>
      </c>
      <c r="D395" s="156"/>
      <c r="E395" s="54"/>
      <c r="F395" s="216" t="str">
        <f>IF(E395="","",ROUND( IF(E395&lt;=6,0, IF(E395&gt;=10.31,1,E395*'Reference Curves'!$M$8+'Reference Curves'!$M$9)),2))</f>
        <v/>
      </c>
      <c r="G395" s="163" t="str">
        <f>IFERROR(AVERAGE(F395),"")</f>
        <v/>
      </c>
      <c r="H395" s="423"/>
      <c r="I395" s="430"/>
      <c r="J395" s="443"/>
      <c r="K395" s="10"/>
      <c r="N395" s="9"/>
    </row>
    <row r="396" spans="1:14" s="5" customFormat="1" ht="15.75" x14ac:dyDescent="0.5">
      <c r="A396" s="436"/>
      <c r="B396" s="192" t="s">
        <v>196</v>
      </c>
      <c r="C396" s="143" t="s">
        <v>357</v>
      </c>
      <c r="D396" s="157"/>
      <c r="E396" s="54"/>
      <c r="F396" s="216" t="str">
        <f>IF(E396="","",IF(OR(G365=3),IF(E396&gt;=150,0,IF(E396&lt;=16,1,ROUND('Reference Curves'!$M$13*LN(E396)+'Reference Curves'!$M$14,2))), IF(OR(G365=1,G365=2),  IF(E396&gt;=97,0,IF(E396&lt;=12,1,ROUND('Reference Curves'!$N$13*LN(E396)+'Reference Curves'!$N$14,2))))))</f>
        <v/>
      </c>
      <c r="G396" s="163" t="str">
        <f>IFERROR(AVERAGE(F396),"")</f>
        <v/>
      </c>
      <c r="H396" s="424"/>
      <c r="I396" s="430"/>
      <c r="J396" s="443"/>
      <c r="K396" s="10"/>
      <c r="N396" s="9"/>
    </row>
    <row r="397" spans="1:14" s="5" customFormat="1" ht="15.75" x14ac:dyDescent="0.5">
      <c r="A397" s="435" t="s">
        <v>48</v>
      </c>
      <c r="B397" s="191" t="s">
        <v>93</v>
      </c>
      <c r="C397" s="145" t="s">
        <v>197</v>
      </c>
      <c r="D397" s="28"/>
      <c r="E397" s="54"/>
      <c r="F397" s="217" t="str">
        <f>IF(E397="","",IF(G365="","Enter Biotype",IF(G365=1,IF(E397&lt;=0,0,IF(E397&gt;=57,1,ROUND(IF(E397&lt;=34,'Reference Curves'!$T$5*E397+'Reference Curves'!$T$6,  IF(E397&lt;=45, 'Reference Curves'!$U$5*E397+'Reference Curves'!$U$6,  'Reference Curves'!$V$5*E397+'Reference Curves'!$V$6)),2))),   IF(G365=2,IF(E397&lt;=0,0,IF(E397&gt;=63,1,ROUND(IF(E397&lt;=40,'Reference Curves'!$W$5*E397+'Reference Curves'!$W$6,  IF(E397&lt;=48,'Reference Curves'!$X$5*E397+'Reference Curves'!$X$6,  'Reference Curves'!$Y$5*E397+'Reference Curves'!$Y$6)),2))),   IF(OR(G365=3),IF(E397&lt;=0,0,IF(E397&gt;=52,1,ROUND(IF(E397&lt;=29,'Reference Curves'!$Z$5*E397+'Reference Curves'!$Z$6, IF(E397&lt;=42, 'Reference Curves'!$AA$5*E397+'Reference Curves'!$AA$6,  'Reference Curves'!$AB$5*E397+'Reference Curves'!$AB$6)),2))))))))</f>
        <v/>
      </c>
      <c r="G397" s="164" t="str">
        <f>IFERROR(AVERAGE(F397),"")</f>
        <v/>
      </c>
      <c r="H397" s="420">
        <f>IF(OR(G397&lt;&gt;"",G398&lt;&gt;""),ROUND(AVERAGE(G397:G400),2),IF(B368="Yes",1,0.8))</f>
        <v>0.8</v>
      </c>
      <c r="I397" s="430" t="str">
        <f>IF(H397="","",IF(H397&gt;0.69,"Functioning",IF(H397&gt;0.29,"Functioning At Risk",IF(H397&gt;-1,"Not Functioning"))))</f>
        <v>Functioning</v>
      </c>
      <c r="J397" s="443"/>
      <c r="K397" s="10"/>
      <c r="N397" s="9"/>
    </row>
    <row r="398" spans="1:14" s="5" customFormat="1" ht="15.75" x14ac:dyDescent="0.5">
      <c r="A398" s="435"/>
      <c r="B398" s="398" t="s">
        <v>51</v>
      </c>
      <c r="C398" s="146" t="s">
        <v>198</v>
      </c>
      <c r="D398" s="28"/>
      <c r="E398" s="30"/>
      <c r="F398" s="164" t="str">
        <f>IF(E398="","",IF(E398&lt;=0,0,IF(E398&gt;=100,1,ROUND(IF(E398&lt;80,E398*'Reference Curves'!$T$10+'Reference Curves'!$T$11,E398*'Reference Curves'!$U$10+'Reference Curves'!$U$11),2))))</f>
        <v/>
      </c>
      <c r="G398" s="427" t="str">
        <f>IFERROR(AVERAGE(F398:F400),"")</f>
        <v/>
      </c>
      <c r="H398" s="420"/>
      <c r="I398" s="430"/>
      <c r="J398" s="443"/>
      <c r="K398" s="10"/>
      <c r="N398" s="9"/>
    </row>
    <row r="399" spans="1:14" s="5" customFormat="1" ht="15.75" x14ac:dyDescent="0.5">
      <c r="A399" s="435"/>
      <c r="B399" s="398"/>
      <c r="C399" s="147" t="s">
        <v>199</v>
      </c>
      <c r="D399" s="159"/>
      <c r="E399" s="34"/>
      <c r="F399" s="164" t="str">
        <f>IF(E399="","",ROUND(IF(E399&gt;=3,0,IF(E399&gt;=2,0.3,IF(E399&gt;=1,0.69,1))),2))</f>
        <v/>
      </c>
      <c r="G399" s="428"/>
      <c r="H399" s="420"/>
      <c r="I399" s="430"/>
      <c r="J399" s="443"/>
      <c r="K399" s="10"/>
      <c r="N399" s="9"/>
    </row>
    <row r="400" spans="1:14" s="5" customFormat="1" ht="15.75" x14ac:dyDescent="0.5">
      <c r="A400" s="435"/>
      <c r="B400" s="398"/>
      <c r="C400" s="148" t="s">
        <v>200</v>
      </c>
      <c r="D400" s="161"/>
      <c r="E400" s="35"/>
      <c r="F400" s="218" t="str">
        <f>IF(E400="","",IF(G368="","Enter Stream Producitvity Rating",IF(G368="High",IF(E400&lt;5,0,IF(E400&gt;=40,1,ROUND(E400*'Reference Curves'!$T$15+'Reference Curves'!$T$16,2))),IF(G368="Moderate",IF(E400&lt;10,0,IF(E400&gt;=80,1,ROUND(E400*'Reference Curves'!$U$15+'Reference Curves'!$U$16,2))),IF(G368="Low",IF(E400&lt;15,0,IF(E400&gt;=119,1,ROUND(E400*'Reference Curves'!$V$15+'Reference Curves'!$V$16,2)))   )))))</f>
        <v/>
      </c>
      <c r="G400" s="429"/>
      <c r="H400" s="420"/>
      <c r="I400" s="430"/>
      <c r="J400" s="444"/>
      <c r="K400" s="10"/>
      <c r="N400" s="9"/>
    </row>
    <row r="401" spans="9:13" s="5" customFormat="1" ht="27.75" customHeight="1" x14ac:dyDescent="0.45">
      <c r="I401" s="55"/>
      <c r="J401" s="4"/>
      <c r="K401" s="10"/>
    </row>
    <row r="402" spans="9:13" x14ac:dyDescent="0.45">
      <c r="L402" s="5"/>
      <c r="M402" s="5"/>
    </row>
    <row r="403" spans="9:13" x14ac:dyDescent="0.45">
      <c r="L403" s="5"/>
      <c r="M403" s="5"/>
    </row>
    <row r="404" spans="9:13" x14ac:dyDescent="0.45">
      <c r="L404" s="5"/>
      <c r="M404" s="5"/>
    </row>
    <row r="405" spans="9:13" x14ac:dyDescent="0.45">
      <c r="L405" s="5"/>
      <c r="M405" s="5"/>
    </row>
    <row r="406" spans="9:13" x14ac:dyDescent="0.45">
      <c r="L406" s="5"/>
      <c r="M406" s="5"/>
    </row>
    <row r="407" spans="9:13" x14ac:dyDescent="0.45">
      <c r="L407" s="5"/>
      <c r="M407" s="5"/>
    </row>
    <row r="408" spans="9:13" x14ac:dyDescent="0.45">
      <c r="L408" s="5"/>
      <c r="M408" s="5"/>
    </row>
    <row r="409" spans="9:13" x14ac:dyDescent="0.45">
      <c r="L409" s="5"/>
      <c r="M409" s="5"/>
    </row>
    <row r="410" spans="9:13" x14ac:dyDescent="0.45">
      <c r="L410" s="5"/>
      <c r="M410" s="5"/>
    </row>
    <row r="411" spans="9:13" x14ac:dyDescent="0.45">
      <c r="L411" s="5"/>
      <c r="M411" s="5"/>
    </row>
    <row r="412" spans="9:13" x14ac:dyDescent="0.45">
      <c r="L412" s="5"/>
      <c r="M412" s="5"/>
    </row>
    <row r="413" spans="9:13" x14ac:dyDescent="0.45">
      <c r="L413" s="5"/>
      <c r="M413" s="5"/>
    </row>
    <row r="414" spans="9:13" x14ac:dyDescent="0.45">
      <c r="L414" s="5"/>
      <c r="M414" s="5"/>
    </row>
    <row r="415" spans="9:13" x14ac:dyDescent="0.45">
      <c r="L415" s="5"/>
      <c r="M415" s="5"/>
    </row>
    <row r="416" spans="9:13" x14ac:dyDescent="0.45">
      <c r="L416" s="5"/>
      <c r="M416" s="5"/>
    </row>
    <row r="417" spans="12:13" x14ac:dyDescent="0.45">
      <c r="L417" s="5"/>
      <c r="M417" s="5"/>
    </row>
    <row r="418" spans="12:13" x14ac:dyDescent="0.45">
      <c r="L418" s="5"/>
      <c r="M418" s="5"/>
    </row>
    <row r="419" spans="12:13" x14ac:dyDescent="0.45">
      <c r="L419" s="5"/>
      <c r="M419" s="5"/>
    </row>
    <row r="420" spans="12:13" x14ac:dyDescent="0.45">
      <c r="L420" s="5"/>
      <c r="M420" s="5"/>
    </row>
    <row r="421" spans="12:13" x14ac:dyDescent="0.45">
      <c r="L421" s="5"/>
      <c r="M421" s="5"/>
    </row>
    <row r="422" spans="12:13" x14ac:dyDescent="0.45">
      <c r="L422" s="5"/>
      <c r="M422" s="5"/>
    </row>
    <row r="423" spans="12:13" x14ac:dyDescent="0.45">
      <c r="L423" s="5"/>
      <c r="M423" s="5"/>
    </row>
    <row r="424" spans="12:13" x14ac:dyDescent="0.45">
      <c r="L424" s="5"/>
      <c r="M424" s="5"/>
    </row>
    <row r="425" spans="12:13" x14ac:dyDescent="0.45">
      <c r="L425" s="5"/>
      <c r="M425" s="5"/>
    </row>
    <row r="426" spans="12:13" x14ac:dyDescent="0.45">
      <c r="L426" s="5"/>
      <c r="M426" s="5"/>
    </row>
    <row r="427" spans="12:13" x14ac:dyDescent="0.45">
      <c r="L427" s="5"/>
      <c r="M427" s="5"/>
    </row>
    <row r="428" spans="12:13" x14ac:dyDescent="0.45">
      <c r="L428" s="5"/>
      <c r="M428" s="5"/>
    </row>
    <row r="429" spans="12:13" x14ac:dyDescent="0.45">
      <c r="L429" s="5"/>
      <c r="M429" s="5"/>
    </row>
    <row r="430" spans="12:13" x14ac:dyDescent="0.45">
      <c r="L430" s="5"/>
      <c r="M430" s="5"/>
    </row>
    <row r="431" spans="12:13" x14ac:dyDescent="0.45">
      <c r="L431" s="5"/>
      <c r="M431" s="5"/>
    </row>
    <row r="432" spans="12:13" x14ac:dyDescent="0.45">
      <c r="L432" s="5"/>
      <c r="M432" s="5"/>
    </row>
    <row r="433" spans="12:13" x14ac:dyDescent="0.45">
      <c r="L433" s="5"/>
      <c r="M433" s="5"/>
    </row>
    <row r="434" spans="12:13" x14ac:dyDescent="0.45">
      <c r="L434" s="5"/>
      <c r="M434" s="5"/>
    </row>
    <row r="435" spans="12:13" x14ac:dyDescent="0.45">
      <c r="L435" s="5"/>
      <c r="M435" s="5"/>
    </row>
  </sheetData>
  <sheetProtection algorithmName="SHA-512" hashValue="nsHEFCnjEpqb/ke5QLO4hZz25hIi0pfWZkCbPtruZD2lP+qamikai07ynmsJrroeWc4JuC995+zb9S8sqF2E2g==" saltValue="YAy59lXtaV1jsyMO0yrYCg==" spinCount="100000" sheet="1" formatColumns="0"/>
  <dataConsolidate/>
  <mergeCells count="450">
    <mergeCell ref="J314:J320"/>
    <mergeCell ref="J333:J352"/>
    <mergeCell ref="J354:J360"/>
    <mergeCell ref="J373:J392"/>
    <mergeCell ref="J394:J400"/>
    <mergeCell ref="J213:J232"/>
    <mergeCell ref="J234:J240"/>
    <mergeCell ref="J253:J272"/>
    <mergeCell ref="J274:J280"/>
    <mergeCell ref="J293:J312"/>
    <mergeCell ref="J114:J120"/>
    <mergeCell ref="J133:J152"/>
    <mergeCell ref="J154:J160"/>
    <mergeCell ref="J173:J192"/>
    <mergeCell ref="J194:J200"/>
    <mergeCell ref="J34:J40"/>
    <mergeCell ref="J13:J32"/>
    <mergeCell ref="J53:J72"/>
    <mergeCell ref="J74:J80"/>
    <mergeCell ref="J93:J112"/>
    <mergeCell ref="A397:A400"/>
    <mergeCell ref="H397:H400"/>
    <mergeCell ref="I397:I400"/>
    <mergeCell ref="B398:B400"/>
    <mergeCell ref="G398:G400"/>
    <mergeCell ref="A393:A396"/>
    <mergeCell ref="B393:B394"/>
    <mergeCell ref="G393:G394"/>
    <mergeCell ref="H393:H396"/>
    <mergeCell ref="I393:I396"/>
    <mergeCell ref="H379:H392"/>
    <mergeCell ref="I379:I392"/>
    <mergeCell ref="B381:B384"/>
    <mergeCell ref="G381:G384"/>
    <mergeCell ref="B385:B388"/>
    <mergeCell ref="G385:G388"/>
    <mergeCell ref="B389:B392"/>
    <mergeCell ref="G389:G392"/>
    <mergeCell ref="A370:F370"/>
    <mergeCell ref="G370:J370"/>
    <mergeCell ref="C371:D371"/>
    <mergeCell ref="A372:A378"/>
    <mergeCell ref="B372:B373"/>
    <mergeCell ref="G372:G373"/>
    <mergeCell ref="H372:H378"/>
    <mergeCell ref="I372:I378"/>
    <mergeCell ref="B374:B375"/>
    <mergeCell ref="G374:G375"/>
    <mergeCell ref="B376:B378"/>
    <mergeCell ref="G376:G378"/>
    <mergeCell ref="A379:A392"/>
    <mergeCell ref="B379:B380"/>
    <mergeCell ref="G379:G380"/>
    <mergeCell ref="E366:F366"/>
    <mergeCell ref="H366:I366"/>
    <mergeCell ref="E367:F367"/>
    <mergeCell ref="H367:I367"/>
    <mergeCell ref="E368:F368"/>
    <mergeCell ref="A363:J363"/>
    <mergeCell ref="E364:F364"/>
    <mergeCell ref="H364:I364"/>
    <mergeCell ref="E365:F365"/>
    <mergeCell ref="H365:I365"/>
    <mergeCell ref="A357:A360"/>
    <mergeCell ref="H357:H360"/>
    <mergeCell ref="I357:I360"/>
    <mergeCell ref="B358:B360"/>
    <mergeCell ref="G358:G360"/>
    <mergeCell ref="A353:A356"/>
    <mergeCell ref="B353:B354"/>
    <mergeCell ref="G353:G354"/>
    <mergeCell ref="H353:H356"/>
    <mergeCell ref="I353:I356"/>
    <mergeCell ref="H339:H352"/>
    <mergeCell ref="I339:I352"/>
    <mergeCell ref="B341:B344"/>
    <mergeCell ref="G341:G344"/>
    <mergeCell ref="B345:B348"/>
    <mergeCell ref="G345:G348"/>
    <mergeCell ref="B349:B352"/>
    <mergeCell ref="G349:G352"/>
    <mergeCell ref="A330:F330"/>
    <mergeCell ref="G330:J330"/>
    <mergeCell ref="C331:D331"/>
    <mergeCell ref="A332:A338"/>
    <mergeCell ref="B332:B333"/>
    <mergeCell ref="G332:G333"/>
    <mergeCell ref="H332:H338"/>
    <mergeCell ref="I332:I338"/>
    <mergeCell ref="B334:B335"/>
    <mergeCell ref="G334:G335"/>
    <mergeCell ref="B336:B338"/>
    <mergeCell ref="G336:G338"/>
    <mergeCell ref="A339:A352"/>
    <mergeCell ref="B339:B340"/>
    <mergeCell ref="G339:G340"/>
    <mergeCell ref="E326:F326"/>
    <mergeCell ref="H326:I326"/>
    <mergeCell ref="E327:F327"/>
    <mergeCell ref="H327:I327"/>
    <mergeCell ref="E328:F328"/>
    <mergeCell ref="A323:J323"/>
    <mergeCell ref="E324:F324"/>
    <mergeCell ref="H324:I324"/>
    <mergeCell ref="E325:F325"/>
    <mergeCell ref="H325:I325"/>
    <mergeCell ref="A317:A320"/>
    <mergeCell ref="H317:H320"/>
    <mergeCell ref="I317:I320"/>
    <mergeCell ref="B318:B320"/>
    <mergeCell ref="G318:G320"/>
    <mergeCell ref="A313:A316"/>
    <mergeCell ref="B313:B314"/>
    <mergeCell ref="G313:G314"/>
    <mergeCell ref="H313:H316"/>
    <mergeCell ref="I313:I316"/>
    <mergeCell ref="H299:H312"/>
    <mergeCell ref="I299:I312"/>
    <mergeCell ref="B301:B304"/>
    <mergeCell ref="G301:G304"/>
    <mergeCell ref="B305:B308"/>
    <mergeCell ref="G305:G308"/>
    <mergeCell ref="B309:B312"/>
    <mergeCell ref="G309:G312"/>
    <mergeCell ref="A290:F290"/>
    <mergeCell ref="G290:J290"/>
    <mergeCell ref="C291:D291"/>
    <mergeCell ref="A292:A298"/>
    <mergeCell ref="B292:B293"/>
    <mergeCell ref="G292:G293"/>
    <mergeCell ref="H292:H298"/>
    <mergeCell ref="I292:I298"/>
    <mergeCell ref="B294:B295"/>
    <mergeCell ref="G294:G295"/>
    <mergeCell ref="B296:B298"/>
    <mergeCell ref="G296:G298"/>
    <mergeCell ref="A299:A312"/>
    <mergeCell ref="B299:B300"/>
    <mergeCell ref="G299:G300"/>
    <mergeCell ref="E286:F286"/>
    <mergeCell ref="H286:I286"/>
    <mergeCell ref="E287:F287"/>
    <mergeCell ref="H287:I287"/>
    <mergeCell ref="E288:F288"/>
    <mergeCell ref="A283:J283"/>
    <mergeCell ref="E284:F284"/>
    <mergeCell ref="H284:I284"/>
    <mergeCell ref="E285:F285"/>
    <mergeCell ref="H285:I285"/>
    <mergeCell ref="A277:A280"/>
    <mergeCell ref="H277:H280"/>
    <mergeCell ref="I277:I280"/>
    <mergeCell ref="B278:B280"/>
    <mergeCell ref="G278:G280"/>
    <mergeCell ref="A273:A276"/>
    <mergeCell ref="B273:B274"/>
    <mergeCell ref="G273:G274"/>
    <mergeCell ref="H273:H276"/>
    <mergeCell ref="I273:I276"/>
    <mergeCell ref="H259:H272"/>
    <mergeCell ref="I259:I272"/>
    <mergeCell ref="B261:B264"/>
    <mergeCell ref="G261:G264"/>
    <mergeCell ref="B265:B268"/>
    <mergeCell ref="G265:G268"/>
    <mergeCell ref="B269:B272"/>
    <mergeCell ref="G269:G272"/>
    <mergeCell ref="A250:F250"/>
    <mergeCell ref="G250:J250"/>
    <mergeCell ref="C251:D251"/>
    <mergeCell ref="A252:A258"/>
    <mergeCell ref="B252:B253"/>
    <mergeCell ref="G252:G253"/>
    <mergeCell ref="H252:H258"/>
    <mergeCell ref="I252:I258"/>
    <mergeCell ref="B254:B255"/>
    <mergeCell ref="G254:G255"/>
    <mergeCell ref="B256:B258"/>
    <mergeCell ref="G256:G258"/>
    <mergeCell ref="A259:A272"/>
    <mergeCell ref="B259:B260"/>
    <mergeCell ref="G259:G260"/>
    <mergeCell ref="E246:F246"/>
    <mergeCell ref="H246:I246"/>
    <mergeCell ref="E247:F247"/>
    <mergeCell ref="H247:I247"/>
    <mergeCell ref="E248:F248"/>
    <mergeCell ref="A243:J243"/>
    <mergeCell ref="E244:F244"/>
    <mergeCell ref="H244:I244"/>
    <mergeCell ref="E245:F245"/>
    <mergeCell ref="H245:I245"/>
    <mergeCell ref="A237:A240"/>
    <mergeCell ref="H237:H240"/>
    <mergeCell ref="I237:I240"/>
    <mergeCell ref="B238:B240"/>
    <mergeCell ref="G238:G240"/>
    <mergeCell ref="A233:A236"/>
    <mergeCell ref="B233:B234"/>
    <mergeCell ref="G233:G234"/>
    <mergeCell ref="H233:H236"/>
    <mergeCell ref="I233:I236"/>
    <mergeCell ref="H219:H232"/>
    <mergeCell ref="I219:I232"/>
    <mergeCell ref="B221:B224"/>
    <mergeCell ref="G221:G224"/>
    <mergeCell ref="B225:B228"/>
    <mergeCell ref="G225:G228"/>
    <mergeCell ref="B229:B232"/>
    <mergeCell ref="G229:G232"/>
    <mergeCell ref="A210:F210"/>
    <mergeCell ref="G210:J210"/>
    <mergeCell ref="C211:D211"/>
    <mergeCell ref="A212:A218"/>
    <mergeCell ref="B212:B213"/>
    <mergeCell ref="G212:G213"/>
    <mergeCell ref="H212:H218"/>
    <mergeCell ref="I212:I218"/>
    <mergeCell ref="B214:B215"/>
    <mergeCell ref="G214:G215"/>
    <mergeCell ref="B216:B218"/>
    <mergeCell ref="G216:G218"/>
    <mergeCell ref="A219:A232"/>
    <mergeCell ref="B219:B220"/>
    <mergeCell ref="G219:G220"/>
    <mergeCell ref="E206:F206"/>
    <mergeCell ref="H206:I206"/>
    <mergeCell ref="E207:F207"/>
    <mergeCell ref="H207:I207"/>
    <mergeCell ref="E208:F208"/>
    <mergeCell ref="A203:J203"/>
    <mergeCell ref="E204:F204"/>
    <mergeCell ref="H204:I204"/>
    <mergeCell ref="E205:F205"/>
    <mergeCell ref="H205:I205"/>
    <mergeCell ref="A197:A200"/>
    <mergeCell ref="H197:H200"/>
    <mergeCell ref="I197:I200"/>
    <mergeCell ref="B198:B200"/>
    <mergeCell ref="G198:G200"/>
    <mergeCell ref="A193:A196"/>
    <mergeCell ref="B193:B194"/>
    <mergeCell ref="G193:G194"/>
    <mergeCell ref="H193:H196"/>
    <mergeCell ref="I193:I196"/>
    <mergeCell ref="H179:H192"/>
    <mergeCell ref="I179:I192"/>
    <mergeCell ref="B181:B184"/>
    <mergeCell ref="G181:G184"/>
    <mergeCell ref="B185:B188"/>
    <mergeCell ref="G185:G188"/>
    <mergeCell ref="B189:B192"/>
    <mergeCell ref="G189:G192"/>
    <mergeCell ref="A170:F170"/>
    <mergeCell ref="G170:J170"/>
    <mergeCell ref="C171:D171"/>
    <mergeCell ref="A172:A178"/>
    <mergeCell ref="B172:B173"/>
    <mergeCell ref="G172:G173"/>
    <mergeCell ref="H172:H178"/>
    <mergeCell ref="I172:I178"/>
    <mergeCell ref="B174:B175"/>
    <mergeCell ref="G174:G175"/>
    <mergeCell ref="B176:B178"/>
    <mergeCell ref="G176:G178"/>
    <mergeCell ref="A179:A192"/>
    <mergeCell ref="B179:B180"/>
    <mergeCell ref="G179:G180"/>
    <mergeCell ref="E166:F166"/>
    <mergeCell ref="H166:I166"/>
    <mergeCell ref="E167:F167"/>
    <mergeCell ref="H167:I167"/>
    <mergeCell ref="E168:F168"/>
    <mergeCell ref="A163:J163"/>
    <mergeCell ref="E164:F164"/>
    <mergeCell ref="H164:I164"/>
    <mergeCell ref="E165:F165"/>
    <mergeCell ref="H165:I165"/>
    <mergeCell ref="A157:A160"/>
    <mergeCell ref="H157:H160"/>
    <mergeCell ref="I157:I160"/>
    <mergeCell ref="B158:B160"/>
    <mergeCell ref="G158:G160"/>
    <mergeCell ref="A153:A156"/>
    <mergeCell ref="B153:B154"/>
    <mergeCell ref="G153:G154"/>
    <mergeCell ref="H153:H156"/>
    <mergeCell ref="I153:I156"/>
    <mergeCell ref="H139:H152"/>
    <mergeCell ref="I139:I152"/>
    <mergeCell ref="B141:B144"/>
    <mergeCell ref="G141:G144"/>
    <mergeCell ref="B145:B148"/>
    <mergeCell ref="G145:G148"/>
    <mergeCell ref="B149:B152"/>
    <mergeCell ref="G149:G152"/>
    <mergeCell ref="A130:F130"/>
    <mergeCell ref="G130:J130"/>
    <mergeCell ref="C131:D131"/>
    <mergeCell ref="A132:A138"/>
    <mergeCell ref="B132:B133"/>
    <mergeCell ref="G132:G133"/>
    <mergeCell ref="H132:H138"/>
    <mergeCell ref="I132:I138"/>
    <mergeCell ref="B134:B135"/>
    <mergeCell ref="G134:G135"/>
    <mergeCell ref="B136:B138"/>
    <mergeCell ref="G136:G138"/>
    <mergeCell ref="A139:A152"/>
    <mergeCell ref="B139:B140"/>
    <mergeCell ref="G139:G140"/>
    <mergeCell ref="E126:F126"/>
    <mergeCell ref="H126:I126"/>
    <mergeCell ref="E127:F127"/>
    <mergeCell ref="H127:I127"/>
    <mergeCell ref="E128:F128"/>
    <mergeCell ref="A123:J123"/>
    <mergeCell ref="E124:F124"/>
    <mergeCell ref="H124:I124"/>
    <mergeCell ref="E125:F125"/>
    <mergeCell ref="H125:I125"/>
    <mergeCell ref="A117:A120"/>
    <mergeCell ref="H117:H120"/>
    <mergeCell ref="I117:I120"/>
    <mergeCell ref="B118:B120"/>
    <mergeCell ref="G118:G120"/>
    <mergeCell ref="A113:A116"/>
    <mergeCell ref="B113:B114"/>
    <mergeCell ref="G113:G114"/>
    <mergeCell ref="H113:H116"/>
    <mergeCell ref="I113:I116"/>
    <mergeCell ref="H99:H112"/>
    <mergeCell ref="I99:I112"/>
    <mergeCell ref="B101:B104"/>
    <mergeCell ref="G101:G104"/>
    <mergeCell ref="B105:B108"/>
    <mergeCell ref="G105:G108"/>
    <mergeCell ref="B109:B112"/>
    <mergeCell ref="G109:G112"/>
    <mergeCell ref="A90:F90"/>
    <mergeCell ref="G90:J90"/>
    <mergeCell ref="C91:D91"/>
    <mergeCell ref="A92:A98"/>
    <mergeCell ref="B92:B93"/>
    <mergeCell ref="G92:G93"/>
    <mergeCell ref="H92:H98"/>
    <mergeCell ref="I92:I98"/>
    <mergeCell ref="B94:B95"/>
    <mergeCell ref="G94:G95"/>
    <mergeCell ref="B96:B98"/>
    <mergeCell ref="G96:G98"/>
    <mergeCell ref="A99:A112"/>
    <mergeCell ref="B99:B100"/>
    <mergeCell ref="G99:G100"/>
    <mergeCell ref="E86:F86"/>
    <mergeCell ref="H86:I86"/>
    <mergeCell ref="E87:F87"/>
    <mergeCell ref="H87:I87"/>
    <mergeCell ref="E88:F88"/>
    <mergeCell ref="A83:J83"/>
    <mergeCell ref="E84:F84"/>
    <mergeCell ref="H84:I84"/>
    <mergeCell ref="E85:F85"/>
    <mergeCell ref="H85:I85"/>
    <mergeCell ref="A77:A80"/>
    <mergeCell ref="H77:H80"/>
    <mergeCell ref="I77:I80"/>
    <mergeCell ref="B78:B80"/>
    <mergeCell ref="G78:G80"/>
    <mergeCell ref="A73:A76"/>
    <mergeCell ref="B73:B74"/>
    <mergeCell ref="G73:G74"/>
    <mergeCell ref="H73:H76"/>
    <mergeCell ref="I73:I76"/>
    <mergeCell ref="H59:H72"/>
    <mergeCell ref="I59:I72"/>
    <mergeCell ref="B61:B64"/>
    <mergeCell ref="G61:G64"/>
    <mergeCell ref="B65:B68"/>
    <mergeCell ref="G65:G68"/>
    <mergeCell ref="B69:B72"/>
    <mergeCell ref="G69:G72"/>
    <mergeCell ref="A50:F50"/>
    <mergeCell ref="G50:J50"/>
    <mergeCell ref="C51:D51"/>
    <mergeCell ref="A52:A58"/>
    <mergeCell ref="B52:B53"/>
    <mergeCell ref="G52:G53"/>
    <mergeCell ref="H52:H58"/>
    <mergeCell ref="I52:I58"/>
    <mergeCell ref="B54:B55"/>
    <mergeCell ref="G54:G55"/>
    <mergeCell ref="B56:B58"/>
    <mergeCell ref="G56:G58"/>
    <mergeCell ref="A59:A72"/>
    <mergeCell ref="B59:B60"/>
    <mergeCell ref="G59:G60"/>
    <mergeCell ref="E46:F46"/>
    <mergeCell ref="H46:I46"/>
    <mergeCell ref="E47:F47"/>
    <mergeCell ref="H47:I47"/>
    <mergeCell ref="E48:F48"/>
    <mergeCell ref="A43:J43"/>
    <mergeCell ref="E44:F44"/>
    <mergeCell ref="H44:I44"/>
    <mergeCell ref="E45:F45"/>
    <mergeCell ref="H45:I45"/>
    <mergeCell ref="G14:G15"/>
    <mergeCell ref="B16:B18"/>
    <mergeCell ref="I33:I36"/>
    <mergeCell ref="I12:I18"/>
    <mergeCell ref="G33:G34"/>
    <mergeCell ref="H12:H18"/>
    <mergeCell ref="B12:B13"/>
    <mergeCell ref="H6:I6"/>
    <mergeCell ref="H5:I5"/>
    <mergeCell ref="B33:B34"/>
    <mergeCell ref="H4:I4"/>
    <mergeCell ref="A3:J3"/>
    <mergeCell ref="G16:G18"/>
    <mergeCell ref="H19:H32"/>
    <mergeCell ref="I19:I32"/>
    <mergeCell ref="H37:H40"/>
    <mergeCell ref="G29:G32"/>
    <mergeCell ref="G19:G20"/>
    <mergeCell ref="G21:G24"/>
    <mergeCell ref="H33:H36"/>
    <mergeCell ref="G12:G13"/>
    <mergeCell ref="G25:G28"/>
    <mergeCell ref="G38:G40"/>
    <mergeCell ref="I37:I40"/>
    <mergeCell ref="A10:F10"/>
    <mergeCell ref="G10:J10"/>
    <mergeCell ref="C11:D11"/>
    <mergeCell ref="H7:I7"/>
    <mergeCell ref="A12:A18"/>
    <mergeCell ref="A37:A40"/>
    <mergeCell ref="A33:A36"/>
    <mergeCell ref="B19:B20"/>
    <mergeCell ref="B21:B24"/>
    <mergeCell ref="B29:B32"/>
    <mergeCell ref="B38:B40"/>
    <mergeCell ref="B25:B28"/>
    <mergeCell ref="A19:A32"/>
    <mergeCell ref="B14:B15"/>
    <mergeCell ref="E4:F4"/>
    <mergeCell ref="E5:F5"/>
    <mergeCell ref="E6:F6"/>
    <mergeCell ref="E8:F8"/>
    <mergeCell ref="E7:F7"/>
  </mergeCells>
  <conditionalFormatting sqref="A11:C11 G10 E11:J11 H41:K41 K42 L3:M4 D16:D23 D35:D39 A3:A4 D4 B9:I9 K7:K40 A8:B8 D6 A5:C5 G8 D8 J13 J34">
    <cfRule type="beginsWith" dxfId="1149" priority="7898" stopIfTrue="1" operator="beginsWith" text="Functioning At Risk">
      <formula>LEFT(A3,LEN("Functioning At Risk"))="Functioning At Risk"</formula>
    </cfRule>
    <cfRule type="beginsWith" dxfId="1148" priority="7899" stopIfTrue="1" operator="beginsWith" text="Not Functioning">
      <formula>LEFT(A3,LEN("Not Functioning"))="Not Functioning"</formula>
    </cfRule>
    <cfRule type="containsText" dxfId="1147" priority="7900" operator="containsText" text="Functioning">
      <formula>NOT(ISERROR(SEARCH("Functioning",A3)))</formula>
    </cfRule>
  </conditionalFormatting>
  <conditionalFormatting sqref="D40">
    <cfRule type="beginsWith" dxfId="1146" priority="7052" stopIfTrue="1" operator="beginsWith" text="Functioning At Risk">
      <formula>LEFT(D40,LEN("Functioning At Risk"))="Functioning At Risk"</formula>
    </cfRule>
    <cfRule type="beginsWith" dxfId="1145" priority="7053" stopIfTrue="1" operator="beginsWith" text="Not Functioning">
      <formula>LEFT(D40,LEN("Not Functioning"))="Not Functioning"</formula>
    </cfRule>
    <cfRule type="containsText" dxfId="1144" priority="7054" operator="containsText" text="Functioning">
      <formula>NOT(ISERROR(SEARCH("Functioning",D40)))</formula>
    </cfRule>
  </conditionalFormatting>
  <conditionalFormatting sqref="H8">
    <cfRule type="beginsWith" dxfId="1143" priority="2689" stopIfTrue="1" operator="beginsWith" text="Functioning At Risk">
      <formula>LEFT(H8,LEN("Functioning At Risk"))="Functioning At Risk"</formula>
    </cfRule>
    <cfRule type="beginsWith" dxfId="1142" priority="2690" stopIfTrue="1" operator="beginsWith" text="Not Functioning">
      <formula>LEFT(H8,LEN("Not Functioning"))="Not Functioning"</formula>
    </cfRule>
    <cfRule type="containsText" dxfId="1141" priority="2691" operator="containsText" text="Functioning">
      <formula>NOT(ISERROR(SEARCH("Functioning",H8)))</formula>
    </cfRule>
  </conditionalFormatting>
  <conditionalFormatting sqref="J4:J5 J7:J8">
    <cfRule type="beginsWith" dxfId="1140" priority="2686" stopIfTrue="1" operator="beginsWith" text="Functioning At Risk">
      <formula>LEFT(J4,LEN("Functioning At Risk"))="Functioning At Risk"</formula>
    </cfRule>
    <cfRule type="beginsWith" dxfId="1139" priority="2687" stopIfTrue="1" operator="beginsWith" text="Not Functioning">
      <formula>LEFT(J4,LEN("Not Functioning"))="Not Functioning"</formula>
    </cfRule>
    <cfRule type="containsText" dxfId="1138" priority="2688" operator="containsText" text="Functioning">
      <formula>NOT(ISERROR(SEARCH("Functioning",J4)))</formula>
    </cfRule>
  </conditionalFormatting>
  <conditionalFormatting sqref="G4">
    <cfRule type="beginsWith" dxfId="1137" priority="2377" stopIfTrue="1" operator="beginsWith" text="Functioning At Risk">
      <formula>LEFT(G4,LEN("Functioning At Risk"))="Functioning At Risk"</formula>
    </cfRule>
    <cfRule type="beginsWith" dxfId="1136" priority="2378" stopIfTrue="1" operator="beginsWith" text="Not Functioning">
      <formula>LEFT(G4,LEN("Not Functioning"))="Not Functioning"</formula>
    </cfRule>
    <cfRule type="containsText" dxfId="1135" priority="2379" operator="containsText" text="Functioning">
      <formula>NOT(ISERROR(SEARCH("Functioning",G4)))</formula>
    </cfRule>
  </conditionalFormatting>
  <conditionalFormatting sqref="D25:D28">
    <cfRule type="beginsWith" dxfId="1134" priority="2361" stopIfTrue="1" operator="beginsWith" text="Functioning At Risk">
      <formula>LEFT(D25,LEN("Functioning At Risk"))="Functioning At Risk"</formula>
    </cfRule>
    <cfRule type="beginsWith" dxfId="1133" priority="2362" stopIfTrue="1" operator="beginsWith" text="Not Functioning">
      <formula>LEFT(D25,LEN("Not Functioning"))="Not Functioning"</formula>
    </cfRule>
    <cfRule type="containsText" dxfId="1132" priority="2363" operator="containsText" text="Functioning">
      <formula>NOT(ISERROR(SEARCH("Functioning",D25)))</formula>
    </cfRule>
  </conditionalFormatting>
  <conditionalFormatting sqref="G5">
    <cfRule type="beginsWith" dxfId="1131" priority="1393" stopIfTrue="1" operator="beginsWith" text="Functioning At Risk">
      <formula>LEFT(G5,LEN("Functioning At Risk"))="Functioning At Risk"</formula>
    </cfRule>
    <cfRule type="beginsWith" dxfId="1130" priority="1394" stopIfTrue="1" operator="beginsWith" text="Not Functioning">
      <formula>LEFT(G5,LEN("Not Functioning"))="Not Functioning"</formula>
    </cfRule>
    <cfRule type="containsText" dxfId="1129" priority="1395" operator="containsText" text="Functioning">
      <formula>NOT(ISERROR(SEARCH("Functioning",G5)))</formula>
    </cfRule>
  </conditionalFormatting>
  <conditionalFormatting sqref="G5">
    <cfRule type="beginsWith" dxfId="1128" priority="1390" stopIfTrue="1" operator="beginsWith" text="Functioning At Risk">
      <formula>LEFT(G5,LEN("Functioning At Risk"))="Functioning At Risk"</formula>
    </cfRule>
    <cfRule type="beginsWith" dxfId="1127" priority="1391" stopIfTrue="1" operator="beginsWith" text="Not Functioning">
      <formula>LEFT(G5,LEN("Not Functioning"))="Not Functioning"</formula>
    </cfRule>
    <cfRule type="containsText" dxfId="1126" priority="1392" operator="containsText" text="Functioning">
      <formula>NOT(ISERROR(SEARCH("Functioning",G5)))</formula>
    </cfRule>
  </conditionalFormatting>
  <conditionalFormatting sqref="B4">
    <cfRule type="beginsWith" dxfId="1125" priority="1225" stopIfTrue="1" operator="beginsWith" text="Functioning At Risk">
      <formula>LEFT(B4,LEN("Functioning At Risk"))="Functioning At Risk"</formula>
    </cfRule>
    <cfRule type="beginsWith" dxfId="1124" priority="1226" stopIfTrue="1" operator="beginsWith" text="Not Functioning">
      <formula>LEFT(B4,LEN("Not Functioning"))="Not Functioning"</formula>
    </cfRule>
    <cfRule type="containsText" dxfId="1123" priority="1227" operator="containsText" text="Functioning">
      <formula>NOT(ISERROR(SEARCH("Functioning",B4)))</formula>
    </cfRule>
  </conditionalFormatting>
  <conditionalFormatting sqref="I19 I33:I40 I12:I13">
    <cfRule type="containsText" dxfId="1122" priority="856" stopIfTrue="1" operator="containsText" text="Functioning At Risk">
      <formula>NOT(ISERROR(SEARCH("Functioning At Risk",I12)))</formula>
    </cfRule>
    <cfRule type="containsText" dxfId="1121" priority="857" stopIfTrue="1" operator="containsText" text="Not Functioning">
      <formula>NOT(ISERROR(SEARCH("Not Functioning",I12)))</formula>
    </cfRule>
    <cfRule type="containsText" dxfId="1120" priority="858" operator="containsText" text="Functioning">
      <formula>NOT(ISERROR(SEARCH("Functioning",I12)))</formula>
    </cfRule>
  </conditionalFormatting>
  <conditionalFormatting sqref="E8">
    <cfRule type="beginsWith" dxfId="1119" priority="853" stopIfTrue="1" operator="beginsWith" text="Functioning At Risk">
      <formula>LEFT(E8,LEN("Functioning At Risk"))="Functioning At Risk"</formula>
    </cfRule>
    <cfRule type="beginsWith" dxfId="1118" priority="854" stopIfTrue="1" operator="beginsWith" text="Not Functioning">
      <formula>LEFT(E8,LEN("Not Functioning"))="Not Functioning"</formula>
    </cfRule>
    <cfRule type="containsText" dxfId="1117" priority="855" operator="containsText" text="Functioning">
      <formula>NOT(ISERROR(SEARCH("Functioning",E8)))</formula>
    </cfRule>
  </conditionalFormatting>
  <conditionalFormatting sqref="C4">
    <cfRule type="beginsWith" dxfId="1116" priority="850" stopIfTrue="1" operator="beginsWith" text="Functioning At Risk">
      <formula>LEFT(C4,LEN("Functioning At Risk"))="Functioning At Risk"</formula>
    </cfRule>
    <cfRule type="beginsWith" dxfId="1115" priority="851" stopIfTrue="1" operator="beginsWith" text="Not Functioning">
      <formula>LEFT(C4,LEN("Not Functioning"))="Not Functioning"</formula>
    </cfRule>
    <cfRule type="containsText" dxfId="1114" priority="852" operator="containsText" text="Functioning">
      <formula>NOT(ISERROR(SEARCH("Functioning",C4)))</formula>
    </cfRule>
  </conditionalFormatting>
  <conditionalFormatting sqref="G6">
    <cfRule type="beginsWith" dxfId="1113" priority="832" stopIfTrue="1" operator="beginsWith" text="Functioning At Risk">
      <formula>LEFT(G6,LEN("Functioning At Risk"))="Functioning At Risk"</formula>
    </cfRule>
    <cfRule type="beginsWith" dxfId="1112" priority="833" stopIfTrue="1" operator="beginsWith" text="Not Functioning">
      <formula>LEFT(G6,LEN("Not Functioning"))="Not Functioning"</formula>
    </cfRule>
    <cfRule type="containsText" dxfId="1111" priority="834" operator="containsText" text="Functioning">
      <formula>NOT(ISERROR(SEARCH("Functioning",G6)))</formula>
    </cfRule>
  </conditionalFormatting>
  <conditionalFormatting sqref="E4">
    <cfRule type="beginsWith" dxfId="1110" priority="844" stopIfTrue="1" operator="beginsWith" text="Functioning At Risk">
      <formula>LEFT(E4,LEN("Functioning At Risk"))="Functioning At Risk"</formula>
    </cfRule>
    <cfRule type="beginsWith" dxfId="1109" priority="845" stopIfTrue="1" operator="beginsWith" text="Not Functioning">
      <formula>LEFT(E4,LEN("Not Functioning"))="Not Functioning"</formula>
    </cfRule>
    <cfRule type="containsText" dxfId="1108" priority="846" operator="containsText" text="Functioning">
      <formula>NOT(ISERROR(SEARCH("Functioning",E4)))</formula>
    </cfRule>
  </conditionalFormatting>
  <conditionalFormatting sqref="E6">
    <cfRule type="beginsWith" dxfId="1107" priority="838" stopIfTrue="1" operator="beginsWith" text="Functioning At Risk">
      <formula>LEFT(E6,LEN("Functioning At Risk"))="Functioning At Risk"</formula>
    </cfRule>
    <cfRule type="beginsWith" dxfId="1106" priority="839" stopIfTrue="1" operator="beginsWith" text="Not Functioning">
      <formula>LEFT(E6,LEN("Not Functioning"))="Not Functioning"</formula>
    </cfRule>
    <cfRule type="containsText" dxfId="1105" priority="840" operator="containsText" text="Functioning">
      <formula>NOT(ISERROR(SEARCH("Functioning",E6)))</formula>
    </cfRule>
  </conditionalFormatting>
  <conditionalFormatting sqref="C6">
    <cfRule type="beginsWith" dxfId="1104" priority="835" stopIfTrue="1" operator="beginsWith" text="Functioning At Risk">
      <formula>LEFT(C6,LEN("Functioning At Risk"))="Functioning At Risk"</formula>
    </cfRule>
    <cfRule type="beginsWith" dxfId="1103" priority="836" stopIfTrue="1" operator="beginsWith" text="Not Functioning">
      <formula>LEFT(C6,LEN("Not Functioning"))="Not Functioning"</formula>
    </cfRule>
    <cfRule type="containsText" dxfId="1102" priority="837" operator="containsText" text="Functioning">
      <formula>NOT(ISERROR(SEARCH("Functioning",C6)))</formula>
    </cfRule>
  </conditionalFormatting>
  <conditionalFormatting sqref="E5">
    <cfRule type="beginsWith" dxfId="1101" priority="826" stopIfTrue="1" operator="beginsWith" text="Functioning At Risk">
      <formula>LEFT(E5,LEN("Functioning At Risk"))="Functioning At Risk"</formula>
    </cfRule>
    <cfRule type="beginsWith" dxfId="1100" priority="827" stopIfTrue="1" operator="beginsWith" text="Not Functioning">
      <formula>LEFT(E5,LEN("Not Functioning"))="Not Functioning"</formula>
    </cfRule>
    <cfRule type="containsText" dxfId="1099" priority="828" operator="containsText" text="Functioning">
      <formula>NOT(ISERROR(SEARCH("Functioning",E5)))</formula>
    </cfRule>
  </conditionalFormatting>
  <conditionalFormatting sqref="B7">
    <cfRule type="beginsWith" dxfId="1098" priority="823" stopIfTrue="1" operator="beginsWith" text="Functioning At Risk">
      <formula>LEFT(B7,LEN("Functioning At Risk"))="Functioning At Risk"</formula>
    </cfRule>
    <cfRule type="beginsWith" dxfId="1097" priority="824" stopIfTrue="1" operator="beginsWith" text="Not Functioning">
      <formula>LEFT(B7,LEN("Not Functioning"))="Not Functioning"</formula>
    </cfRule>
    <cfRule type="containsText" dxfId="1096" priority="825" operator="containsText" text="Functioning">
      <formula>NOT(ISERROR(SEARCH("Functioning",B7)))</formula>
    </cfRule>
  </conditionalFormatting>
  <conditionalFormatting sqref="B6">
    <cfRule type="beginsWith" dxfId="1095" priority="820" stopIfTrue="1" operator="beginsWith" text="Functioning At Risk">
      <formula>LEFT(B6,LEN("Functioning At Risk"))="Functioning At Risk"</formula>
    </cfRule>
    <cfRule type="beginsWith" dxfId="1094" priority="821" stopIfTrue="1" operator="beginsWith" text="Not Functioning">
      <formula>LEFT(B6,LEN("Not Functioning"))="Not Functioning"</formula>
    </cfRule>
    <cfRule type="containsText" dxfId="1093" priority="822" operator="containsText" text="Functioning">
      <formula>NOT(ISERROR(SEARCH("Functioning",B6)))</formula>
    </cfRule>
  </conditionalFormatting>
  <conditionalFormatting sqref="D5">
    <cfRule type="beginsWith" dxfId="1092" priority="817" stopIfTrue="1" operator="beginsWith" text="Functioning At Risk">
      <formula>LEFT(D5,LEN("Functioning At Risk"))="Functioning At Risk"</formula>
    </cfRule>
    <cfRule type="beginsWith" dxfId="1091" priority="818" stopIfTrue="1" operator="beginsWith" text="Not Functioning">
      <formula>LEFT(D5,LEN("Not Functioning"))="Not Functioning"</formula>
    </cfRule>
    <cfRule type="containsText" dxfId="1090" priority="819" operator="containsText" text="Functioning">
      <formula>NOT(ISERROR(SEARCH("Functioning",D5)))</formula>
    </cfRule>
  </conditionalFormatting>
  <conditionalFormatting sqref="G7">
    <cfRule type="beginsWith" dxfId="1089" priority="814" stopIfTrue="1" operator="beginsWith" text="Functioning At Risk">
      <formula>LEFT(G7,LEN("Functioning At Risk"))="Functioning At Risk"</formula>
    </cfRule>
    <cfRule type="beginsWith" dxfId="1088" priority="815" stopIfTrue="1" operator="beginsWith" text="Not Functioning">
      <formula>LEFT(G7,LEN("Not Functioning"))="Not Functioning"</formula>
    </cfRule>
    <cfRule type="containsText" dxfId="1087" priority="816" operator="containsText" text="Functioning">
      <formula>NOT(ISERROR(SEARCH("Functioning",G7)))</formula>
    </cfRule>
  </conditionalFormatting>
  <conditionalFormatting sqref="H4:H7">
    <cfRule type="beginsWith" dxfId="1086" priority="811" stopIfTrue="1" operator="beginsWith" text="Functioning At Risk">
      <formula>LEFT(H4,LEN("Functioning At Risk"))="Functioning At Risk"</formula>
    </cfRule>
    <cfRule type="beginsWith" dxfId="1085" priority="812" stopIfTrue="1" operator="beginsWith" text="Not Functioning">
      <formula>LEFT(H4,LEN("Not Functioning"))="Not Functioning"</formula>
    </cfRule>
    <cfRule type="containsText" dxfId="1084" priority="813" operator="containsText" text="Functioning">
      <formula>NOT(ISERROR(SEARCH("Functioning",H4)))</formula>
    </cfRule>
  </conditionalFormatting>
  <conditionalFormatting sqref="A51:C51 G50 E51:G51 L43:M44 D56:D63 D75:D79 B49:I49 K47:K80 D46 B45 G48 D48 A43:A48">
    <cfRule type="beginsWith" dxfId="1083" priority="808" stopIfTrue="1" operator="beginsWith" text="Functioning At Risk">
      <formula>LEFT(A43,LEN("Functioning At Risk"))="Functioning At Risk"</formula>
    </cfRule>
    <cfRule type="beginsWith" dxfId="1082" priority="809" stopIfTrue="1" operator="beginsWith" text="Not Functioning">
      <formula>LEFT(A43,LEN("Not Functioning"))="Not Functioning"</formula>
    </cfRule>
    <cfRule type="containsText" dxfId="1081" priority="810" operator="containsText" text="Functioning">
      <formula>NOT(ISERROR(SEARCH("Functioning",A43)))</formula>
    </cfRule>
  </conditionalFormatting>
  <conditionalFormatting sqref="D80">
    <cfRule type="beginsWith" dxfId="1080" priority="805" stopIfTrue="1" operator="beginsWith" text="Functioning At Risk">
      <formula>LEFT(D80,LEN("Functioning At Risk"))="Functioning At Risk"</formula>
    </cfRule>
    <cfRule type="beginsWith" dxfId="1079" priority="806" stopIfTrue="1" operator="beginsWith" text="Not Functioning">
      <formula>LEFT(D80,LEN("Not Functioning"))="Not Functioning"</formula>
    </cfRule>
    <cfRule type="containsText" dxfId="1078" priority="807" operator="containsText" text="Functioning">
      <formula>NOT(ISERROR(SEARCH("Functioning",D80)))</formula>
    </cfRule>
  </conditionalFormatting>
  <conditionalFormatting sqref="H48">
    <cfRule type="beginsWith" dxfId="1077" priority="802" stopIfTrue="1" operator="beginsWith" text="Functioning At Risk">
      <formula>LEFT(H48,LEN("Functioning At Risk"))="Functioning At Risk"</formula>
    </cfRule>
    <cfRule type="beginsWith" dxfId="1076" priority="803" stopIfTrue="1" operator="beginsWith" text="Not Functioning">
      <formula>LEFT(H48,LEN("Not Functioning"))="Not Functioning"</formula>
    </cfRule>
    <cfRule type="containsText" dxfId="1075" priority="804" operator="containsText" text="Functioning">
      <formula>NOT(ISERROR(SEARCH("Functioning",H48)))</formula>
    </cfRule>
  </conditionalFormatting>
  <conditionalFormatting sqref="J44:J48">
    <cfRule type="beginsWith" dxfId="1074" priority="799" stopIfTrue="1" operator="beginsWith" text="Functioning At Risk">
      <formula>LEFT(J44,LEN("Functioning At Risk"))="Functioning At Risk"</formula>
    </cfRule>
    <cfRule type="beginsWith" dxfId="1073" priority="800" stopIfTrue="1" operator="beginsWith" text="Not Functioning">
      <formula>LEFT(J44,LEN("Not Functioning"))="Not Functioning"</formula>
    </cfRule>
    <cfRule type="containsText" dxfId="1072" priority="801" operator="containsText" text="Functioning">
      <formula>NOT(ISERROR(SEARCH("Functioning",J44)))</formula>
    </cfRule>
  </conditionalFormatting>
  <conditionalFormatting sqref="G44">
    <cfRule type="beginsWith" dxfId="1071" priority="796" stopIfTrue="1" operator="beginsWith" text="Functioning At Risk">
      <formula>LEFT(G44,LEN("Functioning At Risk"))="Functioning At Risk"</formula>
    </cfRule>
    <cfRule type="beginsWith" dxfId="1070" priority="797" stopIfTrue="1" operator="beginsWith" text="Not Functioning">
      <formula>LEFT(G44,LEN("Not Functioning"))="Not Functioning"</formula>
    </cfRule>
    <cfRule type="containsText" dxfId="1069" priority="798" operator="containsText" text="Functioning">
      <formula>NOT(ISERROR(SEARCH("Functioning",G44)))</formula>
    </cfRule>
  </conditionalFormatting>
  <conditionalFormatting sqref="D65:D68">
    <cfRule type="beginsWith" dxfId="1068" priority="793" stopIfTrue="1" operator="beginsWith" text="Functioning At Risk">
      <formula>LEFT(D65,LEN("Functioning At Risk"))="Functioning At Risk"</formula>
    </cfRule>
    <cfRule type="beginsWith" dxfId="1067" priority="794" stopIfTrue="1" operator="beginsWith" text="Not Functioning">
      <formula>LEFT(D65,LEN("Not Functioning"))="Not Functioning"</formula>
    </cfRule>
    <cfRule type="containsText" dxfId="1066" priority="795" operator="containsText" text="Functioning">
      <formula>NOT(ISERROR(SEARCH("Functioning",D65)))</formula>
    </cfRule>
  </conditionalFormatting>
  <conditionalFormatting sqref="G45">
    <cfRule type="beginsWith" dxfId="1065" priority="790" stopIfTrue="1" operator="beginsWith" text="Functioning At Risk">
      <formula>LEFT(G45,LEN("Functioning At Risk"))="Functioning At Risk"</formula>
    </cfRule>
    <cfRule type="beginsWith" dxfId="1064" priority="791" stopIfTrue="1" operator="beginsWith" text="Not Functioning">
      <formula>LEFT(G45,LEN("Not Functioning"))="Not Functioning"</formula>
    </cfRule>
    <cfRule type="containsText" dxfId="1063" priority="792" operator="containsText" text="Functioning">
      <formula>NOT(ISERROR(SEARCH("Functioning",G45)))</formula>
    </cfRule>
  </conditionalFormatting>
  <conditionalFormatting sqref="G45">
    <cfRule type="beginsWith" dxfId="1062" priority="787" stopIfTrue="1" operator="beginsWith" text="Functioning At Risk">
      <formula>LEFT(G45,LEN("Functioning At Risk"))="Functioning At Risk"</formula>
    </cfRule>
    <cfRule type="beginsWith" dxfId="1061" priority="788" stopIfTrue="1" operator="beginsWith" text="Not Functioning">
      <formula>LEFT(G45,LEN("Not Functioning"))="Not Functioning"</formula>
    </cfRule>
    <cfRule type="containsText" dxfId="1060" priority="789" operator="containsText" text="Functioning">
      <formula>NOT(ISERROR(SEARCH("Functioning",G45)))</formula>
    </cfRule>
  </conditionalFormatting>
  <conditionalFormatting sqref="B44">
    <cfRule type="beginsWith" dxfId="1059" priority="784" stopIfTrue="1" operator="beginsWith" text="Functioning At Risk">
      <formula>LEFT(B44,LEN("Functioning At Risk"))="Functioning At Risk"</formula>
    </cfRule>
    <cfRule type="beginsWith" dxfId="1058" priority="785" stopIfTrue="1" operator="beginsWith" text="Not Functioning">
      <formula>LEFT(B44,LEN("Not Functioning"))="Not Functioning"</formula>
    </cfRule>
    <cfRule type="containsText" dxfId="1057" priority="786" operator="containsText" text="Functioning">
      <formula>NOT(ISERROR(SEARCH("Functioning",B44)))</formula>
    </cfRule>
  </conditionalFormatting>
  <conditionalFormatting sqref="C44:C48">
    <cfRule type="beginsWith" dxfId="1056" priority="775" stopIfTrue="1" operator="beginsWith" text="Functioning At Risk">
      <formula>LEFT(C44,LEN("Functioning At Risk"))="Functioning At Risk"</formula>
    </cfRule>
    <cfRule type="beginsWith" dxfId="1055" priority="776" stopIfTrue="1" operator="beginsWith" text="Not Functioning">
      <formula>LEFT(C44,LEN("Not Functioning"))="Not Functioning"</formula>
    </cfRule>
    <cfRule type="containsText" dxfId="1054" priority="777" operator="containsText" text="Functioning">
      <formula>NOT(ISERROR(SEARCH("Functioning",C44)))</formula>
    </cfRule>
  </conditionalFormatting>
  <conditionalFormatting sqref="G46">
    <cfRule type="beginsWith" dxfId="1053" priority="763" stopIfTrue="1" operator="beginsWith" text="Functioning At Risk">
      <formula>LEFT(G46,LEN("Functioning At Risk"))="Functioning At Risk"</formula>
    </cfRule>
    <cfRule type="beginsWith" dxfId="1052" priority="764" stopIfTrue="1" operator="beginsWith" text="Not Functioning">
      <formula>LEFT(G46,LEN("Not Functioning"))="Not Functioning"</formula>
    </cfRule>
    <cfRule type="containsText" dxfId="1051" priority="765" operator="containsText" text="Functioning">
      <formula>NOT(ISERROR(SEARCH("Functioning",G46)))</formula>
    </cfRule>
  </conditionalFormatting>
  <conditionalFormatting sqref="E44:E48">
    <cfRule type="beginsWith" dxfId="1050" priority="772" stopIfTrue="1" operator="beginsWith" text="Functioning At Risk">
      <formula>LEFT(E44,LEN("Functioning At Risk"))="Functioning At Risk"</formula>
    </cfRule>
    <cfRule type="beginsWith" dxfId="1049" priority="773" stopIfTrue="1" operator="beginsWith" text="Not Functioning">
      <formula>LEFT(E44,LEN("Not Functioning"))="Not Functioning"</formula>
    </cfRule>
    <cfRule type="containsText" dxfId="1048" priority="774" operator="containsText" text="Functioning">
      <formula>NOT(ISERROR(SEARCH("Functioning",E44)))</formula>
    </cfRule>
  </conditionalFormatting>
  <conditionalFormatting sqref="G47">
    <cfRule type="beginsWith" dxfId="1047" priority="748" stopIfTrue="1" operator="beginsWith" text="Functioning At Risk">
      <formula>LEFT(G47,LEN("Functioning At Risk"))="Functioning At Risk"</formula>
    </cfRule>
    <cfRule type="beginsWith" dxfId="1046" priority="749" stopIfTrue="1" operator="beginsWith" text="Not Functioning">
      <formula>LEFT(G47,LEN("Not Functioning"))="Not Functioning"</formula>
    </cfRule>
    <cfRule type="containsText" dxfId="1045" priority="750" operator="containsText" text="Functioning">
      <formula>NOT(ISERROR(SEARCH("Functioning",G47)))</formula>
    </cfRule>
  </conditionalFormatting>
  <conditionalFormatting sqref="H44:H47">
    <cfRule type="beginsWith" dxfId="1044" priority="745" stopIfTrue="1" operator="beginsWith" text="Functioning At Risk">
      <formula>LEFT(H44,LEN("Functioning At Risk"))="Functioning At Risk"</formula>
    </cfRule>
    <cfRule type="beginsWith" dxfId="1043" priority="746" stopIfTrue="1" operator="beginsWith" text="Not Functioning">
      <formula>LEFT(H44,LEN("Not Functioning"))="Not Functioning"</formula>
    </cfRule>
    <cfRule type="containsText" dxfId="1042" priority="747" operator="containsText" text="Functioning">
      <formula>NOT(ISERROR(SEARCH("Functioning",H44)))</formula>
    </cfRule>
  </conditionalFormatting>
  <conditionalFormatting sqref="A91:C91 G90 E91:G91 H122:K122 L83:M84 D96:D103 D115:D119 B89:I89 K87:K120 D86 B85 G88 A83:A88">
    <cfRule type="beginsWith" dxfId="1041" priority="742" stopIfTrue="1" operator="beginsWith" text="Functioning At Risk">
      <formula>LEFT(A83,LEN("Functioning At Risk"))="Functioning At Risk"</formula>
    </cfRule>
    <cfRule type="beginsWith" dxfId="1040" priority="743" stopIfTrue="1" operator="beginsWith" text="Not Functioning">
      <formula>LEFT(A83,LEN("Not Functioning"))="Not Functioning"</formula>
    </cfRule>
    <cfRule type="containsText" dxfId="1039" priority="744" operator="containsText" text="Functioning">
      <formula>NOT(ISERROR(SEARCH("Functioning",A83)))</formula>
    </cfRule>
  </conditionalFormatting>
  <conditionalFormatting sqref="D120">
    <cfRule type="beginsWith" dxfId="1038" priority="739" stopIfTrue="1" operator="beginsWith" text="Functioning At Risk">
      <formula>LEFT(D120,LEN("Functioning At Risk"))="Functioning At Risk"</formula>
    </cfRule>
    <cfRule type="beginsWith" dxfId="1037" priority="740" stopIfTrue="1" operator="beginsWith" text="Not Functioning">
      <formula>LEFT(D120,LEN("Not Functioning"))="Not Functioning"</formula>
    </cfRule>
    <cfRule type="containsText" dxfId="1036" priority="741" operator="containsText" text="Functioning">
      <formula>NOT(ISERROR(SEARCH("Functioning",D120)))</formula>
    </cfRule>
  </conditionalFormatting>
  <conditionalFormatting sqref="H88">
    <cfRule type="beginsWith" dxfId="1035" priority="736" stopIfTrue="1" operator="beginsWith" text="Functioning At Risk">
      <formula>LEFT(H88,LEN("Functioning At Risk"))="Functioning At Risk"</formula>
    </cfRule>
    <cfRule type="beginsWith" dxfId="1034" priority="737" stopIfTrue="1" operator="beginsWith" text="Not Functioning">
      <formula>LEFT(H88,LEN("Not Functioning"))="Not Functioning"</formula>
    </cfRule>
    <cfRule type="containsText" dxfId="1033" priority="738" operator="containsText" text="Functioning">
      <formula>NOT(ISERROR(SEARCH("Functioning",H88)))</formula>
    </cfRule>
  </conditionalFormatting>
  <conditionalFormatting sqref="J84:J88">
    <cfRule type="beginsWith" dxfId="1032" priority="733" stopIfTrue="1" operator="beginsWith" text="Functioning At Risk">
      <formula>LEFT(J84,LEN("Functioning At Risk"))="Functioning At Risk"</formula>
    </cfRule>
    <cfRule type="beginsWith" dxfId="1031" priority="734" stopIfTrue="1" operator="beginsWith" text="Not Functioning">
      <formula>LEFT(J84,LEN("Not Functioning"))="Not Functioning"</formula>
    </cfRule>
    <cfRule type="containsText" dxfId="1030" priority="735" operator="containsText" text="Functioning">
      <formula>NOT(ISERROR(SEARCH("Functioning",J84)))</formula>
    </cfRule>
  </conditionalFormatting>
  <conditionalFormatting sqref="G84">
    <cfRule type="beginsWith" dxfId="1029" priority="730" stopIfTrue="1" operator="beginsWith" text="Functioning At Risk">
      <formula>LEFT(G84,LEN("Functioning At Risk"))="Functioning At Risk"</formula>
    </cfRule>
    <cfRule type="beginsWith" dxfId="1028" priority="731" stopIfTrue="1" operator="beginsWith" text="Not Functioning">
      <formula>LEFT(G84,LEN("Not Functioning"))="Not Functioning"</formula>
    </cfRule>
    <cfRule type="containsText" dxfId="1027" priority="732" operator="containsText" text="Functioning">
      <formula>NOT(ISERROR(SEARCH("Functioning",G84)))</formula>
    </cfRule>
  </conditionalFormatting>
  <conditionalFormatting sqref="D105:D108">
    <cfRule type="beginsWith" dxfId="1026" priority="727" stopIfTrue="1" operator="beginsWith" text="Functioning At Risk">
      <formula>LEFT(D105,LEN("Functioning At Risk"))="Functioning At Risk"</formula>
    </cfRule>
    <cfRule type="beginsWith" dxfId="1025" priority="728" stopIfTrue="1" operator="beginsWith" text="Not Functioning">
      <formula>LEFT(D105,LEN("Not Functioning"))="Not Functioning"</formula>
    </cfRule>
    <cfRule type="containsText" dxfId="1024" priority="729" operator="containsText" text="Functioning">
      <formula>NOT(ISERROR(SEARCH("Functioning",D105)))</formula>
    </cfRule>
  </conditionalFormatting>
  <conditionalFormatting sqref="G85">
    <cfRule type="beginsWith" dxfId="1023" priority="724" stopIfTrue="1" operator="beginsWith" text="Functioning At Risk">
      <formula>LEFT(G85,LEN("Functioning At Risk"))="Functioning At Risk"</formula>
    </cfRule>
    <cfRule type="beginsWith" dxfId="1022" priority="725" stopIfTrue="1" operator="beginsWith" text="Not Functioning">
      <formula>LEFT(G85,LEN("Not Functioning"))="Not Functioning"</formula>
    </cfRule>
    <cfRule type="containsText" dxfId="1021" priority="726" operator="containsText" text="Functioning">
      <formula>NOT(ISERROR(SEARCH("Functioning",G85)))</formula>
    </cfRule>
  </conditionalFormatting>
  <conditionalFormatting sqref="G85">
    <cfRule type="beginsWith" dxfId="1020" priority="721" stopIfTrue="1" operator="beginsWith" text="Functioning At Risk">
      <formula>LEFT(G85,LEN("Functioning At Risk"))="Functioning At Risk"</formula>
    </cfRule>
    <cfRule type="beginsWith" dxfId="1019" priority="722" stopIfTrue="1" operator="beginsWith" text="Not Functioning">
      <formula>LEFT(G85,LEN("Not Functioning"))="Not Functioning"</formula>
    </cfRule>
    <cfRule type="containsText" dxfId="1018" priority="723" operator="containsText" text="Functioning">
      <formula>NOT(ISERROR(SEARCH("Functioning",G85)))</formula>
    </cfRule>
  </conditionalFormatting>
  <conditionalFormatting sqref="B84">
    <cfRule type="beginsWith" dxfId="1017" priority="718" stopIfTrue="1" operator="beginsWith" text="Functioning At Risk">
      <formula>LEFT(B84,LEN("Functioning At Risk"))="Functioning At Risk"</formula>
    </cfRule>
    <cfRule type="beginsWith" dxfId="1016" priority="719" stopIfTrue="1" operator="beginsWith" text="Not Functioning">
      <formula>LEFT(B84,LEN("Not Functioning"))="Not Functioning"</formula>
    </cfRule>
    <cfRule type="containsText" dxfId="1015" priority="720" operator="containsText" text="Functioning">
      <formula>NOT(ISERROR(SEARCH("Functioning",B84)))</formula>
    </cfRule>
  </conditionalFormatting>
  <conditionalFormatting sqref="C84:C88">
    <cfRule type="beginsWith" dxfId="1014" priority="709" stopIfTrue="1" operator="beginsWith" text="Functioning At Risk">
      <formula>LEFT(C84,LEN("Functioning At Risk"))="Functioning At Risk"</formula>
    </cfRule>
    <cfRule type="beginsWith" dxfId="1013" priority="710" stopIfTrue="1" operator="beginsWith" text="Not Functioning">
      <formula>LEFT(C84,LEN("Not Functioning"))="Not Functioning"</formula>
    </cfRule>
    <cfRule type="containsText" dxfId="1012" priority="711" operator="containsText" text="Functioning">
      <formula>NOT(ISERROR(SEARCH("Functioning",C84)))</formula>
    </cfRule>
  </conditionalFormatting>
  <conditionalFormatting sqref="G86">
    <cfRule type="beginsWith" dxfId="1011" priority="697" stopIfTrue="1" operator="beginsWith" text="Functioning At Risk">
      <formula>LEFT(G86,LEN("Functioning At Risk"))="Functioning At Risk"</formula>
    </cfRule>
    <cfRule type="beginsWith" dxfId="1010" priority="698" stopIfTrue="1" operator="beginsWith" text="Not Functioning">
      <formula>LEFT(G86,LEN("Not Functioning"))="Not Functioning"</formula>
    </cfRule>
    <cfRule type="containsText" dxfId="1009" priority="699" operator="containsText" text="Functioning">
      <formula>NOT(ISERROR(SEARCH("Functioning",G86)))</formula>
    </cfRule>
  </conditionalFormatting>
  <conditionalFormatting sqref="E84:E88">
    <cfRule type="beginsWith" dxfId="1008" priority="706" stopIfTrue="1" operator="beginsWith" text="Functioning At Risk">
      <formula>LEFT(E84,LEN("Functioning At Risk"))="Functioning At Risk"</formula>
    </cfRule>
    <cfRule type="beginsWith" dxfId="1007" priority="707" stopIfTrue="1" operator="beginsWith" text="Not Functioning">
      <formula>LEFT(E84,LEN("Not Functioning"))="Not Functioning"</formula>
    </cfRule>
    <cfRule type="containsText" dxfId="1006" priority="708" operator="containsText" text="Functioning">
      <formula>NOT(ISERROR(SEARCH("Functioning",E84)))</formula>
    </cfRule>
  </conditionalFormatting>
  <conditionalFormatting sqref="C124:C128">
    <cfRule type="beginsWith" dxfId="1005" priority="643" stopIfTrue="1" operator="beginsWith" text="Functioning At Risk">
      <formula>LEFT(C124,LEN("Functioning At Risk"))="Functioning At Risk"</formula>
    </cfRule>
    <cfRule type="beginsWith" dxfId="1004" priority="644" stopIfTrue="1" operator="beginsWith" text="Not Functioning">
      <formula>LEFT(C124,LEN("Not Functioning"))="Not Functioning"</formula>
    </cfRule>
    <cfRule type="containsText" dxfId="1003" priority="645" operator="containsText" text="Functioning">
      <formula>NOT(ISERROR(SEARCH("Functioning",C124)))</formula>
    </cfRule>
  </conditionalFormatting>
  <conditionalFormatting sqref="E124:E128">
    <cfRule type="beginsWith" dxfId="1002" priority="640" stopIfTrue="1" operator="beginsWith" text="Functioning At Risk">
      <formula>LEFT(E124,LEN("Functioning At Risk"))="Functioning At Risk"</formula>
    </cfRule>
    <cfRule type="beginsWith" dxfId="1001" priority="641" stopIfTrue="1" operator="beginsWith" text="Not Functioning">
      <formula>LEFT(E124,LEN("Not Functioning"))="Not Functioning"</formula>
    </cfRule>
    <cfRule type="containsText" dxfId="1000" priority="642" operator="containsText" text="Functioning">
      <formula>NOT(ISERROR(SEARCH("Functioning",E124)))</formula>
    </cfRule>
  </conditionalFormatting>
  <conditionalFormatting sqref="G87">
    <cfRule type="beginsWith" dxfId="999" priority="682" stopIfTrue="1" operator="beginsWith" text="Functioning At Risk">
      <formula>LEFT(G87,LEN("Functioning At Risk"))="Functioning At Risk"</formula>
    </cfRule>
    <cfRule type="beginsWith" dxfId="998" priority="683" stopIfTrue="1" operator="beginsWith" text="Not Functioning">
      <formula>LEFT(G87,LEN("Not Functioning"))="Not Functioning"</formula>
    </cfRule>
    <cfRule type="containsText" dxfId="997" priority="684" operator="containsText" text="Functioning">
      <formula>NOT(ISERROR(SEARCH("Functioning",G87)))</formula>
    </cfRule>
  </conditionalFormatting>
  <conditionalFormatting sqref="H84:H87">
    <cfRule type="beginsWith" dxfId="996" priority="679" stopIfTrue="1" operator="beginsWith" text="Functioning At Risk">
      <formula>LEFT(H84,LEN("Functioning At Risk"))="Functioning At Risk"</formula>
    </cfRule>
    <cfRule type="beginsWith" dxfId="995" priority="680" stopIfTrue="1" operator="beginsWith" text="Not Functioning">
      <formula>LEFT(H84,LEN("Not Functioning"))="Not Functioning"</formula>
    </cfRule>
    <cfRule type="containsText" dxfId="994" priority="681" operator="containsText" text="Functioning">
      <formula>NOT(ISERROR(SEARCH("Functioning",H84)))</formula>
    </cfRule>
  </conditionalFormatting>
  <conditionalFormatting sqref="A131:C131 G130 E131:G131 H161:K161 K162 L123:M124 D136:D143 D155:D159 B129:I129 K127:K160 D126 B125 G128 D128 A123:A128">
    <cfRule type="beginsWith" dxfId="993" priority="676" stopIfTrue="1" operator="beginsWith" text="Functioning At Risk">
      <formula>LEFT(A123,LEN("Functioning At Risk"))="Functioning At Risk"</formula>
    </cfRule>
    <cfRule type="beginsWith" dxfId="992" priority="677" stopIfTrue="1" operator="beginsWith" text="Not Functioning">
      <formula>LEFT(A123,LEN("Not Functioning"))="Not Functioning"</formula>
    </cfRule>
    <cfRule type="containsText" dxfId="991" priority="678" operator="containsText" text="Functioning">
      <formula>NOT(ISERROR(SEARCH("Functioning",A123)))</formula>
    </cfRule>
  </conditionalFormatting>
  <conditionalFormatting sqref="D160">
    <cfRule type="beginsWith" dxfId="990" priority="673" stopIfTrue="1" operator="beginsWith" text="Functioning At Risk">
      <formula>LEFT(D160,LEN("Functioning At Risk"))="Functioning At Risk"</formula>
    </cfRule>
    <cfRule type="beginsWith" dxfId="989" priority="674" stopIfTrue="1" operator="beginsWith" text="Not Functioning">
      <formula>LEFT(D160,LEN("Not Functioning"))="Not Functioning"</formula>
    </cfRule>
    <cfRule type="containsText" dxfId="988" priority="675" operator="containsText" text="Functioning">
      <formula>NOT(ISERROR(SEARCH("Functioning",D160)))</formula>
    </cfRule>
  </conditionalFormatting>
  <conditionalFormatting sqref="H128">
    <cfRule type="beginsWith" dxfId="987" priority="670" stopIfTrue="1" operator="beginsWith" text="Functioning At Risk">
      <formula>LEFT(H128,LEN("Functioning At Risk"))="Functioning At Risk"</formula>
    </cfRule>
    <cfRule type="beginsWith" dxfId="986" priority="671" stopIfTrue="1" operator="beginsWith" text="Not Functioning">
      <formula>LEFT(H128,LEN("Not Functioning"))="Not Functioning"</formula>
    </cfRule>
    <cfRule type="containsText" dxfId="985" priority="672" operator="containsText" text="Functioning">
      <formula>NOT(ISERROR(SEARCH("Functioning",H128)))</formula>
    </cfRule>
  </conditionalFormatting>
  <conditionalFormatting sqref="J124:J128">
    <cfRule type="beginsWith" dxfId="984" priority="667" stopIfTrue="1" operator="beginsWith" text="Functioning At Risk">
      <formula>LEFT(J124,LEN("Functioning At Risk"))="Functioning At Risk"</formula>
    </cfRule>
    <cfRule type="beginsWith" dxfId="983" priority="668" stopIfTrue="1" operator="beginsWith" text="Not Functioning">
      <formula>LEFT(J124,LEN("Not Functioning"))="Not Functioning"</formula>
    </cfRule>
    <cfRule type="containsText" dxfId="982" priority="669" operator="containsText" text="Functioning">
      <formula>NOT(ISERROR(SEARCH("Functioning",J124)))</formula>
    </cfRule>
  </conditionalFormatting>
  <conditionalFormatting sqref="G124">
    <cfRule type="beginsWith" dxfId="981" priority="664" stopIfTrue="1" operator="beginsWith" text="Functioning At Risk">
      <formula>LEFT(G124,LEN("Functioning At Risk"))="Functioning At Risk"</formula>
    </cfRule>
    <cfRule type="beginsWith" dxfId="980" priority="665" stopIfTrue="1" operator="beginsWith" text="Not Functioning">
      <formula>LEFT(G124,LEN("Not Functioning"))="Not Functioning"</formula>
    </cfRule>
    <cfRule type="containsText" dxfId="979" priority="666" operator="containsText" text="Functioning">
      <formula>NOT(ISERROR(SEARCH("Functioning",G124)))</formula>
    </cfRule>
  </conditionalFormatting>
  <conditionalFormatting sqref="D145:D148">
    <cfRule type="beginsWith" dxfId="978" priority="661" stopIfTrue="1" operator="beginsWith" text="Functioning At Risk">
      <formula>LEFT(D145,LEN("Functioning At Risk"))="Functioning At Risk"</formula>
    </cfRule>
    <cfRule type="beginsWith" dxfId="977" priority="662" stopIfTrue="1" operator="beginsWith" text="Not Functioning">
      <formula>LEFT(D145,LEN("Not Functioning"))="Not Functioning"</formula>
    </cfRule>
    <cfRule type="containsText" dxfId="976" priority="663" operator="containsText" text="Functioning">
      <formula>NOT(ISERROR(SEARCH("Functioning",D145)))</formula>
    </cfRule>
  </conditionalFormatting>
  <conditionalFormatting sqref="G125">
    <cfRule type="beginsWith" dxfId="975" priority="658" stopIfTrue="1" operator="beginsWith" text="Functioning At Risk">
      <formula>LEFT(G125,LEN("Functioning At Risk"))="Functioning At Risk"</formula>
    </cfRule>
    <cfRule type="beginsWith" dxfId="974" priority="659" stopIfTrue="1" operator="beginsWith" text="Not Functioning">
      <formula>LEFT(G125,LEN("Not Functioning"))="Not Functioning"</formula>
    </cfRule>
    <cfRule type="containsText" dxfId="973" priority="660" operator="containsText" text="Functioning">
      <formula>NOT(ISERROR(SEARCH("Functioning",G125)))</formula>
    </cfRule>
  </conditionalFormatting>
  <conditionalFormatting sqref="G125">
    <cfRule type="beginsWith" dxfId="972" priority="655" stopIfTrue="1" operator="beginsWith" text="Functioning At Risk">
      <formula>LEFT(G125,LEN("Functioning At Risk"))="Functioning At Risk"</formula>
    </cfRule>
    <cfRule type="beginsWith" dxfId="971" priority="656" stopIfTrue="1" operator="beginsWith" text="Not Functioning">
      <formula>LEFT(G125,LEN("Not Functioning"))="Not Functioning"</formula>
    </cfRule>
    <cfRule type="containsText" dxfId="970" priority="657" operator="containsText" text="Functioning">
      <formula>NOT(ISERROR(SEARCH("Functioning",G125)))</formula>
    </cfRule>
  </conditionalFormatting>
  <conditionalFormatting sqref="B124">
    <cfRule type="beginsWith" dxfId="969" priority="652" stopIfTrue="1" operator="beginsWith" text="Functioning At Risk">
      <formula>LEFT(B124,LEN("Functioning At Risk"))="Functioning At Risk"</formula>
    </cfRule>
    <cfRule type="beginsWith" dxfId="968" priority="653" stopIfTrue="1" operator="beginsWith" text="Not Functioning">
      <formula>LEFT(B124,LEN("Not Functioning"))="Not Functioning"</formula>
    </cfRule>
    <cfRule type="containsText" dxfId="967" priority="654" operator="containsText" text="Functioning">
      <formula>NOT(ISERROR(SEARCH("Functioning",B124)))</formula>
    </cfRule>
  </conditionalFormatting>
  <conditionalFormatting sqref="G126">
    <cfRule type="beginsWith" dxfId="966" priority="631" stopIfTrue="1" operator="beginsWith" text="Functioning At Risk">
      <formula>LEFT(G126,LEN("Functioning At Risk"))="Functioning At Risk"</formula>
    </cfRule>
    <cfRule type="beginsWith" dxfId="965" priority="632" stopIfTrue="1" operator="beginsWith" text="Not Functioning">
      <formula>LEFT(G126,LEN("Not Functioning"))="Not Functioning"</formula>
    </cfRule>
    <cfRule type="containsText" dxfId="964" priority="633" operator="containsText" text="Functioning">
      <formula>NOT(ISERROR(SEARCH("Functioning",G126)))</formula>
    </cfRule>
  </conditionalFormatting>
  <conditionalFormatting sqref="C164:C168">
    <cfRule type="beginsWith" dxfId="963" priority="577" stopIfTrue="1" operator="beginsWith" text="Functioning At Risk">
      <formula>LEFT(C164,LEN("Functioning At Risk"))="Functioning At Risk"</formula>
    </cfRule>
    <cfRule type="beginsWith" dxfId="962" priority="578" stopIfTrue="1" operator="beginsWith" text="Not Functioning">
      <formula>LEFT(C164,LEN("Not Functioning"))="Not Functioning"</formula>
    </cfRule>
    <cfRule type="containsText" dxfId="961" priority="579" operator="containsText" text="Functioning">
      <formula>NOT(ISERROR(SEARCH("Functioning",C164)))</formula>
    </cfRule>
  </conditionalFormatting>
  <conditionalFormatting sqref="G127">
    <cfRule type="beginsWith" dxfId="960" priority="616" stopIfTrue="1" operator="beginsWith" text="Functioning At Risk">
      <formula>LEFT(G127,LEN("Functioning At Risk"))="Functioning At Risk"</formula>
    </cfRule>
    <cfRule type="beginsWith" dxfId="959" priority="617" stopIfTrue="1" operator="beginsWith" text="Not Functioning">
      <formula>LEFT(G127,LEN("Not Functioning"))="Not Functioning"</formula>
    </cfRule>
    <cfRule type="containsText" dxfId="958" priority="618" operator="containsText" text="Functioning">
      <formula>NOT(ISERROR(SEARCH("Functioning",G127)))</formula>
    </cfRule>
  </conditionalFormatting>
  <conditionalFormatting sqref="H124:H127">
    <cfRule type="beginsWith" dxfId="957" priority="613" stopIfTrue="1" operator="beginsWith" text="Functioning At Risk">
      <formula>LEFT(H124,LEN("Functioning At Risk"))="Functioning At Risk"</formula>
    </cfRule>
    <cfRule type="beginsWith" dxfId="956" priority="614" stopIfTrue="1" operator="beginsWith" text="Not Functioning">
      <formula>LEFT(H124,LEN("Not Functioning"))="Not Functioning"</formula>
    </cfRule>
    <cfRule type="containsText" dxfId="955" priority="615" operator="containsText" text="Functioning">
      <formula>NOT(ISERROR(SEARCH("Functioning",H124)))</formula>
    </cfRule>
  </conditionalFormatting>
  <conditionalFormatting sqref="A171:C171 G170 E171:G171 L163:M164 D176:D183 D195:D199 B169:I169 K167:K200 D166 B165 G168 D168 A163:A168">
    <cfRule type="beginsWith" dxfId="954" priority="610" stopIfTrue="1" operator="beginsWith" text="Functioning At Risk">
      <formula>LEFT(A163,LEN("Functioning At Risk"))="Functioning At Risk"</formula>
    </cfRule>
    <cfRule type="beginsWith" dxfId="953" priority="611" stopIfTrue="1" operator="beginsWith" text="Not Functioning">
      <formula>LEFT(A163,LEN("Not Functioning"))="Not Functioning"</formula>
    </cfRule>
    <cfRule type="containsText" dxfId="952" priority="612" operator="containsText" text="Functioning">
      <formula>NOT(ISERROR(SEARCH("Functioning",A163)))</formula>
    </cfRule>
  </conditionalFormatting>
  <conditionalFormatting sqref="D200">
    <cfRule type="beginsWith" dxfId="951" priority="607" stopIfTrue="1" operator="beginsWith" text="Functioning At Risk">
      <formula>LEFT(D200,LEN("Functioning At Risk"))="Functioning At Risk"</formula>
    </cfRule>
    <cfRule type="beginsWith" dxfId="950" priority="608" stopIfTrue="1" operator="beginsWith" text="Not Functioning">
      <formula>LEFT(D200,LEN("Not Functioning"))="Not Functioning"</formula>
    </cfRule>
    <cfRule type="containsText" dxfId="949" priority="609" operator="containsText" text="Functioning">
      <formula>NOT(ISERROR(SEARCH("Functioning",D200)))</formula>
    </cfRule>
  </conditionalFormatting>
  <conditionalFormatting sqref="H168">
    <cfRule type="beginsWith" dxfId="948" priority="604" stopIfTrue="1" operator="beginsWith" text="Functioning At Risk">
      <formula>LEFT(H168,LEN("Functioning At Risk"))="Functioning At Risk"</formula>
    </cfRule>
    <cfRule type="beginsWith" dxfId="947" priority="605" stopIfTrue="1" operator="beginsWith" text="Not Functioning">
      <formula>LEFT(H168,LEN("Not Functioning"))="Not Functioning"</formula>
    </cfRule>
    <cfRule type="containsText" dxfId="946" priority="606" operator="containsText" text="Functioning">
      <formula>NOT(ISERROR(SEARCH("Functioning",H168)))</formula>
    </cfRule>
  </conditionalFormatting>
  <conditionalFormatting sqref="J164:J168">
    <cfRule type="beginsWith" dxfId="945" priority="601" stopIfTrue="1" operator="beginsWith" text="Functioning At Risk">
      <formula>LEFT(J164,LEN("Functioning At Risk"))="Functioning At Risk"</formula>
    </cfRule>
    <cfRule type="beginsWith" dxfId="944" priority="602" stopIfTrue="1" operator="beginsWith" text="Not Functioning">
      <formula>LEFT(J164,LEN("Not Functioning"))="Not Functioning"</formula>
    </cfRule>
    <cfRule type="containsText" dxfId="943" priority="603" operator="containsText" text="Functioning">
      <formula>NOT(ISERROR(SEARCH("Functioning",J164)))</formula>
    </cfRule>
  </conditionalFormatting>
  <conditionalFormatting sqref="G164">
    <cfRule type="beginsWith" dxfId="942" priority="598" stopIfTrue="1" operator="beginsWith" text="Functioning At Risk">
      <formula>LEFT(G164,LEN("Functioning At Risk"))="Functioning At Risk"</formula>
    </cfRule>
    <cfRule type="beginsWith" dxfId="941" priority="599" stopIfTrue="1" operator="beginsWith" text="Not Functioning">
      <formula>LEFT(G164,LEN("Not Functioning"))="Not Functioning"</formula>
    </cfRule>
    <cfRule type="containsText" dxfId="940" priority="600" operator="containsText" text="Functioning">
      <formula>NOT(ISERROR(SEARCH("Functioning",G164)))</formula>
    </cfRule>
  </conditionalFormatting>
  <conditionalFormatting sqref="D185:D188">
    <cfRule type="beginsWith" dxfId="939" priority="595" stopIfTrue="1" operator="beginsWith" text="Functioning At Risk">
      <formula>LEFT(D185,LEN("Functioning At Risk"))="Functioning At Risk"</formula>
    </cfRule>
    <cfRule type="beginsWith" dxfId="938" priority="596" stopIfTrue="1" operator="beginsWith" text="Not Functioning">
      <formula>LEFT(D185,LEN("Not Functioning"))="Not Functioning"</formula>
    </cfRule>
    <cfRule type="containsText" dxfId="937" priority="597" operator="containsText" text="Functioning">
      <formula>NOT(ISERROR(SEARCH("Functioning",D185)))</formula>
    </cfRule>
  </conditionalFormatting>
  <conditionalFormatting sqref="G165">
    <cfRule type="beginsWith" dxfId="936" priority="592" stopIfTrue="1" operator="beginsWith" text="Functioning At Risk">
      <formula>LEFT(G165,LEN("Functioning At Risk"))="Functioning At Risk"</formula>
    </cfRule>
    <cfRule type="beginsWith" dxfId="935" priority="593" stopIfTrue="1" operator="beginsWith" text="Not Functioning">
      <formula>LEFT(G165,LEN("Not Functioning"))="Not Functioning"</formula>
    </cfRule>
    <cfRule type="containsText" dxfId="934" priority="594" operator="containsText" text="Functioning">
      <formula>NOT(ISERROR(SEARCH("Functioning",G165)))</formula>
    </cfRule>
  </conditionalFormatting>
  <conditionalFormatting sqref="G165">
    <cfRule type="beginsWith" dxfId="933" priority="589" stopIfTrue="1" operator="beginsWith" text="Functioning At Risk">
      <formula>LEFT(G165,LEN("Functioning At Risk"))="Functioning At Risk"</formula>
    </cfRule>
    <cfRule type="beginsWith" dxfId="932" priority="590" stopIfTrue="1" operator="beginsWith" text="Not Functioning">
      <formula>LEFT(G165,LEN("Not Functioning"))="Not Functioning"</formula>
    </cfRule>
    <cfRule type="containsText" dxfId="931" priority="591" operator="containsText" text="Functioning">
      <formula>NOT(ISERROR(SEARCH("Functioning",G165)))</formula>
    </cfRule>
  </conditionalFormatting>
  <conditionalFormatting sqref="B164">
    <cfRule type="beginsWith" dxfId="930" priority="586" stopIfTrue="1" operator="beginsWith" text="Functioning At Risk">
      <formula>LEFT(B164,LEN("Functioning At Risk"))="Functioning At Risk"</formula>
    </cfRule>
    <cfRule type="beginsWith" dxfId="929" priority="587" stopIfTrue="1" operator="beginsWith" text="Not Functioning">
      <formula>LEFT(B164,LEN("Not Functioning"))="Not Functioning"</formula>
    </cfRule>
    <cfRule type="containsText" dxfId="928" priority="588" operator="containsText" text="Functioning">
      <formula>NOT(ISERROR(SEARCH("Functioning",B164)))</formula>
    </cfRule>
  </conditionalFormatting>
  <conditionalFormatting sqref="G166">
    <cfRule type="beginsWith" dxfId="927" priority="565" stopIfTrue="1" operator="beginsWith" text="Functioning At Risk">
      <formula>LEFT(G166,LEN("Functioning At Risk"))="Functioning At Risk"</formula>
    </cfRule>
    <cfRule type="beginsWith" dxfId="926" priority="566" stopIfTrue="1" operator="beginsWith" text="Not Functioning">
      <formula>LEFT(G166,LEN("Not Functioning"))="Not Functioning"</formula>
    </cfRule>
    <cfRule type="containsText" dxfId="925" priority="567" operator="containsText" text="Functioning">
      <formula>NOT(ISERROR(SEARCH("Functioning",G166)))</formula>
    </cfRule>
  </conditionalFormatting>
  <conditionalFormatting sqref="E164:E168">
    <cfRule type="beginsWith" dxfId="924" priority="574" stopIfTrue="1" operator="beginsWith" text="Functioning At Risk">
      <formula>LEFT(E164,LEN("Functioning At Risk"))="Functioning At Risk"</formula>
    </cfRule>
    <cfRule type="beginsWith" dxfId="923" priority="575" stopIfTrue="1" operator="beginsWith" text="Not Functioning">
      <formula>LEFT(E164,LEN("Not Functioning"))="Not Functioning"</formula>
    </cfRule>
    <cfRule type="containsText" dxfId="922" priority="576" operator="containsText" text="Functioning">
      <formula>NOT(ISERROR(SEARCH("Functioning",E164)))</formula>
    </cfRule>
  </conditionalFormatting>
  <conditionalFormatting sqref="G205">
    <cfRule type="beginsWith" dxfId="921" priority="523" stopIfTrue="1" operator="beginsWith" text="Functioning At Risk">
      <formula>LEFT(G205,LEN("Functioning At Risk"))="Functioning At Risk"</formula>
    </cfRule>
    <cfRule type="beginsWith" dxfId="920" priority="524" stopIfTrue="1" operator="beginsWith" text="Not Functioning">
      <formula>LEFT(G205,LEN("Not Functioning"))="Not Functioning"</formula>
    </cfRule>
    <cfRule type="containsText" dxfId="919" priority="525" operator="containsText" text="Functioning">
      <formula>NOT(ISERROR(SEARCH("Functioning",G205)))</formula>
    </cfRule>
  </conditionalFormatting>
  <conditionalFormatting sqref="B204">
    <cfRule type="beginsWith" dxfId="918" priority="520" stopIfTrue="1" operator="beginsWith" text="Functioning At Risk">
      <formula>LEFT(B204,LEN("Functioning At Risk"))="Functioning At Risk"</formula>
    </cfRule>
    <cfRule type="beginsWith" dxfId="917" priority="521" stopIfTrue="1" operator="beginsWith" text="Not Functioning">
      <formula>LEFT(B204,LEN("Not Functioning"))="Not Functioning"</formula>
    </cfRule>
    <cfRule type="containsText" dxfId="916" priority="522" operator="containsText" text="Functioning">
      <formula>NOT(ISERROR(SEARCH("Functioning",B204)))</formula>
    </cfRule>
  </conditionalFormatting>
  <conditionalFormatting sqref="G167">
    <cfRule type="beginsWith" dxfId="915" priority="550" stopIfTrue="1" operator="beginsWith" text="Functioning At Risk">
      <formula>LEFT(G167,LEN("Functioning At Risk"))="Functioning At Risk"</formula>
    </cfRule>
    <cfRule type="beginsWith" dxfId="914" priority="551" stopIfTrue="1" operator="beginsWith" text="Not Functioning">
      <formula>LEFT(G167,LEN("Not Functioning"))="Not Functioning"</formula>
    </cfRule>
    <cfRule type="containsText" dxfId="913" priority="552" operator="containsText" text="Functioning">
      <formula>NOT(ISERROR(SEARCH("Functioning",G167)))</formula>
    </cfRule>
  </conditionalFormatting>
  <conditionalFormatting sqref="H164:H167">
    <cfRule type="beginsWith" dxfId="912" priority="547" stopIfTrue="1" operator="beginsWith" text="Functioning At Risk">
      <formula>LEFT(H164,LEN("Functioning At Risk"))="Functioning At Risk"</formula>
    </cfRule>
    <cfRule type="beginsWith" dxfId="911" priority="548" stopIfTrue="1" operator="beginsWith" text="Not Functioning">
      <formula>LEFT(H164,LEN("Not Functioning"))="Not Functioning"</formula>
    </cfRule>
    <cfRule type="containsText" dxfId="910" priority="549" operator="containsText" text="Functioning">
      <formula>NOT(ISERROR(SEARCH("Functioning",H164)))</formula>
    </cfRule>
  </conditionalFormatting>
  <conditionalFormatting sqref="A211:C211 G210 E211:G211 H242:K242 L203:M204 D216:D223 D235:D239 B209:I209 K207:K240 D206 B205 G208 D208 A203:A208">
    <cfRule type="beginsWith" dxfId="909" priority="544" stopIfTrue="1" operator="beginsWith" text="Functioning At Risk">
      <formula>LEFT(A203,LEN("Functioning At Risk"))="Functioning At Risk"</formula>
    </cfRule>
    <cfRule type="beginsWith" dxfId="908" priority="545" stopIfTrue="1" operator="beginsWith" text="Not Functioning">
      <formula>LEFT(A203,LEN("Not Functioning"))="Not Functioning"</formula>
    </cfRule>
    <cfRule type="containsText" dxfId="907" priority="546" operator="containsText" text="Functioning">
      <formula>NOT(ISERROR(SEARCH("Functioning",A203)))</formula>
    </cfRule>
  </conditionalFormatting>
  <conditionalFormatting sqref="D240">
    <cfRule type="beginsWith" dxfId="906" priority="541" stopIfTrue="1" operator="beginsWith" text="Functioning At Risk">
      <formula>LEFT(D240,LEN("Functioning At Risk"))="Functioning At Risk"</formula>
    </cfRule>
    <cfRule type="beginsWith" dxfId="905" priority="542" stopIfTrue="1" operator="beginsWith" text="Not Functioning">
      <formula>LEFT(D240,LEN("Not Functioning"))="Not Functioning"</formula>
    </cfRule>
    <cfRule type="containsText" dxfId="904" priority="543" operator="containsText" text="Functioning">
      <formula>NOT(ISERROR(SEARCH("Functioning",D240)))</formula>
    </cfRule>
  </conditionalFormatting>
  <conditionalFormatting sqref="H208">
    <cfRule type="beginsWith" dxfId="903" priority="538" stopIfTrue="1" operator="beginsWith" text="Functioning At Risk">
      <formula>LEFT(H208,LEN("Functioning At Risk"))="Functioning At Risk"</formula>
    </cfRule>
    <cfRule type="beginsWith" dxfId="902" priority="539" stopIfTrue="1" operator="beginsWith" text="Not Functioning">
      <formula>LEFT(H208,LEN("Not Functioning"))="Not Functioning"</formula>
    </cfRule>
    <cfRule type="containsText" dxfId="901" priority="540" operator="containsText" text="Functioning">
      <formula>NOT(ISERROR(SEARCH("Functioning",H208)))</formula>
    </cfRule>
  </conditionalFormatting>
  <conditionalFormatting sqref="J204:J208">
    <cfRule type="beginsWith" dxfId="900" priority="535" stopIfTrue="1" operator="beginsWith" text="Functioning At Risk">
      <formula>LEFT(J204,LEN("Functioning At Risk"))="Functioning At Risk"</formula>
    </cfRule>
    <cfRule type="beginsWith" dxfId="899" priority="536" stopIfTrue="1" operator="beginsWith" text="Not Functioning">
      <formula>LEFT(J204,LEN("Not Functioning"))="Not Functioning"</formula>
    </cfRule>
    <cfRule type="containsText" dxfId="898" priority="537" operator="containsText" text="Functioning">
      <formula>NOT(ISERROR(SEARCH("Functioning",J204)))</formula>
    </cfRule>
  </conditionalFormatting>
  <conditionalFormatting sqref="G204">
    <cfRule type="beginsWith" dxfId="897" priority="532" stopIfTrue="1" operator="beginsWith" text="Functioning At Risk">
      <formula>LEFT(G204,LEN("Functioning At Risk"))="Functioning At Risk"</formula>
    </cfRule>
    <cfRule type="beginsWith" dxfId="896" priority="533" stopIfTrue="1" operator="beginsWith" text="Not Functioning">
      <formula>LEFT(G204,LEN("Not Functioning"))="Not Functioning"</formula>
    </cfRule>
    <cfRule type="containsText" dxfId="895" priority="534" operator="containsText" text="Functioning">
      <formula>NOT(ISERROR(SEARCH("Functioning",G204)))</formula>
    </cfRule>
  </conditionalFormatting>
  <conditionalFormatting sqref="D225:D228">
    <cfRule type="beginsWith" dxfId="894" priority="529" stopIfTrue="1" operator="beginsWith" text="Functioning At Risk">
      <formula>LEFT(D225,LEN("Functioning At Risk"))="Functioning At Risk"</formula>
    </cfRule>
    <cfRule type="beginsWith" dxfId="893" priority="530" stopIfTrue="1" operator="beginsWith" text="Not Functioning">
      <formula>LEFT(D225,LEN("Not Functioning"))="Not Functioning"</formula>
    </cfRule>
    <cfRule type="containsText" dxfId="892" priority="531" operator="containsText" text="Functioning">
      <formula>NOT(ISERROR(SEARCH("Functioning",D225)))</formula>
    </cfRule>
  </conditionalFormatting>
  <conditionalFormatting sqref="G205">
    <cfRule type="beginsWith" dxfId="891" priority="526" stopIfTrue="1" operator="beginsWith" text="Functioning At Risk">
      <formula>LEFT(G205,LEN("Functioning At Risk"))="Functioning At Risk"</formula>
    </cfRule>
    <cfRule type="beginsWith" dxfId="890" priority="527" stopIfTrue="1" operator="beginsWith" text="Not Functioning">
      <formula>LEFT(G205,LEN("Not Functioning"))="Not Functioning"</formula>
    </cfRule>
    <cfRule type="containsText" dxfId="889" priority="528" operator="containsText" text="Functioning">
      <formula>NOT(ISERROR(SEARCH("Functioning",G205)))</formula>
    </cfRule>
  </conditionalFormatting>
  <conditionalFormatting sqref="C204:C208">
    <cfRule type="beginsWith" dxfId="888" priority="511" stopIfTrue="1" operator="beginsWith" text="Functioning At Risk">
      <formula>LEFT(C204,LEN("Functioning At Risk"))="Functioning At Risk"</formula>
    </cfRule>
    <cfRule type="beginsWith" dxfId="887" priority="512" stopIfTrue="1" operator="beginsWith" text="Not Functioning">
      <formula>LEFT(C204,LEN("Not Functioning"))="Not Functioning"</formula>
    </cfRule>
    <cfRule type="containsText" dxfId="886" priority="513" operator="containsText" text="Functioning">
      <formula>NOT(ISERROR(SEARCH("Functioning",C204)))</formula>
    </cfRule>
  </conditionalFormatting>
  <conditionalFormatting sqref="G206">
    <cfRule type="beginsWith" dxfId="885" priority="499" stopIfTrue="1" operator="beginsWith" text="Functioning At Risk">
      <formula>LEFT(G206,LEN("Functioning At Risk"))="Functioning At Risk"</formula>
    </cfRule>
    <cfRule type="beginsWith" dxfId="884" priority="500" stopIfTrue="1" operator="beginsWith" text="Not Functioning">
      <formula>LEFT(G206,LEN("Not Functioning"))="Not Functioning"</formula>
    </cfRule>
    <cfRule type="containsText" dxfId="883" priority="501" operator="containsText" text="Functioning">
      <formula>NOT(ISERROR(SEARCH("Functioning",G206)))</formula>
    </cfRule>
  </conditionalFormatting>
  <conditionalFormatting sqref="E204:E208">
    <cfRule type="beginsWith" dxfId="882" priority="508" stopIfTrue="1" operator="beginsWith" text="Functioning At Risk">
      <formula>LEFT(E204,LEN("Functioning At Risk"))="Functioning At Risk"</formula>
    </cfRule>
    <cfRule type="beginsWith" dxfId="881" priority="509" stopIfTrue="1" operator="beginsWith" text="Not Functioning">
      <formula>LEFT(E204,LEN("Not Functioning"))="Not Functioning"</formula>
    </cfRule>
    <cfRule type="containsText" dxfId="880" priority="510" operator="containsText" text="Functioning">
      <formula>NOT(ISERROR(SEARCH("Functioning",E204)))</formula>
    </cfRule>
  </conditionalFormatting>
  <conditionalFormatting sqref="D265:D268">
    <cfRule type="beginsWith" dxfId="879" priority="463" stopIfTrue="1" operator="beginsWith" text="Functioning At Risk">
      <formula>LEFT(D265,LEN("Functioning At Risk"))="Functioning At Risk"</formula>
    </cfRule>
    <cfRule type="beginsWith" dxfId="878" priority="464" stopIfTrue="1" operator="beginsWith" text="Not Functioning">
      <formula>LEFT(D265,LEN("Not Functioning"))="Not Functioning"</formula>
    </cfRule>
    <cfRule type="containsText" dxfId="877" priority="465" operator="containsText" text="Functioning">
      <formula>NOT(ISERROR(SEARCH("Functioning",D265)))</formula>
    </cfRule>
  </conditionalFormatting>
  <conditionalFormatting sqref="G245">
    <cfRule type="beginsWith" dxfId="876" priority="460" stopIfTrue="1" operator="beginsWith" text="Functioning At Risk">
      <formula>LEFT(G245,LEN("Functioning At Risk"))="Functioning At Risk"</formula>
    </cfRule>
    <cfRule type="beginsWith" dxfId="875" priority="461" stopIfTrue="1" operator="beginsWith" text="Not Functioning">
      <formula>LEFT(G245,LEN("Not Functioning"))="Not Functioning"</formula>
    </cfRule>
    <cfRule type="containsText" dxfId="874" priority="462" operator="containsText" text="Functioning">
      <formula>NOT(ISERROR(SEARCH("Functioning",G245)))</formula>
    </cfRule>
  </conditionalFormatting>
  <conditionalFormatting sqref="G245">
    <cfRule type="beginsWith" dxfId="873" priority="457" stopIfTrue="1" operator="beginsWith" text="Functioning At Risk">
      <formula>LEFT(G245,LEN("Functioning At Risk"))="Functioning At Risk"</formula>
    </cfRule>
    <cfRule type="beginsWith" dxfId="872" priority="458" stopIfTrue="1" operator="beginsWith" text="Not Functioning">
      <formula>LEFT(G245,LEN("Not Functioning"))="Not Functioning"</formula>
    </cfRule>
    <cfRule type="containsText" dxfId="871" priority="459" operator="containsText" text="Functioning">
      <formula>NOT(ISERROR(SEARCH("Functioning",G245)))</formula>
    </cfRule>
  </conditionalFormatting>
  <conditionalFormatting sqref="G207">
    <cfRule type="beginsWith" dxfId="870" priority="484" stopIfTrue="1" operator="beginsWith" text="Functioning At Risk">
      <formula>LEFT(G207,LEN("Functioning At Risk"))="Functioning At Risk"</formula>
    </cfRule>
    <cfRule type="beginsWith" dxfId="869" priority="485" stopIfTrue="1" operator="beginsWith" text="Not Functioning">
      <formula>LEFT(G207,LEN("Not Functioning"))="Not Functioning"</formula>
    </cfRule>
    <cfRule type="containsText" dxfId="868" priority="486" operator="containsText" text="Functioning">
      <formula>NOT(ISERROR(SEARCH("Functioning",G207)))</formula>
    </cfRule>
  </conditionalFormatting>
  <conditionalFormatting sqref="H204:H207">
    <cfRule type="beginsWith" dxfId="867" priority="481" stopIfTrue="1" operator="beginsWith" text="Functioning At Risk">
      <formula>LEFT(H204,LEN("Functioning At Risk"))="Functioning At Risk"</formula>
    </cfRule>
    <cfRule type="beginsWith" dxfId="866" priority="482" stopIfTrue="1" operator="beginsWith" text="Not Functioning">
      <formula>LEFT(H204,LEN("Not Functioning"))="Not Functioning"</formula>
    </cfRule>
    <cfRule type="containsText" dxfId="865" priority="483" operator="containsText" text="Functioning">
      <formula>NOT(ISERROR(SEARCH("Functioning",H204)))</formula>
    </cfRule>
  </conditionalFormatting>
  <conditionalFormatting sqref="A251:C251 G250 E251:G251 H282:K282 L243:M244 D256:D263 D275:D279 B249:I249 K247:K280 D246 B245 G248 D248 A243:A248">
    <cfRule type="beginsWith" dxfId="864" priority="478" stopIfTrue="1" operator="beginsWith" text="Functioning At Risk">
      <formula>LEFT(A243,LEN("Functioning At Risk"))="Functioning At Risk"</formula>
    </cfRule>
    <cfRule type="beginsWith" dxfId="863" priority="479" stopIfTrue="1" operator="beginsWith" text="Not Functioning">
      <formula>LEFT(A243,LEN("Not Functioning"))="Not Functioning"</formula>
    </cfRule>
    <cfRule type="containsText" dxfId="862" priority="480" operator="containsText" text="Functioning">
      <formula>NOT(ISERROR(SEARCH("Functioning",A243)))</formula>
    </cfRule>
  </conditionalFormatting>
  <conditionalFormatting sqref="D280">
    <cfRule type="beginsWith" dxfId="861" priority="475" stopIfTrue="1" operator="beginsWith" text="Functioning At Risk">
      <formula>LEFT(D280,LEN("Functioning At Risk"))="Functioning At Risk"</formula>
    </cfRule>
    <cfRule type="beginsWith" dxfId="860" priority="476" stopIfTrue="1" operator="beginsWith" text="Not Functioning">
      <formula>LEFT(D280,LEN("Not Functioning"))="Not Functioning"</formula>
    </cfRule>
    <cfRule type="containsText" dxfId="859" priority="477" operator="containsText" text="Functioning">
      <formula>NOT(ISERROR(SEARCH("Functioning",D280)))</formula>
    </cfRule>
  </conditionalFormatting>
  <conditionalFormatting sqref="H248">
    <cfRule type="beginsWith" dxfId="858" priority="472" stopIfTrue="1" operator="beginsWith" text="Functioning At Risk">
      <formula>LEFT(H248,LEN("Functioning At Risk"))="Functioning At Risk"</formula>
    </cfRule>
    <cfRule type="beginsWith" dxfId="857" priority="473" stopIfTrue="1" operator="beginsWith" text="Not Functioning">
      <formula>LEFT(H248,LEN("Not Functioning"))="Not Functioning"</formula>
    </cfRule>
    <cfRule type="containsText" dxfId="856" priority="474" operator="containsText" text="Functioning">
      <formula>NOT(ISERROR(SEARCH("Functioning",H248)))</formula>
    </cfRule>
  </conditionalFormatting>
  <conditionalFormatting sqref="J244:J248">
    <cfRule type="beginsWith" dxfId="855" priority="469" stopIfTrue="1" operator="beginsWith" text="Functioning At Risk">
      <formula>LEFT(J244,LEN("Functioning At Risk"))="Functioning At Risk"</formula>
    </cfRule>
    <cfRule type="beginsWith" dxfId="854" priority="470" stopIfTrue="1" operator="beginsWith" text="Not Functioning">
      <formula>LEFT(J244,LEN("Not Functioning"))="Not Functioning"</formula>
    </cfRule>
    <cfRule type="containsText" dxfId="853" priority="471" operator="containsText" text="Functioning">
      <formula>NOT(ISERROR(SEARCH("Functioning",J244)))</formula>
    </cfRule>
  </conditionalFormatting>
  <conditionalFormatting sqref="G244">
    <cfRule type="beginsWith" dxfId="852" priority="466" stopIfTrue="1" operator="beginsWith" text="Functioning At Risk">
      <formula>LEFT(G244,LEN("Functioning At Risk"))="Functioning At Risk"</formula>
    </cfRule>
    <cfRule type="beginsWith" dxfId="851" priority="467" stopIfTrue="1" operator="beginsWith" text="Not Functioning">
      <formula>LEFT(G244,LEN("Not Functioning"))="Not Functioning"</formula>
    </cfRule>
    <cfRule type="containsText" dxfId="850" priority="468" operator="containsText" text="Functioning">
      <formula>NOT(ISERROR(SEARCH("Functioning",G244)))</formula>
    </cfRule>
  </conditionalFormatting>
  <conditionalFormatting sqref="B244">
    <cfRule type="beginsWith" dxfId="849" priority="454" stopIfTrue="1" operator="beginsWith" text="Functioning At Risk">
      <formula>LEFT(B244,LEN("Functioning At Risk"))="Functioning At Risk"</formula>
    </cfRule>
    <cfRule type="beginsWith" dxfId="848" priority="455" stopIfTrue="1" operator="beginsWith" text="Not Functioning">
      <formula>LEFT(B244,LEN("Not Functioning"))="Not Functioning"</formula>
    </cfRule>
    <cfRule type="containsText" dxfId="847" priority="456" operator="containsText" text="Functioning">
      <formula>NOT(ISERROR(SEARCH("Functioning",B244)))</formula>
    </cfRule>
  </conditionalFormatting>
  <conditionalFormatting sqref="C244:C248">
    <cfRule type="beginsWith" dxfId="846" priority="445" stopIfTrue="1" operator="beginsWith" text="Functioning At Risk">
      <formula>LEFT(C244,LEN("Functioning At Risk"))="Functioning At Risk"</formula>
    </cfRule>
    <cfRule type="beginsWith" dxfId="845" priority="446" stopIfTrue="1" operator="beginsWith" text="Not Functioning">
      <formula>LEFT(C244,LEN("Not Functioning"))="Not Functioning"</formula>
    </cfRule>
    <cfRule type="containsText" dxfId="844" priority="447" operator="containsText" text="Functioning">
      <formula>NOT(ISERROR(SEARCH("Functioning",C244)))</formula>
    </cfRule>
  </conditionalFormatting>
  <conditionalFormatting sqref="G246">
    <cfRule type="beginsWith" dxfId="843" priority="433" stopIfTrue="1" operator="beginsWith" text="Functioning At Risk">
      <formula>LEFT(G246,LEN("Functioning At Risk"))="Functioning At Risk"</formula>
    </cfRule>
    <cfRule type="beginsWith" dxfId="842" priority="434" stopIfTrue="1" operator="beginsWith" text="Not Functioning">
      <formula>LEFT(G246,LEN("Not Functioning"))="Not Functioning"</formula>
    </cfRule>
    <cfRule type="containsText" dxfId="841" priority="435" operator="containsText" text="Functioning">
      <formula>NOT(ISERROR(SEARCH("Functioning",G246)))</formula>
    </cfRule>
  </conditionalFormatting>
  <conditionalFormatting sqref="E244:E248">
    <cfRule type="beginsWith" dxfId="840" priority="442" stopIfTrue="1" operator="beginsWith" text="Functioning At Risk">
      <formula>LEFT(E244,LEN("Functioning At Risk"))="Functioning At Risk"</formula>
    </cfRule>
    <cfRule type="beginsWith" dxfId="839" priority="443" stopIfTrue="1" operator="beginsWith" text="Not Functioning">
      <formula>LEFT(E244,LEN("Not Functioning"))="Not Functioning"</formula>
    </cfRule>
    <cfRule type="containsText" dxfId="838" priority="444" operator="containsText" text="Functioning">
      <formula>NOT(ISERROR(SEARCH("Functioning",E244)))</formula>
    </cfRule>
  </conditionalFormatting>
  <conditionalFormatting sqref="J284:J288">
    <cfRule type="beginsWith" dxfId="837" priority="403" stopIfTrue="1" operator="beginsWith" text="Functioning At Risk">
      <formula>LEFT(J284,LEN("Functioning At Risk"))="Functioning At Risk"</formula>
    </cfRule>
    <cfRule type="beginsWith" dxfId="836" priority="404" stopIfTrue="1" operator="beginsWith" text="Not Functioning">
      <formula>LEFT(J284,LEN("Not Functioning"))="Not Functioning"</formula>
    </cfRule>
    <cfRule type="containsText" dxfId="835" priority="405" operator="containsText" text="Functioning">
      <formula>NOT(ISERROR(SEARCH("Functioning",J284)))</formula>
    </cfRule>
  </conditionalFormatting>
  <conditionalFormatting sqref="G284">
    <cfRule type="beginsWith" dxfId="834" priority="400" stopIfTrue="1" operator="beginsWith" text="Functioning At Risk">
      <formula>LEFT(G284,LEN("Functioning At Risk"))="Functioning At Risk"</formula>
    </cfRule>
    <cfRule type="beginsWith" dxfId="833" priority="401" stopIfTrue="1" operator="beginsWith" text="Not Functioning">
      <formula>LEFT(G284,LEN("Not Functioning"))="Not Functioning"</formula>
    </cfRule>
    <cfRule type="containsText" dxfId="832" priority="402" operator="containsText" text="Functioning">
      <formula>NOT(ISERROR(SEARCH("Functioning",G284)))</formula>
    </cfRule>
  </conditionalFormatting>
  <conditionalFormatting sqref="D305:D308">
    <cfRule type="beginsWith" dxfId="831" priority="397" stopIfTrue="1" operator="beginsWith" text="Functioning At Risk">
      <formula>LEFT(D305,LEN("Functioning At Risk"))="Functioning At Risk"</formula>
    </cfRule>
    <cfRule type="beginsWith" dxfId="830" priority="398" stopIfTrue="1" operator="beginsWith" text="Not Functioning">
      <formula>LEFT(D305,LEN("Not Functioning"))="Not Functioning"</formula>
    </cfRule>
    <cfRule type="containsText" dxfId="829" priority="399" operator="containsText" text="Functioning">
      <formula>NOT(ISERROR(SEARCH("Functioning",D305)))</formula>
    </cfRule>
  </conditionalFormatting>
  <conditionalFormatting sqref="G247">
    <cfRule type="beginsWith" dxfId="828" priority="418" stopIfTrue="1" operator="beginsWith" text="Functioning At Risk">
      <formula>LEFT(G247,LEN("Functioning At Risk"))="Functioning At Risk"</formula>
    </cfRule>
    <cfRule type="beginsWith" dxfId="827" priority="419" stopIfTrue="1" operator="beginsWith" text="Not Functioning">
      <formula>LEFT(G247,LEN("Not Functioning"))="Not Functioning"</formula>
    </cfRule>
    <cfRule type="containsText" dxfId="826" priority="420" operator="containsText" text="Functioning">
      <formula>NOT(ISERROR(SEARCH("Functioning",G247)))</formula>
    </cfRule>
  </conditionalFormatting>
  <conditionalFormatting sqref="H244:H247">
    <cfRule type="beginsWith" dxfId="825" priority="415" stopIfTrue="1" operator="beginsWith" text="Functioning At Risk">
      <formula>LEFT(H244,LEN("Functioning At Risk"))="Functioning At Risk"</formula>
    </cfRule>
    <cfRule type="beginsWith" dxfId="824" priority="416" stopIfTrue="1" operator="beginsWith" text="Not Functioning">
      <formula>LEFT(H244,LEN("Not Functioning"))="Not Functioning"</formula>
    </cfRule>
    <cfRule type="containsText" dxfId="823" priority="417" operator="containsText" text="Functioning">
      <formula>NOT(ISERROR(SEARCH("Functioning",H244)))</formula>
    </cfRule>
  </conditionalFormatting>
  <conditionalFormatting sqref="A291:C291 G290 E291:G291 H321:K321 K322 L283:M284 D296:D303 D315:D319 B289:I289 K287:K320 D286 B285 G288 D288 A283:A288">
    <cfRule type="beginsWith" dxfId="822" priority="412" stopIfTrue="1" operator="beginsWith" text="Functioning At Risk">
      <formula>LEFT(A283,LEN("Functioning At Risk"))="Functioning At Risk"</formula>
    </cfRule>
    <cfRule type="beginsWith" dxfId="821" priority="413" stopIfTrue="1" operator="beginsWith" text="Not Functioning">
      <formula>LEFT(A283,LEN("Not Functioning"))="Not Functioning"</formula>
    </cfRule>
    <cfRule type="containsText" dxfId="820" priority="414" operator="containsText" text="Functioning">
      <formula>NOT(ISERROR(SEARCH("Functioning",A283)))</formula>
    </cfRule>
  </conditionalFormatting>
  <conditionalFormatting sqref="D320">
    <cfRule type="beginsWith" dxfId="819" priority="409" stopIfTrue="1" operator="beginsWith" text="Functioning At Risk">
      <formula>LEFT(D320,LEN("Functioning At Risk"))="Functioning At Risk"</formula>
    </cfRule>
    <cfRule type="beginsWith" dxfId="818" priority="410" stopIfTrue="1" operator="beginsWith" text="Not Functioning">
      <formula>LEFT(D320,LEN("Not Functioning"))="Not Functioning"</formula>
    </cfRule>
    <cfRule type="containsText" dxfId="817" priority="411" operator="containsText" text="Functioning">
      <formula>NOT(ISERROR(SEARCH("Functioning",D320)))</formula>
    </cfRule>
  </conditionalFormatting>
  <conditionalFormatting sqref="H288">
    <cfRule type="beginsWith" dxfId="816" priority="406" stopIfTrue="1" operator="beginsWith" text="Functioning At Risk">
      <formula>LEFT(H288,LEN("Functioning At Risk"))="Functioning At Risk"</formula>
    </cfRule>
    <cfRule type="beginsWith" dxfId="815" priority="407" stopIfTrue="1" operator="beginsWith" text="Not Functioning">
      <formula>LEFT(H288,LEN("Not Functioning"))="Not Functioning"</formula>
    </cfRule>
    <cfRule type="containsText" dxfId="814" priority="408" operator="containsText" text="Functioning">
      <formula>NOT(ISERROR(SEARCH("Functioning",H288)))</formula>
    </cfRule>
  </conditionalFormatting>
  <conditionalFormatting sqref="G285">
    <cfRule type="beginsWith" dxfId="813" priority="394" stopIfTrue="1" operator="beginsWith" text="Functioning At Risk">
      <formula>LEFT(G285,LEN("Functioning At Risk"))="Functioning At Risk"</formula>
    </cfRule>
    <cfRule type="beginsWith" dxfId="812" priority="395" stopIfTrue="1" operator="beginsWith" text="Not Functioning">
      <formula>LEFT(G285,LEN("Not Functioning"))="Not Functioning"</formula>
    </cfRule>
    <cfRule type="containsText" dxfId="811" priority="396" operator="containsText" text="Functioning">
      <formula>NOT(ISERROR(SEARCH("Functioning",G285)))</formula>
    </cfRule>
  </conditionalFormatting>
  <conditionalFormatting sqref="G285">
    <cfRule type="beginsWith" dxfId="810" priority="391" stopIfTrue="1" operator="beginsWith" text="Functioning At Risk">
      <formula>LEFT(G285,LEN("Functioning At Risk"))="Functioning At Risk"</formula>
    </cfRule>
    <cfRule type="beginsWith" dxfId="809" priority="392" stopIfTrue="1" operator="beginsWith" text="Not Functioning">
      <formula>LEFT(G285,LEN("Not Functioning"))="Not Functioning"</formula>
    </cfRule>
    <cfRule type="containsText" dxfId="808" priority="393" operator="containsText" text="Functioning">
      <formula>NOT(ISERROR(SEARCH("Functioning",G285)))</formula>
    </cfRule>
  </conditionalFormatting>
  <conditionalFormatting sqref="B284">
    <cfRule type="beginsWith" dxfId="807" priority="388" stopIfTrue="1" operator="beginsWith" text="Functioning At Risk">
      <formula>LEFT(B284,LEN("Functioning At Risk"))="Functioning At Risk"</formula>
    </cfRule>
    <cfRule type="beginsWith" dxfId="806" priority="389" stopIfTrue="1" operator="beginsWith" text="Not Functioning">
      <formula>LEFT(B284,LEN("Not Functioning"))="Not Functioning"</formula>
    </cfRule>
    <cfRule type="containsText" dxfId="805" priority="390" operator="containsText" text="Functioning">
      <formula>NOT(ISERROR(SEARCH("Functioning",B284)))</formula>
    </cfRule>
  </conditionalFormatting>
  <conditionalFormatting sqref="C284:C288">
    <cfRule type="beginsWith" dxfId="804" priority="379" stopIfTrue="1" operator="beginsWith" text="Functioning At Risk">
      <formula>LEFT(C284,LEN("Functioning At Risk"))="Functioning At Risk"</formula>
    </cfRule>
    <cfRule type="beginsWith" dxfId="803" priority="380" stopIfTrue="1" operator="beginsWith" text="Not Functioning">
      <formula>LEFT(C284,LEN("Not Functioning"))="Not Functioning"</formula>
    </cfRule>
    <cfRule type="containsText" dxfId="802" priority="381" operator="containsText" text="Functioning">
      <formula>NOT(ISERROR(SEARCH("Functioning",C284)))</formula>
    </cfRule>
  </conditionalFormatting>
  <conditionalFormatting sqref="G286">
    <cfRule type="beginsWith" dxfId="801" priority="367" stopIfTrue="1" operator="beginsWith" text="Functioning At Risk">
      <formula>LEFT(G286,LEN("Functioning At Risk"))="Functioning At Risk"</formula>
    </cfRule>
    <cfRule type="beginsWith" dxfId="800" priority="368" stopIfTrue="1" operator="beginsWith" text="Not Functioning">
      <formula>LEFT(G286,LEN("Not Functioning"))="Not Functioning"</formula>
    </cfRule>
    <cfRule type="containsText" dxfId="799" priority="369" operator="containsText" text="Functioning">
      <formula>NOT(ISERROR(SEARCH("Functioning",G286)))</formula>
    </cfRule>
  </conditionalFormatting>
  <conditionalFormatting sqref="E284:E288">
    <cfRule type="beginsWith" dxfId="798" priority="376" stopIfTrue="1" operator="beginsWith" text="Functioning At Risk">
      <formula>LEFT(E284,LEN("Functioning At Risk"))="Functioning At Risk"</formula>
    </cfRule>
    <cfRule type="beginsWith" dxfId="797" priority="377" stopIfTrue="1" operator="beginsWith" text="Not Functioning">
      <formula>LEFT(E284,LEN("Not Functioning"))="Not Functioning"</formula>
    </cfRule>
    <cfRule type="containsText" dxfId="796" priority="378" operator="containsText" text="Functioning">
      <formula>NOT(ISERROR(SEARCH("Functioning",E284)))</formula>
    </cfRule>
  </conditionalFormatting>
  <conditionalFormatting sqref="D360">
    <cfRule type="beginsWith" dxfId="795" priority="343" stopIfTrue="1" operator="beginsWith" text="Functioning At Risk">
      <formula>LEFT(D360,LEN("Functioning At Risk"))="Functioning At Risk"</formula>
    </cfRule>
    <cfRule type="beginsWith" dxfId="794" priority="344" stopIfTrue="1" operator="beginsWith" text="Not Functioning">
      <formula>LEFT(D360,LEN("Not Functioning"))="Not Functioning"</formula>
    </cfRule>
    <cfRule type="containsText" dxfId="793" priority="345" operator="containsText" text="Functioning">
      <formula>NOT(ISERROR(SEARCH("Functioning",D360)))</formula>
    </cfRule>
  </conditionalFormatting>
  <conditionalFormatting sqref="H328">
    <cfRule type="beginsWith" dxfId="792" priority="340" stopIfTrue="1" operator="beginsWith" text="Functioning At Risk">
      <formula>LEFT(H328,LEN("Functioning At Risk"))="Functioning At Risk"</formula>
    </cfRule>
    <cfRule type="beginsWith" dxfId="791" priority="341" stopIfTrue="1" operator="beginsWith" text="Not Functioning">
      <formula>LEFT(H328,LEN("Not Functioning"))="Not Functioning"</formula>
    </cfRule>
    <cfRule type="containsText" dxfId="790" priority="342" operator="containsText" text="Functioning">
      <formula>NOT(ISERROR(SEARCH("Functioning",H328)))</formula>
    </cfRule>
  </conditionalFormatting>
  <conditionalFormatting sqref="J324:J328">
    <cfRule type="beginsWith" dxfId="789" priority="337" stopIfTrue="1" operator="beginsWith" text="Functioning At Risk">
      <formula>LEFT(J324,LEN("Functioning At Risk"))="Functioning At Risk"</formula>
    </cfRule>
    <cfRule type="beginsWith" dxfId="788" priority="338" stopIfTrue="1" operator="beginsWith" text="Not Functioning">
      <formula>LEFT(J324,LEN("Not Functioning"))="Not Functioning"</formula>
    </cfRule>
    <cfRule type="containsText" dxfId="787" priority="339" operator="containsText" text="Functioning">
      <formula>NOT(ISERROR(SEARCH("Functioning",J324)))</formula>
    </cfRule>
  </conditionalFormatting>
  <conditionalFormatting sqref="G287">
    <cfRule type="beginsWith" dxfId="786" priority="352" stopIfTrue="1" operator="beginsWith" text="Functioning At Risk">
      <formula>LEFT(G287,LEN("Functioning At Risk"))="Functioning At Risk"</formula>
    </cfRule>
    <cfRule type="beginsWith" dxfId="785" priority="353" stopIfTrue="1" operator="beginsWith" text="Not Functioning">
      <formula>LEFT(G287,LEN("Not Functioning"))="Not Functioning"</formula>
    </cfRule>
    <cfRule type="containsText" dxfId="784" priority="354" operator="containsText" text="Functioning">
      <formula>NOT(ISERROR(SEARCH("Functioning",G287)))</formula>
    </cfRule>
  </conditionalFormatting>
  <conditionalFormatting sqref="H284:H287">
    <cfRule type="beginsWith" dxfId="783" priority="349" stopIfTrue="1" operator="beginsWith" text="Functioning At Risk">
      <formula>LEFT(H284,LEN("Functioning At Risk"))="Functioning At Risk"</formula>
    </cfRule>
    <cfRule type="beginsWith" dxfId="782" priority="350" stopIfTrue="1" operator="beginsWith" text="Not Functioning">
      <formula>LEFT(H284,LEN("Not Functioning"))="Not Functioning"</formula>
    </cfRule>
    <cfRule type="containsText" dxfId="781" priority="351" operator="containsText" text="Functioning">
      <formula>NOT(ISERROR(SEARCH("Functioning",H284)))</formula>
    </cfRule>
  </conditionalFormatting>
  <conditionalFormatting sqref="A331:C331 G330 E331:G331 L323:M324 D336:D343 D355:D359 B329:I329 K327:K360 D326 B325 G328 D328 A323:A328">
    <cfRule type="beginsWith" dxfId="780" priority="346" stopIfTrue="1" operator="beginsWith" text="Functioning At Risk">
      <formula>LEFT(A323,LEN("Functioning At Risk"))="Functioning At Risk"</formula>
    </cfRule>
    <cfRule type="beginsWith" dxfId="779" priority="347" stopIfTrue="1" operator="beginsWith" text="Not Functioning">
      <formula>LEFT(A323,LEN("Not Functioning"))="Not Functioning"</formula>
    </cfRule>
    <cfRule type="containsText" dxfId="778" priority="348" operator="containsText" text="Functioning">
      <formula>NOT(ISERROR(SEARCH("Functioning",A323)))</formula>
    </cfRule>
  </conditionalFormatting>
  <conditionalFormatting sqref="G324">
    <cfRule type="beginsWith" dxfId="777" priority="334" stopIfTrue="1" operator="beginsWith" text="Functioning At Risk">
      <formula>LEFT(G324,LEN("Functioning At Risk"))="Functioning At Risk"</formula>
    </cfRule>
    <cfRule type="beginsWith" dxfId="776" priority="335" stopIfTrue="1" operator="beginsWith" text="Not Functioning">
      <formula>LEFT(G324,LEN("Not Functioning"))="Not Functioning"</formula>
    </cfRule>
    <cfRule type="containsText" dxfId="775" priority="336" operator="containsText" text="Functioning">
      <formula>NOT(ISERROR(SEARCH("Functioning",G324)))</formula>
    </cfRule>
  </conditionalFormatting>
  <conditionalFormatting sqref="D345:D348">
    <cfRule type="beginsWith" dxfId="774" priority="331" stopIfTrue="1" operator="beginsWith" text="Functioning At Risk">
      <formula>LEFT(D345,LEN("Functioning At Risk"))="Functioning At Risk"</formula>
    </cfRule>
    <cfRule type="beginsWith" dxfId="773" priority="332" stopIfTrue="1" operator="beginsWith" text="Not Functioning">
      <formula>LEFT(D345,LEN("Not Functioning"))="Not Functioning"</formula>
    </cfRule>
    <cfRule type="containsText" dxfId="772" priority="333" operator="containsText" text="Functioning">
      <formula>NOT(ISERROR(SEARCH("Functioning",D345)))</formula>
    </cfRule>
  </conditionalFormatting>
  <conditionalFormatting sqref="G325">
    <cfRule type="beginsWith" dxfId="771" priority="328" stopIfTrue="1" operator="beginsWith" text="Functioning At Risk">
      <formula>LEFT(G325,LEN("Functioning At Risk"))="Functioning At Risk"</formula>
    </cfRule>
    <cfRule type="beginsWith" dxfId="770" priority="329" stopIfTrue="1" operator="beginsWith" text="Not Functioning">
      <formula>LEFT(G325,LEN("Not Functioning"))="Not Functioning"</formula>
    </cfRule>
    <cfRule type="containsText" dxfId="769" priority="330" operator="containsText" text="Functioning">
      <formula>NOT(ISERROR(SEARCH("Functioning",G325)))</formula>
    </cfRule>
  </conditionalFormatting>
  <conditionalFormatting sqref="G325">
    <cfRule type="beginsWith" dxfId="768" priority="325" stopIfTrue="1" operator="beginsWith" text="Functioning At Risk">
      <formula>LEFT(G325,LEN("Functioning At Risk"))="Functioning At Risk"</formula>
    </cfRule>
    <cfRule type="beginsWith" dxfId="767" priority="326" stopIfTrue="1" operator="beginsWith" text="Not Functioning">
      <formula>LEFT(G325,LEN("Not Functioning"))="Not Functioning"</formula>
    </cfRule>
    <cfRule type="containsText" dxfId="766" priority="327" operator="containsText" text="Functioning">
      <formula>NOT(ISERROR(SEARCH("Functioning",G325)))</formula>
    </cfRule>
  </conditionalFormatting>
  <conditionalFormatting sqref="B324">
    <cfRule type="beginsWith" dxfId="765" priority="322" stopIfTrue="1" operator="beginsWith" text="Functioning At Risk">
      <formula>LEFT(B324,LEN("Functioning At Risk"))="Functioning At Risk"</formula>
    </cfRule>
    <cfRule type="beginsWith" dxfId="764" priority="323" stopIfTrue="1" operator="beginsWith" text="Not Functioning">
      <formula>LEFT(B324,LEN("Not Functioning"))="Not Functioning"</formula>
    </cfRule>
    <cfRule type="containsText" dxfId="763" priority="324" operator="containsText" text="Functioning">
      <formula>NOT(ISERROR(SEARCH("Functioning",B324)))</formula>
    </cfRule>
  </conditionalFormatting>
  <conditionalFormatting sqref="C324:C328">
    <cfRule type="beginsWith" dxfId="762" priority="313" stopIfTrue="1" operator="beginsWith" text="Functioning At Risk">
      <formula>LEFT(C324,LEN("Functioning At Risk"))="Functioning At Risk"</formula>
    </cfRule>
    <cfRule type="beginsWith" dxfId="761" priority="314" stopIfTrue="1" operator="beginsWith" text="Not Functioning">
      <formula>LEFT(C324,LEN("Not Functioning"))="Not Functioning"</formula>
    </cfRule>
    <cfRule type="containsText" dxfId="760" priority="315" operator="containsText" text="Functioning">
      <formula>NOT(ISERROR(SEARCH("Functioning",C324)))</formula>
    </cfRule>
  </conditionalFormatting>
  <conditionalFormatting sqref="G326">
    <cfRule type="beginsWith" dxfId="759" priority="301" stopIfTrue="1" operator="beginsWith" text="Functioning At Risk">
      <formula>LEFT(G326,LEN("Functioning At Risk"))="Functioning At Risk"</formula>
    </cfRule>
    <cfRule type="beginsWith" dxfId="758" priority="302" stopIfTrue="1" operator="beginsWith" text="Not Functioning">
      <formula>LEFT(G326,LEN("Not Functioning"))="Not Functioning"</formula>
    </cfRule>
    <cfRule type="containsText" dxfId="757" priority="303" operator="containsText" text="Functioning">
      <formula>NOT(ISERROR(SEARCH("Functioning",G326)))</formula>
    </cfRule>
  </conditionalFormatting>
  <conditionalFormatting sqref="E324:E328">
    <cfRule type="beginsWith" dxfId="756" priority="310" stopIfTrue="1" operator="beginsWith" text="Functioning At Risk">
      <formula>LEFT(E324,LEN("Functioning At Risk"))="Functioning At Risk"</formula>
    </cfRule>
    <cfRule type="beginsWith" dxfId="755" priority="311" stopIfTrue="1" operator="beginsWith" text="Not Functioning">
      <formula>LEFT(E324,LEN("Not Functioning"))="Not Functioning"</formula>
    </cfRule>
    <cfRule type="containsText" dxfId="754" priority="312" operator="containsText" text="Functioning">
      <formula>NOT(ISERROR(SEARCH("Functioning",E324)))</formula>
    </cfRule>
  </conditionalFormatting>
  <conditionalFormatting sqref="H324:H327">
    <cfRule type="beginsWith" dxfId="753" priority="283" stopIfTrue="1" operator="beginsWith" text="Functioning At Risk">
      <formula>LEFT(H324,LEN("Functioning At Risk"))="Functioning At Risk"</formula>
    </cfRule>
    <cfRule type="beginsWith" dxfId="752" priority="284" stopIfTrue="1" operator="beginsWith" text="Not Functioning">
      <formula>LEFT(H324,LEN("Not Functioning"))="Not Functioning"</formula>
    </cfRule>
    <cfRule type="containsText" dxfId="751" priority="285" operator="containsText" text="Functioning">
      <formula>NOT(ISERROR(SEARCH("Functioning",H324)))</formula>
    </cfRule>
  </conditionalFormatting>
  <conditionalFormatting sqref="A371:C371 G370 E371:G371 H401:K401 L363:M364 D376:D383 D395:D399 B369:I369 K367:K400 D366 B365 G368 D368 A363:A368">
    <cfRule type="beginsWith" dxfId="750" priority="280" stopIfTrue="1" operator="beginsWith" text="Functioning At Risk">
      <formula>LEFT(A363,LEN("Functioning At Risk"))="Functioning At Risk"</formula>
    </cfRule>
    <cfRule type="beginsWith" dxfId="749" priority="281" stopIfTrue="1" operator="beginsWith" text="Not Functioning">
      <formula>LEFT(A363,LEN("Not Functioning"))="Not Functioning"</formula>
    </cfRule>
    <cfRule type="containsText" dxfId="748" priority="282" operator="containsText" text="Functioning">
      <formula>NOT(ISERROR(SEARCH("Functioning",A363)))</formula>
    </cfRule>
  </conditionalFormatting>
  <conditionalFormatting sqref="D400">
    <cfRule type="beginsWith" dxfId="747" priority="277" stopIfTrue="1" operator="beginsWith" text="Functioning At Risk">
      <formula>LEFT(D400,LEN("Functioning At Risk"))="Functioning At Risk"</formula>
    </cfRule>
    <cfRule type="beginsWith" dxfId="746" priority="278" stopIfTrue="1" operator="beginsWith" text="Not Functioning">
      <formula>LEFT(D400,LEN("Not Functioning"))="Not Functioning"</formula>
    </cfRule>
    <cfRule type="containsText" dxfId="745" priority="279" operator="containsText" text="Functioning">
      <formula>NOT(ISERROR(SEARCH("Functioning",D400)))</formula>
    </cfRule>
  </conditionalFormatting>
  <conditionalFormatting sqref="G327">
    <cfRule type="beginsWith" dxfId="744" priority="286" stopIfTrue="1" operator="beginsWith" text="Functioning At Risk">
      <formula>LEFT(G327,LEN("Functioning At Risk"))="Functioning At Risk"</formula>
    </cfRule>
    <cfRule type="beginsWith" dxfId="743" priority="287" stopIfTrue="1" operator="beginsWith" text="Not Functioning">
      <formula>LEFT(G327,LEN("Not Functioning"))="Not Functioning"</formula>
    </cfRule>
    <cfRule type="containsText" dxfId="742" priority="288" operator="containsText" text="Functioning">
      <formula>NOT(ISERROR(SEARCH("Functioning",G327)))</formula>
    </cfRule>
  </conditionalFormatting>
  <conditionalFormatting sqref="H368">
    <cfRule type="beginsWith" dxfId="741" priority="274" stopIfTrue="1" operator="beginsWith" text="Functioning At Risk">
      <formula>LEFT(H368,LEN("Functioning At Risk"))="Functioning At Risk"</formula>
    </cfRule>
    <cfRule type="beginsWith" dxfId="740" priority="275" stopIfTrue="1" operator="beginsWith" text="Not Functioning">
      <formula>LEFT(H368,LEN("Not Functioning"))="Not Functioning"</formula>
    </cfRule>
    <cfRule type="containsText" dxfId="739" priority="276" operator="containsText" text="Functioning">
      <formula>NOT(ISERROR(SEARCH("Functioning",H368)))</formula>
    </cfRule>
  </conditionalFormatting>
  <conditionalFormatting sqref="J364:J368">
    <cfRule type="beginsWith" dxfId="738" priority="271" stopIfTrue="1" operator="beginsWith" text="Functioning At Risk">
      <formula>LEFT(J364,LEN("Functioning At Risk"))="Functioning At Risk"</formula>
    </cfRule>
    <cfRule type="beginsWith" dxfId="737" priority="272" stopIfTrue="1" operator="beginsWith" text="Not Functioning">
      <formula>LEFT(J364,LEN("Not Functioning"))="Not Functioning"</formula>
    </cfRule>
    <cfRule type="containsText" dxfId="736" priority="273" operator="containsText" text="Functioning">
      <formula>NOT(ISERROR(SEARCH("Functioning",J364)))</formula>
    </cfRule>
  </conditionalFormatting>
  <conditionalFormatting sqref="G364">
    <cfRule type="beginsWith" dxfId="735" priority="268" stopIfTrue="1" operator="beginsWith" text="Functioning At Risk">
      <formula>LEFT(G364,LEN("Functioning At Risk"))="Functioning At Risk"</formula>
    </cfRule>
    <cfRule type="beginsWith" dxfId="734" priority="269" stopIfTrue="1" operator="beginsWith" text="Not Functioning">
      <formula>LEFT(G364,LEN("Not Functioning"))="Not Functioning"</formula>
    </cfRule>
    <cfRule type="containsText" dxfId="733" priority="270" operator="containsText" text="Functioning">
      <formula>NOT(ISERROR(SEARCH("Functioning",G364)))</formula>
    </cfRule>
  </conditionalFormatting>
  <conditionalFormatting sqref="D385:D388">
    <cfRule type="beginsWith" dxfId="732" priority="265" stopIfTrue="1" operator="beginsWith" text="Functioning At Risk">
      <formula>LEFT(D385,LEN("Functioning At Risk"))="Functioning At Risk"</formula>
    </cfRule>
    <cfRule type="beginsWith" dxfId="731" priority="266" stopIfTrue="1" operator="beginsWith" text="Not Functioning">
      <formula>LEFT(D385,LEN("Not Functioning"))="Not Functioning"</formula>
    </cfRule>
    <cfRule type="containsText" dxfId="730" priority="267" operator="containsText" text="Functioning">
      <formula>NOT(ISERROR(SEARCH("Functioning",D385)))</formula>
    </cfRule>
  </conditionalFormatting>
  <conditionalFormatting sqref="G365">
    <cfRule type="beginsWith" dxfId="729" priority="262" stopIfTrue="1" operator="beginsWith" text="Functioning At Risk">
      <formula>LEFT(G365,LEN("Functioning At Risk"))="Functioning At Risk"</formula>
    </cfRule>
    <cfRule type="beginsWith" dxfId="728" priority="263" stopIfTrue="1" operator="beginsWith" text="Not Functioning">
      <formula>LEFT(G365,LEN("Not Functioning"))="Not Functioning"</formula>
    </cfRule>
    <cfRule type="containsText" dxfId="727" priority="264" operator="containsText" text="Functioning">
      <formula>NOT(ISERROR(SEARCH("Functioning",G365)))</formula>
    </cfRule>
  </conditionalFormatting>
  <conditionalFormatting sqref="G365">
    <cfRule type="beginsWith" dxfId="726" priority="259" stopIfTrue="1" operator="beginsWith" text="Functioning At Risk">
      <formula>LEFT(G365,LEN("Functioning At Risk"))="Functioning At Risk"</formula>
    </cfRule>
    <cfRule type="beginsWith" dxfId="725" priority="260" stopIfTrue="1" operator="beginsWith" text="Not Functioning">
      <formula>LEFT(G365,LEN("Not Functioning"))="Not Functioning"</formula>
    </cfRule>
    <cfRule type="containsText" dxfId="724" priority="261" operator="containsText" text="Functioning">
      <formula>NOT(ISERROR(SEARCH("Functioning",G365)))</formula>
    </cfRule>
  </conditionalFormatting>
  <conditionalFormatting sqref="B364">
    <cfRule type="beginsWith" dxfId="723" priority="256" stopIfTrue="1" operator="beginsWith" text="Functioning At Risk">
      <formula>LEFT(B364,LEN("Functioning At Risk"))="Functioning At Risk"</formula>
    </cfRule>
    <cfRule type="beginsWith" dxfId="722" priority="257" stopIfTrue="1" operator="beginsWith" text="Not Functioning">
      <formula>LEFT(B364,LEN("Not Functioning"))="Not Functioning"</formula>
    </cfRule>
    <cfRule type="containsText" dxfId="721" priority="258" operator="containsText" text="Functioning">
      <formula>NOT(ISERROR(SEARCH("Functioning",B364)))</formula>
    </cfRule>
  </conditionalFormatting>
  <conditionalFormatting sqref="C364:C368">
    <cfRule type="beginsWith" dxfId="720" priority="247" stopIfTrue="1" operator="beginsWith" text="Functioning At Risk">
      <formula>LEFT(C364,LEN("Functioning At Risk"))="Functioning At Risk"</formula>
    </cfRule>
    <cfRule type="beginsWith" dxfId="719" priority="248" stopIfTrue="1" operator="beginsWith" text="Not Functioning">
      <formula>LEFT(C364,LEN("Not Functioning"))="Not Functioning"</formula>
    </cfRule>
    <cfRule type="containsText" dxfId="718" priority="249" operator="containsText" text="Functioning">
      <formula>NOT(ISERROR(SEARCH("Functioning",C364)))</formula>
    </cfRule>
  </conditionalFormatting>
  <conditionalFormatting sqref="G366">
    <cfRule type="beginsWith" dxfId="717" priority="235" stopIfTrue="1" operator="beginsWith" text="Functioning At Risk">
      <formula>LEFT(G366,LEN("Functioning At Risk"))="Functioning At Risk"</formula>
    </cfRule>
    <cfRule type="beginsWith" dxfId="716" priority="236" stopIfTrue="1" operator="beginsWith" text="Not Functioning">
      <formula>LEFT(G366,LEN("Not Functioning"))="Not Functioning"</formula>
    </cfRule>
    <cfRule type="containsText" dxfId="715" priority="237" operator="containsText" text="Functioning">
      <formula>NOT(ISERROR(SEARCH("Functioning",G366)))</formula>
    </cfRule>
  </conditionalFormatting>
  <conditionalFormatting sqref="E364:E368">
    <cfRule type="beginsWith" dxfId="714" priority="244" stopIfTrue="1" operator="beginsWith" text="Functioning At Risk">
      <formula>LEFT(E364,LEN("Functioning At Risk"))="Functioning At Risk"</formula>
    </cfRule>
    <cfRule type="beginsWith" dxfId="713" priority="245" stopIfTrue="1" operator="beginsWith" text="Not Functioning">
      <formula>LEFT(E364,LEN("Not Functioning"))="Not Functioning"</formula>
    </cfRule>
    <cfRule type="containsText" dxfId="712" priority="246" operator="containsText" text="Functioning">
      <formula>NOT(ISERROR(SEARCH("Functioning",E364)))</formula>
    </cfRule>
  </conditionalFormatting>
  <conditionalFormatting sqref="G367">
    <cfRule type="beginsWith" dxfId="711" priority="220" stopIfTrue="1" operator="beginsWith" text="Functioning At Risk">
      <formula>LEFT(G367,LEN("Functioning At Risk"))="Functioning At Risk"</formula>
    </cfRule>
    <cfRule type="beginsWith" dxfId="710" priority="221" stopIfTrue="1" operator="beginsWith" text="Not Functioning">
      <formula>LEFT(G367,LEN("Not Functioning"))="Not Functioning"</formula>
    </cfRule>
    <cfRule type="containsText" dxfId="709" priority="222" operator="containsText" text="Functioning">
      <formula>NOT(ISERROR(SEARCH("Functioning",G367)))</formula>
    </cfRule>
  </conditionalFormatting>
  <conditionalFormatting sqref="H364:H367">
    <cfRule type="beginsWith" dxfId="708" priority="217" stopIfTrue="1" operator="beginsWith" text="Functioning At Risk">
      <formula>LEFT(H364,LEN("Functioning At Risk"))="Functioning At Risk"</formula>
    </cfRule>
    <cfRule type="beginsWith" dxfId="707" priority="218" stopIfTrue="1" operator="beginsWith" text="Not Functioning">
      <formula>LEFT(H364,LEN("Not Functioning"))="Not Functioning"</formula>
    </cfRule>
    <cfRule type="containsText" dxfId="706" priority="219" operator="containsText" text="Functioning">
      <formula>NOT(ISERROR(SEARCH("Functioning",H364)))</formula>
    </cfRule>
  </conditionalFormatting>
  <conditionalFormatting sqref="H81:K81">
    <cfRule type="beginsWith" dxfId="705" priority="214" stopIfTrue="1" operator="beginsWith" text="Functioning At Risk">
      <formula>LEFT(H81,LEN("Functioning At Risk"))="Functioning At Risk"</formula>
    </cfRule>
    <cfRule type="beginsWith" dxfId="704" priority="215" stopIfTrue="1" operator="beginsWith" text="Not Functioning">
      <formula>LEFT(H81,LEN("Not Functioning"))="Not Functioning"</formula>
    </cfRule>
    <cfRule type="containsText" dxfId="703" priority="216" operator="containsText" text="Functioning">
      <formula>NOT(ISERROR(SEARCH("Functioning",H81)))</formula>
    </cfRule>
  </conditionalFormatting>
  <conditionalFormatting sqref="H121:K121">
    <cfRule type="beginsWith" dxfId="702" priority="211" stopIfTrue="1" operator="beginsWith" text="Functioning At Risk">
      <formula>LEFT(H121,LEN("Functioning At Risk"))="Functioning At Risk"</formula>
    </cfRule>
    <cfRule type="beginsWith" dxfId="701" priority="212" stopIfTrue="1" operator="beginsWith" text="Not Functioning">
      <formula>LEFT(H121,LEN("Not Functioning"))="Not Functioning"</formula>
    </cfRule>
    <cfRule type="containsText" dxfId="700" priority="213" operator="containsText" text="Functioning">
      <formula>NOT(ISERROR(SEARCH("Functioning",H121)))</formula>
    </cfRule>
  </conditionalFormatting>
  <conditionalFormatting sqref="H201:K201">
    <cfRule type="beginsWith" dxfId="699" priority="208" stopIfTrue="1" operator="beginsWith" text="Functioning At Risk">
      <formula>LEFT(H201,LEN("Functioning At Risk"))="Functioning At Risk"</formula>
    </cfRule>
    <cfRule type="beginsWith" dxfId="698" priority="209" stopIfTrue="1" operator="beginsWith" text="Not Functioning">
      <formula>LEFT(H201,LEN("Not Functioning"))="Not Functioning"</formula>
    </cfRule>
    <cfRule type="containsText" dxfId="697" priority="210" operator="containsText" text="Functioning">
      <formula>NOT(ISERROR(SEARCH("Functioning",H201)))</formula>
    </cfRule>
  </conditionalFormatting>
  <conditionalFormatting sqref="H241:K241">
    <cfRule type="beginsWith" dxfId="696" priority="205" stopIfTrue="1" operator="beginsWith" text="Functioning At Risk">
      <formula>LEFT(H241,LEN("Functioning At Risk"))="Functioning At Risk"</formula>
    </cfRule>
    <cfRule type="beginsWith" dxfId="695" priority="206" stopIfTrue="1" operator="beginsWith" text="Not Functioning">
      <formula>LEFT(H241,LEN("Not Functioning"))="Not Functioning"</formula>
    </cfRule>
    <cfRule type="containsText" dxfId="694" priority="207" operator="containsText" text="Functioning">
      <formula>NOT(ISERROR(SEARCH("Functioning",H241)))</formula>
    </cfRule>
  </conditionalFormatting>
  <conditionalFormatting sqref="H281:K281">
    <cfRule type="beginsWith" dxfId="693" priority="202" stopIfTrue="1" operator="beginsWith" text="Functioning At Risk">
      <formula>LEFT(H281,LEN("Functioning At Risk"))="Functioning At Risk"</formula>
    </cfRule>
    <cfRule type="beginsWith" dxfId="692" priority="203" stopIfTrue="1" operator="beginsWith" text="Not Functioning">
      <formula>LEFT(H281,LEN("Not Functioning"))="Not Functioning"</formula>
    </cfRule>
    <cfRule type="containsText" dxfId="691" priority="204" operator="containsText" text="Functioning">
      <formula>NOT(ISERROR(SEARCH("Functioning",H281)))</formula>
    </cfRule>
  </conditionalFormatting>
  <conditionalFormatting sqref="H361:K361">
    <cfRule type="beginsWith" dxfId="690" priority="199" stopIfTrue="1" operator="beginsWith" text="Functioning At Risk">
      <formula>LEFT(H361,LEN("Functioning At Risk"))="Functioning At Risk"</formula>
    </cfRule>
    <cfRule type="beginsWith" dxfId="689" priority="200" stopIfTrue="1" operator="beginsWith" text="Not Functioning">
      <formula>LEFT(H361,LEN("Not Functioning"))="Not Functioning"</formula>
    </cfRule>
    <cfRule type="containsText" dxfId="688" priority="201" operator="containsText" text="Functioning">
      <formula>NOT(ISERROR(SEARCH("Functioning",H361)))</formula>
    </cfRule>
  </conditionalFormatting>
  <conditionalFormatting sqref="H51:J51 J53 J74">
    <cfRule type="beginsWith" dxfId="687" priority="196" stopIfTrue="1" operator="beginsWith" text="Functioning At Risk">
      <formula>LEFT(H51,LEN("Functioning At Risk"))="Functioning At Risk"</formula>
    </cfRule>
    <cfRule type="beginsWith" dxfId="686" priority="197" stopIfTrue="1" operator="beginsWith" text="Not Functioning">
      <formula>LEFT(H51,LEN("Not Functioning"))="Not Functioning"</formula>
    </cfRule>
    <cfRule type="containsText" dxfId="685" priority="198" operator="containsText" text="Functioning">
      <formula>NOT(ISERROR(SEARCH("Functioning",H51)))</formula>
    </cfRule>
  </conditionalFormatting>
  <conditionalFormatting sqref="I59 I73:I80 I52:I53">
    <cfRule type="containsText" dxfId="684" priority="193" stopIfTrue="1" operator="containsText" text="Functioning At Risk">
      <formula>NOT(ISERROR(SEARCH("Functioning At Risk",I52)))</formula>
    </cfRule>
    <cfRule type="containsText" dxfId="683" priority="194" stopIfTrue="1" operator="containsText" text="Not Functioning">
      <formula>NOT(ISERROR(SEARCH("Not Functioning",I52)))</formula>
    </cfRule>
    <cfRule type="containsText" dxfId="682" priority="195" operator="containsText" text="Functioning">
      <formula>NOT(ISERROR(SEARCH("Functioning",I52)))</formula>
    </cfRule>
  </conditionalFormatting>
  <conditionalFormatting sqref="H91:J91 J93 J114">
    <cfRule type="beginsWith" dxfId="681" priority="190" stopIfTrue="1" operator="beginsWith" text="Functioning At Risk">
      <formula>LEFT(H91,LEN("Functioning At Risk"))="Functioning At Risk"</formula>
    </cfRule>
    <cfRule type="beginsWith" dxfId="680" priority="191" stopIfTrue="1" operator="beginsWith" text="Not Functioning">
      <formula>LEFT(H91,LEN("Not Functioning"))="Not Functioning"</formula>
    </cfRule>
    <cfRule type="containsText" dxfId="679" priority="192" operator="containsText" text="Functioning">
      <formula>NOT(ISERROR(SEARCH("Functioning",H91)))</formula>
    </cfRule>
  </conditionalFormatting>
  <conditionalFormatting sqref="I99 I113:I120 I92:I93">
    <cfRule type="containsText" dxfId="678" priority="187" stopIfTrue="1" operator="containsText" text="Functioning At Risk">
      <formula>NOT(ISERROR(SEARCH("Functioning At Risk",I92)))</formula>
    </cfRule>
    <cfRule type="containsText" dxfId="677" priority="188" stopIfTrue="1" operator="containsText" text="Not Functioning">
      <formula>NOT(ISERROR(SEARCH("Not Functioning",I92)))</formula>
    </cfRule>
    <cfRule type="containsText" dxfId="676" priority="189" operator="containsText" text="Functioning">
      <formula>NOT(ISERROR(SEARCH("Functioning",I92)))</formula>
    </cfRule>
  </conditionalFormatting>
  <conditionalFormatting sqref="H131:J131 J133 J154">
    <cfRule type="beginsWith" dxfId="675" priority="184" stopIfTrue="1" operator="beginsWith" text="Functioning At Risk">
      <formula>LEFT(H131,LEN("Functioning At Risk"))="Functioning At Risk"</formula>
    </cfRule>
    <cfRule type="beginsWith" dxfId="674" priority="185" stopIfTrue="1" operator="beginsWith" text="Not Functioning">
      <formula>LEFT(H131,LEN("Not Functioning"))="Not Functioning"</formula>
    </cfRule>
    <cfRule type="containsText" dxfId="673" priority="186" operator="containsText" text="Functioning">
      <formula>NOT(ISERROR(SEARCH("Functioning",H131)))</formula>
    </cfRule>
  </conditionalFormatting>
  <conditionalFormatting sqref="I139 I153:I160 I132:I133">
    <cfRule type="containsText" dxfId="672" priority="181" stopIfTrue="1" operator="containsText" text="Functioning At Risk">
      <formula>NOT(ISERROR(SEARCH("Functioning At Risk",I132)))</formula>
    </cfRule>
    <cfRule type="containsText" dxfId="671" priority="182" stopIfTrue="1" operator="containsText" text="Not Functioning">
      <formula>NOT(ISERROR(SEARCH("Not Functioning",I132)))</formula>
    </cfRule>
    <cfRule type="containsText" dxfId="670" priority="183" operator="containsText" text="Functioning">
      <formula>NOT(ISERROR(SEARCH("Functioning",I132)))</formula>
    </cfRule>
  </conditionalFormatting>
  <conditionalFormatting sqref="H171:J171 J173 J194">
    <cfRule type="beginsWith" dxfId="669" priority="178" stopIfTrue="1" operator="beginsWith" text="Functioning At Risk">
      <formula>LEFT(H171,LEN("Functioning At Risk"))="Functioning At Risk"</formula>
    </cfRule>
    <cfRule type="beginsWith" dxfId="668" priority="179" stopIfTrue="1" operator="beginsWith" text="Not Functioning">
      <formula>LEFT(H171,LEN("Not Functioning"))="Not Functioning"</formula>
    </cfRule>
    <cfRule type="containsText" dxfId="667" priority="180" operator="containsText" text="Functioning">
      <formula>NOT(ISERROR(SEARCH("Functioning",H171)))</formula>
    </cfRule>
  </conditionalFormatting>
  <conditionalFormatting sqref="I179 I193:I200 I172:I173">
    <cfRule type="containsText" dxfId="666" priority="175" stopIfTrue="1" operator="containsText" text="Functioning At Risk">
      <formula>NOT(ISERROR(SEARCH("Functioning At Risk",I172)))</formula>
    </cfRule>
    <cfRule type="containsText" dxfId="665" priority="176" stopIfTrue="1" operator="containsText" text="Not Functioning">
      <formula>NOT(ISERROR(SEARCH("Not Functioning",I172)))</formula>
    </cfRule>
    <cfRule type="containsText" dxfId="664" priority="177" operator="containsText" text="Functioning">
      <formula>NOT(ISERROR(SEARCH("Functioning",I172)))</formula>
    </cfRule>
  </conditionalFormatting>
  <conditionalFormatting sqref="H211:J211 J213 J234">
    <cfRule type="beginsWith" dxfId="663" priority="172" stopIfTrue="1" operator="beginsWith" text="Functioning At Risk">
      <formula>LEFT(H211,LEN("Functioning At Risk"))="Functioning At Risk"</formula>
    </cfRule>
    <cfRule type="beginsWith" dxfId="662" priority="173" stopIfTrue="1" operator="beginsWith" text="Not Functioning">
      <formula>LEFT(H211,LEN("Not Functioning"))="Not Functioning"</formula>
    </cfRule>
    <cfRule type="containsText" dxfId="661" priority="174" operator="containsText" text="Functioning">
      <formula>NOT(ISERROR(SEARCH("Functioning",H211)))</formula>
    </cfRule>
  </conditionalFormatting>
  <conditionalFormatting sqref="I219 I233:I240 I212:I213">
    <cfRule type="containsText" dxfId="660" priority="169" stopIfTrue="1" operator="containsText" text="Functioning At Risk">
      <formula>NOT(ISERROR(SEARCH("Functioning At Risk",I212)))</formula>
    </cfRule>
    <cfRule type="containsText" dxfId="659" priority="170" stopIfTrue="1" operator="containsText" text="Not Functioning">
      <formula>NOT(ISERROR(SEARCH("Not Functioning",I212)))</formula>
    </cfRule>
    <cfRule type="containsText" dxfId="658" priority="171" operator="containsText" text="Functioning">
      <formula>NOT(ISERROR(SEARCH("Functioning",I212)))</formula>
    </cfRule>
  </conditionalFormatting>
  <conditionalFormatting sqref="H251:J251 J253 J274">
    <cfRule type="beginsWith" dxfId="657" priority="166" stopIfTrue="1" operator="beginsWith" text="Functioning At Risk">
      <formula>LEFT(H251,LEN("Functioning At Risk"))="Functioning At Risk"</formula>
    </cfRule>
    <cfRule type="beginsWith" dxfId="656" priority="167" stopIfTrue="1" operator="beginsWith" text="Not Functioning">
      <formula>LEFT(H251,LEN("Not Functioning"))="Not Functioning"</formula>
    </cfRule>
    <cfRule type="containsText" dxfId="655" priority="168" operator="containsText" text="Functioning">
      <formula>NOT(ISERROR(SEARCH("Functioning",H251)))</formula>
    </cfRule>
  </conditionalFormatting>
  <conditionalFormatting sqref="I259 I273:I280 I252:I253">
    <cfRule type="containsText" dxfId="654" priority="163" stopIfTrue="1" operator="containsText" text="Functioning At Risk">
      <formula>NOT(ISERROR(SEARCH("Functioning At Risk",I252)))</formula>
    </cfRule>
    <cfRule type="containsText" dxfId="653" priority="164" stopIfTrue="1" operator="containsText" text="Not Functioning">
      <formula>NOT(ISERROR(SEARCH("Not Functioning",I252)))</formula>
    </cfRule>
    <cfRule type="containsText" dxfId="652" priority="165" operator="containsText" text="Functioning">
      <formula>NOT(ISERROR(SEARCH("Functioning",I252)))</formula>
    </cfRule>
  </conditionalFormatting>
  <conditionalFormatting sqref="H291:J291 J293 J314">
    <cfRule type="beginsWith" dxfId="651" priority="160" stopIfTrue="1" operator="beginsWith" text="Functioning At Risk">
      <formula>LEFT(H291,LEN("Functioning At Risk"))="Functioning At Risk"</formula>
    </cfRule>
    <cfRule type="beginsWith" dxfId="650" priority="161" stopIfTrue="1" operator="beginsWith" text="Not Functioning">
      <formula>LEFT(H291,LEN("Not Functioning"))="Not Functioning"</formula>
    </cfRule>
    <cfRule type="containsText" dxfId="649" priority="162" operator="containsText" text="Functioning">
      <formula>NOT(ISERROR(SEARCH("Functioning",H291)))</formula>
    </cfRule>
  </conditionalFormatting>
  <conditionalFormatting sqref="I299 I313:I320 I292:I293">
    <cfRule type="containsText" dxfId="648" priority="157" stopIfTrue="1" operator="containsText" text="Functioning At Risk">
      <formula>NOT(ISERROR(SEARCH("Functioning At Risk",I292)))</formula>
    </cfRule>
    <cfRule type="containsText" dxfId="647" priority="158" stopIfTrue="1" operator="containsText" text="Not Functioning">
      <formula>NOT(ISERROR(SEARCH("Not Functioning",I292)))</formula>
    </cfRule>
    <cfRule type="containsText" dxfId="646" priority="159" operator="containsText" text="Functioning">
      <formula>NOT(ISERROR(SEARCH("Functioning",I292)))</formula>
    </cfRule>
  </conditionalFormatting>
  <conditionalFormatting sqref="H331:J331 J333 J354">
    <cfRule type="beginsWith" dxfId="645" priority="154" stopIfTrue="1" operator="beginsWith" text="Functioning At Risk">
      <formula>LEFT(H331,LEN("Functioning At Risk"))="Functioning At Risk"</formula>
    </cfRule>
    <cfRule type="beginsWith" dxfId="644" priority="155" stopIfTrue="1" operator="beginsWith" text="Not Functioning">
      <formula>LEFT(H331,LEN("Not Functioning"))="Not Functioning"</formula>
    </cfRule>
    <cfRule type="containsText" dxfId="643" priority="156" operator="containsText" text="Functioning">
      <formula>NOT(ISERROR(SEARCH("Functioning",H331)))</formula>
    </cfRule>
  </conditionalFormatting>
  <conditionalFormatting sqref="I339 I353:I360 I332:I333">
    <cfRule type="containsText" dxfId="642" priority="151" stopIfTrue="1" operator="containsText" text="Functioning At Risk">
      <formula>NOT(ISERROR(SEARCH("Functioning At Risk",I332)))</formula>
    </cfRule>
    <cfRule type="containsText" dxfId="641" priority="152" stopIfTrue="1" operator="containsText" text="Not Functioning">
      <formula>NOT(ISERROR(SEARCH("Not Functioning",I332)))</formula>
    </cfRule>
    <cfRule type="containsText" dxfId="640" priority="153" operator="containsText" text="Functioning">
      <formula>NOT(ISERROR(SEARCH("Functioning",I332)))</formula>
    </cfRule>
  </conditionalFormatting>
  <conditionalFormatting sqref="H371:J371 J373 J394">
    <cfRule type="beginsWith" dxfId="639" priority="148" stopIfTrue="1" operator="beginsWith" text="Functioning At Risk">
      <formula>LEFT(H371,LEN("Functioning At Risk"))="Functioning At Risk"</formula>
    </cfRule>
    <cfRule type="beginsWith" dxfId="638" priority="149" stopIfTrue="1" operator="beginsWith" text="Not Functioning">
      <formula>LEFT(H371,LEN("Not Functioning"))="Not Functioning"</formula>
    </cfRule>
    <cfRule type="containsText" dxfId="637" priority="150" operator="containsText" text="Functioning">
      <formula>NOT(ISERROR(SEARCH("Functioning",H371)))</formula>
    </cfRule>
  </conditionalFormatting>
  <conditionalFormatting sqref="I379 I393:I400 I372:I373">
    <cfRule type="containsText" dxfId="636" priority="145" stopIfTrue="1" operator="containsText" text="Functioning At Risk">
      <formula>NOT(ISERROR(SEARCH("Functioning At Risk",I372)))</formula>
    </cfRule>
    <cfRule type="containsText" dxfId="635" priority="146" stopIfTrue="1" operator="containsText" text="Not Functioning">
      <formula>NOT(ISERROR(SEARCH("Not Functioning",I372)))</formula>
    </cfRule>
    <cfRule type="containsText" dxfId="634" priority="147" operator="containsText" text="Functioning">
      <formula>NOT(ISERROR(SEARCH("Functioning",I372)))</formula>
    </cfRule>
  </conditionalFormatting>
  <conditionalFormatting sqref="D88">
    <cfRule type="beginsWith" dxfId="633" priority="142" stopIfTrue="1" operator="beginsWith" text="Functioning At Risk">
      <formula>LEFT(D88,LEN("Functioning At Risk"))="Functioning At Risk"</formula>
    </cfRule>
    <cfRule type="beginsWith" dxfId="632" priority="143" stopIfTrue="1" operator="beginsWith" text="Not Functioning">
      <formula>LEFT(D88,LEN("Not Functioning"))="Not Functioning"</formula>
    </cfRule>
    <cfRule type="containsText" dxfId="631" priority="144" operator="containsText" text="Functioning">
      <formula>NOT(ISERROR(SEARCH("Functioning",D88)))</formula>
    </cfRule>
  </conditionalFormatting>
  <conditionalFormatting sqref="B48">
    <cfRule type="beginsWith" dxfId="630" priority="139" stopIfTrue="1" operator="beginsWith" text="Functioning At Risk">
      <formula>LEFT(B48,LEN("Functioning At Risk"))="Functioning At Risk"</formula>
    </cfRule>
    <cfRule type="beginsWith" dxfId="629" priority="140" stopIfTrue="1" operator="beginsWith" text="Not Functioning">
      <formula>LEFT(B48,LEN("Not Functioning"))="Not Functioning"</formula>
    </cfRule>
    <cfRule type="containsText" dxfId="628" priority="141" operator="containsText" text="Functioning">
      <formula>NOT(ISERROR(SEARCH("Functioning",B48)))</formula>
    </cfRule>
  </conditionalFormatting>
  <conditionalFormatting sqref="B88">
    <cfRule type="beginsWith" dxfId="627" priority="136" stopIfTrue="1" operator="beginsWith" text="Functioning At Risk">
      <formula>LEFT(B88,LEN("Functioning At Risk"))="Functioning At Risk"</formula>
    </cfRule>
    <cfRule type="beginsWith" dxfId="626" priority="137" stopIfTrue="1" operator="beginsWith" text="Not Functioning">
      <formula>LEFT(B88,LEN("Not Functioning"))="Not Functioning"</formula>
    </cfRule>
    <cfRule type="containsText" dxfId="625" priority="138" operator="containsText" text="Functioning">
      <formula>NOT(ISERROR(SEARCH("Functioning",B88)))</formula>
    </cfRule>
  </conditionalFormatting>
  <conditionalFormatting sqref="B128">
    <cfRule type="beginsWith" dxfId="624" priority="133" stopIfTrue="1" operator="beginsWith" text="Functioning At Risk">
      <formula>LEFT(B128,LEN("Functioning At Risk"))="Functioning At Risk"</formula>
    </cfRule>
    <cfRule type="beginsWith" dxfId="623" priority="134" stopIfTrue="1" operator="beginsWith" text="Not Functioning">
      <formula>LEFT(B128,LEN("Not Functioning"))="Not Functioning"</formula>
    </cfRule>
    <cfRule type="containsText" dxfId="622" priority="135" operator="containsText" text="Functioning">
      <formula>NOT(ISERROR(SEARCH("Functioning",B128)))</formula>
    </cfRule>
  </conditionalFormatting>
  <conditionalFormatting sqref="B168">
    <cfRule type="beginsWith" dxfId="621" priority="130" stopIfTrue="1" operator="beginsWith" text="Functioning At Risk">
      <formula>LEFT(B168,LEN("Functioning At Risk"))="Functioning At Risk"</formula>
    </cfRule>
    <cfRule type="beginsWith" dxfId="620" priority="131" stopIfTrue="1" operator="beginsWith" text="Not Functioning">
      <formula>LEFT(B168,LEN("Not Functioning"))="Not Functioning"</formula>
    </cfRule>
    <cfRule type="containsText" dxfId="619" priority="132" operator="containsText" text="Functioning">
      <formula>NOT(ISERROR(SEARCH("Functioning",B168)))</formula>
    </cfRule>
  </conditionalFormatting>
  <conditionalFormatting sqref="B208">
    <cfRule type="beginsWith" dxfId="618" priority="127" stopIfTrue="1" operator="beginsWith" text="Functioning At Risk">
      <formula>LEFT(B208,LEN("Functioning At Risk"))="Functioning At Risk"</formula>
    </cfRule>
    <cfRule type="beginsWith" dxfId="617" priority="128" stopIfTrue="1" operator="beginsWith" text="Not Functioning">
      <formula>LEFT(B208,LEN("Not Functioning"))="Not Functioning"</formula>
    </cfRule>
    <cfRule type="containsText" dxfId="616" priority="129" operator="containsText" text="Functioning">
      <formula>NOT(ISERROR(SEARCH("Functioning",B208)))</formula>
    </cfRule>
  </conditionalFormatting>
  <conditionalFormatting sqref="B248">
    <cfRule type="beginsWith" dxfId="615" priority="124" stopIfTrue="1" operator="beginsWith" text="Functioning At Risk">
      <formula>LEFT(B248,LEN("Functioning At Risk"))="Functioning At Risk"</formula>
    </cfRule>
    <cfRule type="beginsWith" dxfId="614" priority="125" stopIfTrue="1" operator="beginsWith" text="Not Functioning">
      <formula>LEFT(B248,LEN("Not Functioning"))="Not Functioning"</formula>
    </cfRule>
    <cfRule type="containsText" dxfId="613" priority="126" operator="containsText" text="Functioning">
      <formula>NOT(ISERROR(SEARCH("Functioning",B248)))</formula>
    </cfRule>
  </conditionalFormatting>
  <conditionalFormatting sqref="B288">
    <cfRule type="beginsWith" dxfId="612" priority="121" stopIfTrue="1" operator="beginsWith" text="Functioning At Risk">
      <formula>LEFT(B288,LEN("Functioning At Risk"))="Functioning At Risk"</formula>
    </cfRule>
    <cfRule type="beginsWith" dxfId="611" priority="122" stopIfTrue="1" operator="beginsWith" text="Not Functioning">
      <formula>LEFT(B288,LEN("Not Functioning"))="Not Functioning"</formula>
    </cfRule>
    <cfRule type="containsText" dxfId="610" priority="123" operator="containsText" text="Functioning">
      <formula>NOT(ISERROR(SEARCH("Functioning",B288)))</formula>
    </cfRule>
  </conditionalFormatting>
  <conditionalFormatting sqref="B328">
    <cfRule type="beginsWith" dxfId="609" priority="118" stopIfTrue="1" operator="beginsWith" text="Functioning At Risk">
      <formula>LEFT(B328,LEN("Functioning At Risk"))="Functioning At Risk"</formula>
    </cfRule>
    <cfRule type="beginsWith" dxfId="608" priority="119" stopIfTrue="1" operator="beginsWith" text="Not Functioning">
      <formula>LEFT(B328,LEN("Not Functioning"))="Not Functioning"</formula>
    </cfRule>
    <cfRule type="containsText" dxfId="607" priority="120" operator="containsText" text="Functioning">
      <formula>NOT(ISERROR(SEARCH("Functioning",B328)))</formula>
    </cfRule>
  </conditionalFormatting>
  <conditionalFormatting sqref="B368">
    <cfRule type="beginsWith" dxfId="606" priority="115" stopIfTrue="1" operator="beginsWith" text="Functioning At Risk">
      <formula>LEFT(B368,LEN("Functioning At Risk"))="Functioning At Risk"</formula>
    </cfRule>
    <cfRule type="beginsWith" dxfId="605" priority="116" stopIfTrue="1" operator="beginsWith" text="Not Functioning">
      <formula>LEFT(B368,LEN("Not Functioning"))="Not Functioning"</formula>
    </cfRule>
    <cfRule type="containsText" dxfId="604" priority="117" operator="containsText" text="Functioning">
      <formula>NOT(ISERROR(SEARCH("Functioning",B368)))</formula>
    </cfRule>
  </conditionalFormatting>
  <conditionalFormatting sqref="D364">
    <cfRule type="beginsWith" dxfId="603" priority="58" stopIfTrue="1" operator="beginsWith" text="Functioning At Risk">
      <formula>LEFT(D364,LEN("Functioning At Risk"))="Functioning At Risk"</formula>
    </cfRule>
    <cfRule type="beginsWith" dxfId="602" priority="59" stopIfTrue="1" operator="beginsWith" text="Not Functioning">
      <formula>LEFT(D364,LEN("Not Functioning"))="Not Functioning"</formula>
    </cfRule>
    <cfRule type="containsText" dxfId="601" priority="60" operator="containsText" text="Functioning">
      <formula>NOT(ISERROR(SEARCH("Functioning",D364)))</formula>
    </cfRule>
  </conditionalFormatting>
  <conditionalFormatting sqref="D365">
    <cfRule type="beginsWith" dxfId="600" priority="55" stopIfTrue="1" operator="beginsWith" text="Functioning At Risk">
      <formula>LEFT(D365,LEN("Functioning At Risk"))="Functioning At Risk"</formula>
    </cfRule>
    <cfRule type="beginsWith" dxfId="599" priority="56" stopIfTrue="1" operator="beginsWith" text="Not Functioning">
      <formula>LEFT(D365,LEN("Not Functioning"))="Not Functioning"</formula>
    </cfRule>
    <cfRule type="containsText" dxfId="598" priority="57" operator="containsText" text="Functioning">
      <formula>NOT(ISERROR(SEARCH("Functioning",D365)))</formula>
    </cfRule>
  </conditionalFormatting>
  <conditionalFormatting sqref="D44">
    <cfRule type="beginsWith" dxfId="597" priority="106" stopIfTrue="1" operator="beginsWith" text="Functioning At Risk">
      <formula>LEFT(D44,LEN("Functioning At Risk"))="Functioning At Risk"</formula>
    </cfRule>
    <cfRule type="beginsWith" dxfId="596" priority="107" stopIfTrue="1" operator="beginsWith" text="Not Functioning">
      <formula>LEFT(D44,LEN("Not Functioning"))="Not Functioning"</formula>
    </cfRule>
    <cfRule type="containsText" dxfId="595" priority="108" operator="containsText" text="Functioning">
      <formula>NOT(ISERROR(SEARCH("Functioning",D44)))</formula>
    </cfRule>
  </conditionalFormatting>
  <conditionalFormatting sqref="D45">
    <cfRule type="beginsWith" dxfId="594" priority="103" stopIfTrue="1" operator="beginsWith" text="Functioning At Risk">
      <formula>LEFT(D45,LEN("Functioning At Risk"))="Functioning At Risk"</formula>
    </cfRule>
    <cfRule type="beginsWith" dxfId="593" priority="104" stopIfTrue="1" operator="beginsWith" text="Not Functioning">
      <formula>LEFT(D45,LEN("Not Functioning"))="Not Functioning"</formula>
    </cfRule>
    <cfRule type="containsText" dxfId="592" priority="105" operator="containsText" text="Functioning">
      <formula>NOT(ISERROR(SEARCH("Functioning",D45)))</formula>
    </cfRule>
  </conditionalFormatting>
  <conditionalFormatting sqref="D84">
    <cfRule type="beginsWith" dxfId="591" priority="100" stopIfTrue="1" operator="beginsWith" text="Functioning At Risk">
      <formula>LEFT(D84,LEN("Functioning At Risk"))="Functioning At Risk"</formula>
    </cfRule>
    <cfRule type="beginsWith" dxfId="590" priority="101" stopIfTrue="1" operator="beginsWith" text="Not Functioning">
      <formula>LEFT(D84,LEN("Not Functioning"))="Not Functioning"</formula>
    </cfRule>
    <cfRule type="containsText" dxfId="589" priority="102" operator="containsText" text="Functioning">
      <formula>NOT(ISERROR(SEARCH("Functioning",D84)))</formula>
    </cfRule>
  </conditionalFormatting>
  <conditionalFormatting sqref="D85">
    <cfRule type="beginsWith" dxfId="588" priority="97" stopIfTrue="1" operator="beginsWith" text="Functioning At Risk">
      <formula>LEFT(D85,LEN("Functioning At Risk"))="Functioning At Risk"</formula>
    </cfRule>
    <cfRule type="beginsWith" dxfId="587" priority="98" stopIfTrue="1" operator="beginsWith" text="Not Functioning">
      <formula>LEFT(D85,LEN("Not Functioning"))="Not Functioning"</formula>
    </cfRule>
    <cfRule type="containsText" dxfId="586" priority="99" operator="containsText" text="Functioning">
      <formula>NOT(ISERROR(SEARCH("Functioning",D85)))</formula>
    </cfRule>
  </conditionalFormatting>
  <conditionalFormatting sqref="D124">
    <cfRule type="beginsWith" dxfId="585" priority="94" stopIfTrue="1" operator="beginsWith" text="Functioning At Risk">
      <formula>LEFT(D124,LEN("Functioning At Risk"))="Functioning At Risk"</formula>
    </cfRule>
    <cfRule type="beginsWith" dxfId="584" priority="95" stopIfTrue="1" operator="beginsWith" text="Not Functioning">
      <formula>LEFT(D124,LEN("Not Functioning"))="Not Functioning"</formula>
    </cfRule>
    <cfRule type="containsText" dxfId="583" priority="96" operator="containsText" text="Functioning">
      <formula>NOT(ISERROR(SEARCH("Functioning",D124)))</formula>
    </cfRule>
  </conditionalFormatting>
  <conditionalFormatting sqref="D125">
    <cfRule type="beginsWith" dxfId="582" priority="91" stopIfTrue="1" operator="beginsWith" text="Functioning At Risk">
      <formula>LEFT(D125,LEN("Functioning At Risk"))="Functioning At Risk"</formula>
    </cfRule>
    <cfRule type="beginsWith" dxfId="581" priority="92" stopIfTrue="1" operator="beginsWith" text="Not Functioning">
      <formula>LEFT(D125,LEN("Not Functioning"))="Not Functioning"</formula>
    </cfRule>
    <cfRule type="containsText" dxfId="580" priority="93" operator="containsText" text="Functioning">
      <formula>NOT(ISERROR(SEARCH("Functioning",D125)))</formula>
    </cfRule>
  </conditionalFormatting>
  <conditionalFormatting sqref="D164">
    <cfRule type="beginsWith" dxfId="579" priority="88" stopIfTrue="1" operator="beginsWith" text="Functioning At Risk">
      <formula>LEFT(D164,LEN("Functioning At Risk"))="Functioning At Risk"</formula>
    </cfRule>
    <cfRule type="beginsWith" dxfId="578" priority="89" stopIfTrue="1" operator="beginsWith" text="Not Functioning">
      <formula>LEFT(D164,LEN("Not Functioning"))="Not Functioning"</formula>
    </cfRule>
    <cfRule type="containsText" dxfId="577" priority="90" operator="containsText" text="Functioning">
      <formula>NOT(ISERROR(SEARCH("Functioning",D164)))</formula>
    </cfRule>
  </conditionalFormatting>
  <conditionalFormatting sqref="D165">
    <cfRule type="beginsWith" dxfId="576" priority="85" stopIfTrue="1" operator="beginsWith" text="Functioning At Risk">
      <formula>LEFT(D165,LEN("Functioning At Risk"))="Functioning At Risk"</formula>
    </cfRule>
    <cfRule type="beginsWith" dxfId="575" priority="86" stopIfTrue="1" operator="beginsWith" text="Not Functioning">
      <formula>LEFT(D165,LEN("Not Functioning"))="Not Functioning"</formula>
    </cfRule>
    <cfRule type="containsText" dxfId="574" priority="87" operator="containsText" text="Functioning">
      <formula>NOT(ISERROR(SEARCH("Functioning",D165)))</formula>
    </cfRule>
  </conditionalFormatting>
  <conditionalFormatting sqref="D204">
    <cfRule type="beginsWith" dxfId="573" priority="82" stopIfTrue="1" operator="beginsWith" text="Functioning At Risk">
      <formula>LEFT(D204,LEN("Functioning At Risk"))="Functioning At Risk"</formula>
    </cfRule>
    <cfRule type="beginsWith" dxfId="572" priority="83" stopIfTrue="1" operator="beginsWith" text="Not Functioning">
      <formula>LEFT(D204,LEN("Not Functioning"))="Not Functioning"</formula>
    </cfRule>
    <cfRule type="containsText" dxfId="571" priority="84" operator="containsText" text="Functioning">
      <formula>NOT(ISERROR(SEARCH("Functioning",D204)))</formula>
    </cfRule>
  </conditionalFormatting>
  <conditionalFormatting sqref="D205">
    <cfRule type="beginsWith" dxfId="570" priority="79" stopIfTrue="1" operator="beginsWith" text="Functioning At Risk">
      <formula>LEFT(D205,LEN("Functioning At Risk"))="Functioning At Risk"</formula>
    </cfRule>
    <cfRule type="beginsWith" dxfId="569" priority="80" stopIfTrue="1" operator="beginsWith" text="Not Functioning">
      <formula>LEFT(D205,LEN("Not Functioning"))="Not Functioning"</formula>
    </cfRule>
    <cfRule type="containsText" dxfId="568" priority="81" operator="containsText" text="Functioning">
      <formula>NOT(ISERROR(SEARCH("Functioning",D205)))</formula>
    </cfRule>
  </conditionalFormatting>
  <conditionalFormatting sqref="D244">
    <cfRule type="beginsWith" dxfId="567" priority="76" stopIfTrue="1" operator="beginsWith" text="Functioning At Risk">
      <formula>LEFT(D244,LEN("Functioning At Risk"))="Functioning At Risk"</formula>
    </cfRule>
    <cfRule type="beginsWith" dxfId="566" priority="77" stopIfTrue="1" operator="beginsWith" text="Not Functioning">
      <formula>LEFT(D244,LEN("Not Functioning"))="Not Functioning"</formula>
    </cfRule>
    <cfRule type="containsText" dxfId="565" priority="78" operator="containsText" text="Functioning">
      <formula>NOT(ISERROR(SEARCH("Functioning",D244)))</formula>
    </cfRule>
  </conditionalFormatting>
  <conditionalFormatting sqref="D245">
    <cfRule type="beginsWith" dxfId="564" priority="73" stopIfTrue="1" operator="beginsWith" text="Functioning At Risk">
      <formula>LEFT(D245,LEN("Functioning At Risk"))="Functioning At Risk"</formula>
    </cfRule>
    <cfRule type="beginsWith" dxfId="563" priority="74" stopIfTrue="1" operator="beginsWith" text="Not Functioning">
      <formula>LEFT(D245,LEN("Not Functioning"))="Not Functioning"</formula>
    </cfRule>
    <cfRule type="containsText" dxfId="562" priority="75" operator="containsText" text="Functioning">
      <formula>NOT(ISERROR(SEARCH("Functioning",D245)))</formula>
    </cfRule>
  </conditionalFormatting>
  <conditionalFormatting sqref="D284">
    <cfRule type="beginsWith" dxfId="561" priority="70" stopIfTrue="1" operator="beginsWith" text="Functioning At Risk">
      <formula>LEFT(D284,LEN("Functioning At Risk"))="Functioning At Risk"</formula>
    </cfRule>
    <cfRule type="beginsWith" dxfId="560" priority="71" stopIfTrue="1" operator="beginsWith" text="Not Functioning">
      <formula>LEFT(D284,LEN("Not Functioning"))="Not Functioning"</formula>
    </cfRule>
    <cfRule type="containsText" dxfId="559" priority="72" operator="containsText" text="Functioning">
      <formula>NOT(ISERROR(SEARCH("Functioning",D284)))</formula>
    </cfRule>
  </conditionalFormatting>
  <conditionalFormatting sqref="D285">
    <cfRule type="beginsWith" dxfId="558" priority="67" stopIfTrue="1" operator="beginsWith" text="Functioning At Risk">
      <formula>LEFT(D285,LEN("Functioning At Risk"))="Functioning At Risk"</formula>
    </cfRule>
    <cfRule type="beginsWith" dxfId="557" priority="68" stopIfTrue="1" operator="beginsWith" text="Not Functioning">
      <formula>LEFT(D285,LEN("Not Functioning"))="Not Functioning"</formula>
    </cfRule>
    <cfRule type="containsText" dxfId="556" priority="69" operator="containsText" text="Functioning">
      <formula>NOT(ISERROR(SEARCH("Functioning",D285)))</formula>
    </cfRule>
  </conditionalFormatting>
  <conditionalFormatting sqref="D324">
    <cfRule type="beginsWith" dxfId="555" priority="64" stopIfTrue="1" operator="beginsWith" text="Functioning At Risk">
      <formula>LEFT(D324,LEN("Functioning At Risk"))="Functioning At Risk"</formula>
    </cfRule>
    <cfRule type="beginsWith" dxfId="554" priority="65" stopIfTrue="1" operator="beginsWith" text="Not Functioning">
      <formula>LEFT(D324,LEN("Not Functioning"))="Not Functioning"</formula>
    </cfRule>
    <cfRule type="containsText" dxfId="553" priority="66" operator="containsText" text="Functioning">
      <formula>NOT(ISERROR(SEARCH("Functioning",D324)))</formula>
    </cfRule>
  </conditionalFormatting>
  <conditionalFormatting sqref="D325">
    <cfRule type="beginsWith" dxfId="552" priority="61" stopIfTrue="1" operator="beginsWith" text="Functioning At Risk">
      <formula>LEFT(D325,LEN("Functioning At Risk"))="Functioning At Risk"</formula>
    </cfRule>
    <cfRule type="beginsWith" dxfId="551" priority="62" stopIfTrue="1" operator="beginsWith" text="Not Functioning">
      <formula>LEFT(D325,LEN("Not Functioning"))="Not Functioning"</formula>
    </cfRule>
    <cfRule type="containsText" dxfId="550" priority="63" operator="containsText" text="Functioning">
      <formula>NOT(ISERROR(SEARCH("Functioning",D325)))</formula>
    </cfRule>
  </conditionalFormatting>
  <conditionalFormatting sqref="B47">
    <cfRule type="beginsWith" dxfId="549" priority="52" stopIfTrue="1" operator="beginsWith" text="Functioning At Risk">
      <formula>LEFT(B47,LEN("Functioning At Risk"))="Functioning At Risk"</formula>
    </cfRule>
    <cfRule type="beginsWith" dxfId="548" priority="53" stopIfTrue="1" operator="beginsWith" text="Not Functioning">
      <formula>LEFT(B47,LEN("Not Functioning"))="Not Functioning"</formula>
    </cfRule>
    <cfRule type="containsText" dxfId="547" priority="54" operator="containsText" text="Functioning">
      <formula>NOT(ISERROR(SEARCH("Functioning",B47)))</formula>
    </cfRule>
  </conditionalFormatting>
  <conditionalFormatting sqref="B46">
    <cfRule type="beginsWith" dxfId="546" priority="49" stopIfTrue="1" operator="beginsWith" text="Functioning At Risk">
      <formula>LEFT(B46,LEN("Functioning At Risk"))="Functioning At Risk"</formula>
    </cfRule>
    <cfRule type="beginsWith" dxfId="545" priority="50" stopIfTrue="1" operator="beginsWith" text="Not Functioning">
      <formula>LEFT(B46,LEN("Not Functioning"))="Not Functioning"</formula>
    </cfRule>
    <cfRule type="containsText" dxfId="544" priority="51" operator="containsText" text="Functioning">
      <formula>NOT(ISERROR(SEARCH("Functioning",B46)))</formula>
    </cfRule>
  </conditionalFormatting>
  <conditionalFormatting sqref="B87">
    <cfRule type="beginsWith" dxfId="543" priority="46" stopIfTrue="1" operator="beginsWith" text="Functioning At Risk">
      <formula>LEFT(B87,LEN("Functioning At Risk"))="Functioning At Risk"</formula>
    </cfRule>
    <cfRule type="beginsWith" dxfId="542" priority="47" stopIfTrue="1" operator="beginsWith" text="Not Functioning">
      <formula>LEFT(B87,LEN("Not Functioning"))="Not Functioning"</formula>
    </cfRule>
    <cfRule type="containsText" dxfId="541" priority="48" operator="containsText" text="Functioning">
      <formula>NOT(ISERROR(SEARCH("Functioning",B87)))</formula>
    </cfRule>
  </conditionalFormatting>
  <conditionalFormatting sqref="B86">
    <cfRule type="beginsWith" dxfId="540" priority="43" stopIfTrue="1" operator="beginsWith" text="Functioning At Risk">
      <formula>LEFT(B86,LEN("Functioning At Risk"))="Functioning At Risk"</formula>
    </cfRule>
    <cfRule type="beginsWith" dxfId="539" priority="44" stopIfTrue="1" operator="beginsWith" text="Not Functioning">
      <formula>LEFT(B86,LEN("Not Functioning"))="Not Functioning"</formula>
    </cfRule>
    <cfRule type="containsText" dxfId="538" priority="45" operator="containsText" text="Functioning">
      <formula>NOT(ISERROR(SEARCH("Functioning",B86)))</formula>
    </cfRule>
  </conditionalFormatting>
  <conditionalFormatting sqref="B127">
    <cfRule type="beginsWith" dxfId="537" priority="40" stopIfTrue="1" operator="beginsWith" text="Functioning At Risk">
      <formula>LEFT(B127,LEN("Functioning At Risk"))="Functioning At Risk"</formula>
    </cfRule>
    <cfRule type="beginsWith" dxfId="536" priority="41" stopIfTrue="1" operator="beginsWith" text="Not Functioning">
      <formula>LEFT(B127,LEN("Not Functioning"))="Not Functioning"</formula>
    </cfRule>
    <cfRule type="containsText" dxfId="535" priority="42" operator="containsText" text="Functioning">
      <formula>NOT(ISERROR(SEARCH("Functioning",B127)))</formula>
    </cfRule>
  </conditionalFormatting>
  <conditionalFormatting sqref="B126">
    <cfRule type="beginsWith" dxfId="534" priority="37" stopIfTrue="1" operator="beginsWith" text="Functioning At Risk">
      <formula>LEFT(B126,LEN("Functioning At Risk"))="Functioning At Risk"</formula>
    </cfRule>
    <cfRule type="beginsWith" dxfId="533" priority="38" stopIfTrue="1" operator="beginsWith" text="Not Functioning">
      <formula>LEFT(B126,LEN("Not Functioning"))="Not Functioning"</formula>
    </cfRule>
    <cfRule type="containsText" dxfId="532" priority="39" operator="containsText" text="Functioning">
      <formula>NOT(ISERROR(SEARCH("Functioning",B126)))</formula>
    </cfRule>
  </conditionalFormatting>
  <conditionalFormatting sqref="B167">
    <cfRule type="beginsWith" dxfId="531" priority="34" stopIfTrue="1" operator="beginsWith" text="Functioning At Risk">
      <formula>LEFT(B167,LEN("Functioning At Risk"))="Functioning At Risk"</formula>
    </cfRule>
    <cfRule type="beginsWith" dxfId="530" priority="35" stopIfTrue="1" operator="beginsWith" text="Not Functioning">
      <formula>LEFT(B167,LEN("Not Functioning"))="Not Functioning"</formula>
    </cfRule>
    <cfRule type="containsText" dxfId="529" priority="36" operator="containsText" text="Functioning">
      <formula>NOT(ISERROR(SEARCH("Functioning",B167)))</formula>
    </cfRule>
  </conditionalFormatting>
  <conditionalFormatting sqref="B166">
    <cfRule type="beginsWith" dxfId="528" priority="31" stopIfTrue="1" operator="beginsWith" text="Functioning At Risk">
      <formula>LEFT(B166,LEN("Functioning At Risk"))="Functioning At Risk"</formula>
    </cfRule>
    <cfRule type="beginsWith" dxfId="527" priority="32" stopIfTrue="1" operator="beginsWith" text="Not Functioning">
      <formula>LEFT(B166,LEN("Not Functioning"))="Not Functioning"</formula>
    </cfRule>
    <cfRule type="containsText" dxfId="526" priority="33" operator="containsText" text="Functioning">
      <formula>NOT(ISERROR(SEARCH("Functioning",B166)))</formula>
    </cfRule>
  </conditionalFormatting>
  <conditionalFormatting sqref="B207">
    <cfRule type="beginsWith" dxfId="525" priority="28" stopIfTrue="1" operator="beginsWith" text="Functioning At Risk">
      <formula>LEFT(B207,LEN("Functioning At Risk"))="Functioning At Risk"</formula>
    </cfRule>
    <cfRule type="beginsWith" dxfId="524" priority="29" stopIfTrue="1" operator="beginsWith" text="Not Functioning">
      <formula>LEFT(B207,LEN("Not Functioning"))="Not Functioning"</formula>
    </cfRule>
    <cfRule type="containsText" dxfId="523" priority="30" operator="containsText" text="Functioning">
      <formula>NOT(ISERROR(SEARCH("Functioning",B207)))</formula>
    </cfRule>
  </conditionalFormatting>
  <conditionalFormatting sqref="B206">
    <cfRule type="beginsWith" dxfId="522" priority="25" stopIfTrue="1" operator="beginsWith" text="Functioning At Risk">
      <formula>LEFT(B206,LEN("Functioning At Risk"))="Functioning At Risk"</formula>
    </cfRule>
    <cfRule type="beginsWith" dxfId="521" priority="26" stopIfTrue="1" operator="beginsWith" text="Not Functioning">
      <formula>LEFT(B206,LEN("Not Functioning"))="Not Functioning"</formula>
    </cfRule>
    <cfRule type="containsText" dxfId="520" priority="27" operator="containsText" text="Functioning">
      <formula>NOT(ISERROR(SEARCH("Functioning",B206)))</formula>
    </cfRule>
  </conditionalFormatting>
  <conditionalFormatting sqref="B247">
    <cfRule type="beginsWith" dxfId="519" priority="22" stopIfTrue="1" operator="beginsWith" text="Functioning At Risk">
      <formula>LEFT(B247,LEN("Functioning At Risk"))="Functioning At Risk"</formula>
    </cfRule>
    <cfRule type="beginsWith" dxfId="518" priority="23" stopIfTrue="1" operator="beginsWith" text="Not Functioning">
      <formula>LEFT(B247,LEN("Not Functioning"))="Not Functioning"</formula>
    </cfRule>
    <cfRule type="containsText" dxfId="517" priority="24" operator="containsText" text="Functioning">
      <formula>NOT(ISERROR(SEARCH("Functioning",B247)))</formula>
    </cfRule>
  </conditionalFormatting>
  <conditionalFormatting sqref="B246">
    <cfRule type="beginsWith" dxfId="516" priority="19" stopIfTrue="1" operator="beginsWith" text="Functioning At Risk">
      <formula>LEFT(B246,LEN("Functioning At Risk"))="Functioning At Risk"</formula>
    </cfRule>
    <cfRule type="beginsWith" dxfId="515" priority="20" stopIfTrue="1" operator="beginsWith" text="Not Functioning">
      <formula>LEFT(B246,LEN("Not Functioning"))="Not Functioning"</formula>
    </cfRule>
    <cfRule type="containsText" dxfId="514" priority="21" operator="containsText" text="Functioning">
      <formula>NOT(ISERROR(SEARCH("Functioning",B246)))</formula>
    </cfRule>
  </conditionalFormatting>
  <conditionalFormatting sqref="B287">
    <cfRule type="beginsWith" dxfId="513" priority="16" stopIfTrue="1" operator="beginsWith" text="Functioning At Risk">
      <formula>LEFT(B287,LEN("Functioning At Risk"))="Functioning At Risk"</formula>
    </cfRule>
    <cfRule type="beginsWith" dxfId="512" priority="17" stopIfTrue="1" operator="beginsWith" text="Not Functioning">
      <formula>LEFT(B287,LEN("Not Functioning"))="Not Functioning"</formula>
    </cfRule>
    <cfRule type="containsText" dxfId="511" priority="18" operator="containsText" text="Functioning">
      <formula>NOT(ISERROR(SEARCH("Functioning",B287)))</formula>
    </cfRule>
  </conditionalFormatting>
  <conditionalFormatting sqref="B286">
    <cfRule type="beginsWith" dxfId="510" priority="13" stopIfTrue="1" operator="beginsWith" text="Functioning At Risk">
      <formula>LEFT(B286,LEN("Functioning At Risk"))="Functioning At Risk"</formula>
    </cfRule>
    <cfRule type="beginsWith" dxfId="509" priority="14" stopIfTrue="1" operator="beginsWith" text="Not Functioning">
      <formula>LEFT(B286,LEN("Not Functioning"))="Not Functioning"</formula>
    </cfRule>
    <cfRule type="containsText" dxfId="508" priority="15" operator="containsText" text="Functioning">
      <formula>NOT(ISERROR(SEARCH("Functioning",B286)))</formula>
    </cfRule>
  </conditionalFormatting>
  <conditionalFormatting sqref="B327">
    <cfRule type="beginsWith" dxfId="507" priority="10" stopIfTrue="1" operator="beginsWith" text="Functioning At Risk">
      <formula>LEFT(B327,LEN("Functioning At Risk"))="Functioning At Risk"</formula>
    </cfRule>
    <cfRule type="beginsWith" dxfId="506" priority="11" stopIfTrue="1" operator="beginsWith" text="Not Functioning">
      <formula>LEFT(B327,LEN("Not Functioning"))="Not Functioning"</formula>
    </cfRule>
    <cfRule type="containsText" dxfId="505" priority="12" operator="containsText" text="Functioning">
      <formula>NOT(ISERROR(SEARCH("Functioning",B327)))</formula>
    </cfRule>
  </conditionalFormatting>
  <conditionalFormatting sqref="B326">
    <cfRule type="beginsWith" dxfId="504" priority="7" stopIfTrue="1" operator="beginsWith" text="Functioning At Risk">
      <formula>LEFT(B326,LEN("Functioning At Risk"))="Functioning At Risk"</formula>
    </cfRule>
    <cfRule type="beginsWith" dxfId="503" priority="8" stopIfTrue="1" operator="beginsWith" text="Not Functioning">
      <formula>LEFT(B326,LEN("Not Functioning"))="Not Functioning"</formula>
    </cfRule>
    <cfRule type="containsText" dxfId="502" priority="9" operator="containsText" text="Functioning">
      <formula>NOT(ISERROR(SEARCH("Functioning",B326)))</formula>
    </cfRule>
  </conditionalFormatting>
  <conditionalFormatting sqref="B367">
    <cfRule type="beginsWith" dxfId="501" priority="4" stopIfTrue="1" operator="beginsWith" text="Functioning At Risk">
      <formula>LEFT(B367,LEN("Functioning At Risk"))="Functioning At Risk"</formula>
    </cfRule>
    <cfRule type="beginsWith" dxfId="500" priority="5" stopIfTrue="1" operator="beginsWith" text="Not Functioning">
      <formula>LEFT(B367,LEN("Not Functioning"))="Not Functioning"</formula>
    </cfRule>
    <cfRule type="containsText" dxfId="499" priority="6" operator="containsText" text="Functioning">
      <formula>NOT(ISERROR(SEARCH("Functioning",B367)))</formula>
    </cfRule>
  </conditionalFormatting>
  <conditionalFormatting sqref="B366">
    <cfRule type="beginsWith" dxfId="498" priority="1" stopIfTrue="1" operator="beginsWith" text="Functioning At Risk">
      <formula>LEFT(B366,LEN("Functioning At Risk"))="Functioning At Risk"</formula>
    </cfRule>
    <cfRule type="beginsWith" dxfId="497" priority="2" stopIfTrue="1" operator="beginsWith" text="Not Functioning">
      <formula>LEFT(B366,LEN("Not Functioning"))="Not Functioning"</formula>
    </cfRule>
    <cfRule type="containsText" dxfId="496" priority="3" operator="containsText" text="Functioning">
      <formula>NOT(ISERROR(SEARCH("Functioning",B366)))</formula>
    </cfRule>
  </conditionalFormatting>
  <dataValidations xWindow="656" yWindow="505" count="8">
    <dataValidation allowBlank="1" showErrorMessage="1" prompt="Select catchment conditon level from the completed catchment assessment form. " sqref="E12:E15 E52:E55 E92:E95 E132:E135 E172:E175 E212:E215 E252:E255 E292:E295 E332:E335 E372:E375" xr:uid="{00000000-0002-0000-0200-000004000000}"/>
    <dataValidation type="decimal" allowBlank="1" showInputMessage="1" showErrorMessage="1" sqref="E29:E30 E69:E70 E109:E110 E149:E150 E189:E190 E229:E230 E269:E270 E309:E310 E349:E350 E389:E390" xr:uid="{00000000-0002-0000-0200-000007000000}">
      <formula1>0</formula1>
      <formula2>5280</formula2>
    </dataValidation>
    <dataValidation type="decimal" allowBlank="1" showErrorMessage="1" prompt="The user should input a value for either basal area or density, not both. " sqref="E31:E32 E71:E72 E111:E112 E151:E152 E191:E192 E231:E232 E271:E272 E311:E312 E351:E352 E391:E392" xr:uid="{00000000-0002-0000-0200-00000B000000}">
      <formula1>0</formula1>
      <formula2>5280</formula2>
    </dataValidation>
    <dataValidation allowBlank="1" showErrorMessage="1" prompt="This measurement method should be used in combination with either Erosion Rate or Dominant BEHI/NBS." sqref="E23:E24 E63:E64 E103:E104 E143:E144 E183:E184 E223:E224 E263:E264 E303:E304 E343:E344 E383:E384" xr:uid="{00000000-0002-0000-0200-00000D000000}"/>
    <dataValidation allowBlank="1" showInputMessage="1" showErrorMessage="1" prompt="If baseflow velocity &lt; 1fps then this parameter score = 0." sqref="G14:G15 G54:G55 G94:G95 G134:G135 G174:G175 G214:G215 G254:G255 G294:G295 G334:G335 G374:G375" xr:uid="{30A4FC4F-7ACE-4892-B3BA-E5F29ECCBE9D}"/>
    <dataValidation allowBlank="1" showErrorMessage="1" prompt="Leave field value blank if not a coldwater stream." sqref="F33:F35 F40 F313:F315 F360 F400 F273:F275 F73:F75 F120 F113:F115 F80 F153:F155 F160 F193:F195 F200 F233:F235 F280 F320 F240 F353:F355 F393:F395" xr:uid="{058E8701-CA20-405B-9252-682A19EDF92C}"/>
    <dataValidation allowBlank="1" showErrorMessage="1" prompt="Select the dominant BEHI/NBS.  _x000a_If erosion rate was measured select blank. The user should only input a value for either BEHI/NBS or Erosion Rate, not both. " sqref="E21 E61 E101 E141 E181 E221 E261 E301 E341 E381" xr:uid="{6F26F7B1-43F5-4CBB-8950-49775709AC84}"/>
    <dataValidation allowBlank="1" showErrorMessage="1" sqref="B86:B88 B126:B128 B166:B168 B206:B208 B246:B248 B286:B288 B326:B328 B366:B368 D4:D5 D324:D325 D44:D45 D84:D85 D124:D125 D164:D165 D204:D205 D244:D245 D284:D285 D364:D365 B6:B8 B46:B48" xr:uid="{C6A51F02-E5AE-4DAE-8C74-AB1001BA338B}"/>
  </dataValidations>
  <pageMargins left="0.25" right="0.25" top="0.75" bottom="0.75" header="0.3" footer="0.3"/>
  <pageSetup paperSize="3" fitToWidth="0" fitToHeight="0" orientation="landscape" r:id="rId1"/>
  <headerFooter>
    <oddFooter>&amp;LCSQT v1.0
Debit Calculator Existing Conditions</oddFooter>
  </headerFooter>
  <rowBreaks count="9" manualBreakCount="9">
    <brk id="41" max="16383" man="1"/>
    <brk id="81" max="16383" man="1"/>
    <brk id="121" max="16383" man="1"/>
    <brk id="161" max="16383" man="1"/>
    <brk id="201" max="16383" man="1"/>
    <brk id="241" max="16383" man="1"/>
    <brk id="281" max="16383" man="1"/>
    <brk id="321" max="16383" man="1"/>
    <brk id="361" max="16383" man="1"/>
  </rowBreaks>
  <ignoredErrors>
    <ignoredError sqref="B6" unlockedFormula="1"/>
    <ignoredError sqref="B46:B48 B44 B84 B86:B88 B124 B126:B128 B164 B166:B168 B204 B206:B208 B244 B246:B248 B284 B286:B288 B324 B326:B328 B364 B366:B368" formula="1"/>
  </ignoredErrors>
  <extLst>
    <ext xmlns:x14="http://schemas.microsoft.com/office/spreadsheetml/2009/9/main" uri="{CCE6A557-97BC-4b89-ADB6-D9C93CAAB3DF}">
      <x14:dataValidations xmlns:xm="http://schemas.microsoft.com/office/excel/2006/main" xWindow="656" yWindow="505" count="12">
        <x14:dataValidation type="list" allowBlank="1" showErrorMessage="1" xr:uid="{00000000-0002-0000-0200-00000A000000}">
          <x14:formula1>
            <xm:f>'Pull Down Notes'!$B$2:$B$13</xm:f>
          </x14:formula1>
          <xm:sqref>B5 B45 B85 B125 B165 B205 B245 B285 B325 B365</xm:sqref>
        </x14:dataValidation>
        <x14:dataValidation type="list" allowBlank="1" showErrorMessage="1" prompt="Select the dominant BEHI/NBS.  _x000a_If erosion rate was measured select blank. The user should only input a value for either BEHI/NBS or Erosion Rate, not both. " xr:uid="{CE89E87A-A97B-4897-B8C1-C82E59A640C8}">
          <x14:formula1>
            <xm:f>'Pull Down Notes'!$B$23:$B$58</xm:f>
          </x14:formula1>
          <xm:sqref>E22 E62 E102 E142 E182 E222 E262 E302 E342 E382</xm:sqref>
        </x14:dataValidation>
        <x14:dataValidation type="list" allowBlank="1" showErrorMessage="1" xr:uid="{CD4CA8E9-9478-4096-BB54-0C744C514A2F}">
          <x14:formula1>
            <xm:f>'Pull Down Notes'!$F$27:$F$30</xm:f>
          </x14:formula1>
          <xm:sqref>G8 G48 G88 G128 G168 G208 G248 G288 G328 G368</xm:sqref>
        </x14:dataValidation>
        <x14:dataValidation type="list" allowBlank="1" showErrorMessage="1" xr:uid="{F9ADF317-20E9-4713-B845-B4775C3AB360}">
          <x14:formula1>
            <xm:f>'Pull Down Notes'!$F$22:$F$25</xm:f>
          </x14:formula1>
          <xm:sqref>G5 G45 G85 G125 G165 G205 G245 G285 G325 G365</xm:sqref>
        </x14:dataValidation>
        <x14:dataValidation type="list" allowBlank="1" showInputMessage="1" showErrorMessage="1" xr:uid="{00000000-0002-0000-0200-000013000000}">
          <x14:formula1>
            <xm:f>'Pull Down Notes'!$F$14:$F$20</xm:f>
          </x14:formula1>
          <xm:sqref>G4 G44 G84 G124 G164 G204 G244 G284 G324 G364</xm:sqref>
        </x14:dataValidation>
        <x14:dataValidation type="list" allowBlank="1" showInputMessage="1" showErrorMessage="1" xr:uid="{EA862206-D354-4884-85C7-BE278113DF85}">
          <x14:formula1>
            <xm:f>'Pull Down Notes'!$F$10:$F$12</xm:f>
          </x14:formula1>
          <xm:sqref>D7 D47 D87 D127 D167 D207 D247 D287 D327 D367</xm:sqref>
        </x14:dataValidation>
        <x14:dataValidation type="list" allowBlank="1" showErrorMessage="1" xr:uid="{BE6B03BC-516C-4A7D-82A5-86E140F73E99}">
          <x14:formula1>
            <xm:f>'Pull Down Notes'!$F$6:$F$8</xm:f>
          </x14:formula1>
          <xm:sqref>G6 G46 G86 G126 G166 G206 G246 G286 G326 G366</xm:sqref>
        </x14:dataValidation>
        <x14:dataValidation type="list" allowBlank="1" showErrorMessage="1" xr:uid="{DF0E8D86-E619-4F57-9022-622C53E08906}">
          <x14:formula1>
            <xm:f>'Pull Down Notes'!$B$65:$B$68</xm:f>
          </x14:formula1>
          <xm:sqref>D6 D46 D86 D126 D166 D206 D246 D286 D326 D366</xm:sqref>
        </x14:dataValidation>
        <x14:dataValidation type="list" allowBlank="1" showErrorMessage="1" xr:uid="{9513F289-092A-459A-B638-FDDF8828010E}">
          <x14:formula1>
            <xm:f>'Pull Down Notes'!$F$32:$F$35</xm:f>
          </x14:formula1>
          <xm:sqref>D8 D48 D368 D128 D168 D208 D248 D288 D328 D88</xm:sqref>
        </x14:dataValidation>
        <x14:dataValidation type="list" allowBlank="1" showInputMessage="1" showErrorMessage="1" xr:uid="{42D623C6-5749-412C-9A39-A45F379DC2EC}">
          <x14:formula1>
            <xm:f>'Pull Down Notes'!$F$32:$F$35</xm:f>
          </x14:formula1>
          <xm:sqref>D8 D48 D368 D128 D168 D208 D248 D288 D328 D88</xm:sqref>
        </x14:dataValidation>
        <x14:dataValidation type="list" allowBlank="1" showInputMessage="1" showErrorMessage="1" xr:uid="{5A06F263-DAB6-4EE1-B4B0-C3D5E9608D82}">
          <x14:formula1>
            <xm:f>'Pull Down Notes'!$B$60:$B$63</xm:f>
          </x14:formula1>
          <xm:sqref>G5 G8 G45 G48 G85 G88 G125 G128 G165 G168 G205 G208 G245 G248 G285 G288 G325 G328 G365 G368</xm:sqref>
        </x14:dataValidation>
        <x14:dataValidation type="list" allowBlank="1" showErrorMessage="1" xr:uid="{FDD9A06E-B5D2-4A32-A995-271ACB4E2CAB}">
          <x14:formula1>
            <xm:f>'Pull Down Notes'!$F$53:$F$66</xm:f>
          </x14:formula1>
          <xm:sqref>G7 G47 G87 G127 G167 G207 G247 G287 G327 G367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FD247-8110-4402-939A-F31B501DEB15}">
  <dimension ref="A1:N401"/>
  <sheetViews>
    <sheetView zoomScaleNormal="100" workbookViewId="0">
      <selection activeCell="C47" sqref="C47"/>
    </sheetView>
  </sheetViews>
  <sheetFormatPr defaultColWidth="8.86328125" defaultRowHeight="14.25" x14ac:dyDescent="0.45"/>
  <cols>
    <col min="1" max="1" width="23.73046875" style="5" customWidth="1"/>
    <col min="2" max="2" width="27.1328125" style="5" customWidth="1"/>
    <col min="3" max="3" width="28" style="5" customWidth="1"/>
    <col min="4" max="4" width="23.265625" style="5" customWidth="1"/>
    <col min="5" max="5" width="14.3984375" style="5" customWidth="1"/>
    <col min="6" max="6" width="21.1328125" style="5" customWidth="1"/>
    <col min="7" max="7" width="18.86328125" style="5" customWidth="1"/>
    <col min="8" max="8" width="12.73046875" style="5" customWidth="1"/>
    <col min="9" max="9" width="17.265625" style="55" customWidth="1"/>
    <col min="10" max="10" width="16.1328125" style="5" customWidth="1"/>
    <col min="11" max="11" width="18.59765625" style="5" customWidth="1"/>
    <col min="12" max="12" width="13.73046875" style="5" customWidth="1"/>
    <col min="13" max="13" width="30.86328125" style="5" customWidth="1"/>
    <col min="14" max="16384" width="8.86328125" style="5"/>
  </cols>
  <sheetData>
    <row r="1" spans="1:14" x14ac:dyDescent="0.45">
      <c r="A1" s="242" t="s">
        <v>345</v>
      </c>
      <c r="B1" s="262"/>
      <c r="C1" s="262"/>
      <c r="D1" s="262"/>
      <c r="I1" s="5"/>
    </row>
    <row r="3" spans="1:14" ht="21" customHeight="1" x14ac:dyDescent="0.45">
      <c r="A3" s="408" t="s">
        <v>349</v>
      </c>
      <c r="B3" s="409"/>
      <c r="C3" s="409"/>
      <c r="D3" s="409"/>
      <c r="E3" s="409"/>
      <c r="F3" s="409"/>
      <c r="G3" s="409"/>
      <c r="H3" s="409"/>
      <c r="I3" s="409"/>
      <c r="J3" s="410"/>
    </row>
    <row r="4" spans="1:14" ht="16.149999999999999" customHeight="1" x14ac:dyDescent="0.45">
      <c r="A4" s="223" t="s">
        <v>65</v>
      </c>
      <c r="B4" s="224">
        <f>'Existing Conditions'!B4</f>
        <v>0</v>
      </c>
      <c r="C4" s="225" t="s">
        <v>355</v>
      </c>
      <c r="D4" s="224">
        <f>'Existing Conditions'!D4</f>
        <v>0</v>
      </c>
      <c r="E4" s="449" t="s">
        <v>245</v>
      </c>
      <c r="F4" s="450"/>
      <c r="G4" s="224">
        <f>'Existing Conditions'!G4</f>
        <v>0</v>
      </c>
      <c r="H4" s="447" t="s">
        <v>121</v>
      </c>
      <c r="I4" s="448"/>
      <c r="J4" s="224">
        <f>'Existing Conditions'!J4</f>
        <v>0</v>
      </c>
    </row>
    <row r="5" spans="1:14" ht="16.149999999999999" customHeight="1" x14ac:dyDescent="0.45">
      <c r="A5" s="184" t="s">
        <v>352</v>
      </c>
      <c r="B5" s="279">
        <f>'Existing Conditions'!B5</f>
        <v>0</v>
      </c>
      <c r="C5" s="226" t="s">
        <v>246</v>
      </c>
      <c r="D5" s="224">
        <f>'Existing Conditions'!D5</f>
        <v>0</v>
      </c>
      <c r="E5" s="449" t="s">
        <v>247</v>
      </c>
      <c r="F5" s="450"/>
      <c r="G5" s="224">
        <f>'Existing Conditions'!G5</f>
        <v>0</v>
      </c>
      <c r="H5" s="447" t="s">
        <v>122</v>
      </c>
      <c r="I5" s="448"/>
      <c r="J5" s="224">
        <f>'Existing Conditions'!J5</f>
        <v>0</v>
      </c>
    </row>
    <row r="6" spans="1:14" ht="16.149999999999999" customHeight="1" x14ac:dyDescent="0.65">
      <c r="A6" s="278" t="s">
        <v>353</v>
      </c>
      <c r="B6" s="279">
        <f>'Existing Conditions'!B6</f>
        <v>0</v>
      </c>
      <c r="C6" s="225" t="s">
        <v>83</v>
      </c>
      <c r="D6" s="224">
        <f>'Existing Conditions'!D6</f>
        <v>0</v>
      </c>
      <c r="E6" s="449" t="s">
        <v>261</v>
      </c>
      <c r="F6" s="450"/>
      <c r="G6" s="224">
        <f>'Existing Conditions'!G6</f>
        <v>0</v>
      </c>
      <c r="H6" s="447" t="s">
        <v>123</v>
      </c>
      <c r="I6" s="448"/>
      <c r="J6" s="224">
        <f>'Existing Conditions'!J6</f>
        <v>0</v>
      </c>
      <c r="K6" s="26"/>
    </row>
    <row r="7" spans="1:14" ht="16.149999999999999" customHeight="1" x14ac:dyDescent="0.5">
      <c r="A7" s="227" t="s">
        <v>262</v>
      </c>
      <c r="B7" s="279">
        <f>'Existing Conditions'!B7</f>
        <v>0</v>
      </c>
      <c r="C7" s="228" t="s">
        <v>254</v>
      </c>
      <c r="D7" s="224">
        <f>'Existing Conditions'!D7</f>
        <v>0</v>
      </c>
      <c r="E7" s="445" t="s">
        <v>271</v>
      </c>
      <c r="F7" s="446"/>
      <c r="G7" s="224">
        <f>'Existing Conditions'!G7</f>
        <v>0</v>
      </c>
      <c r="H7" s="447" t="s">
        <v>124</v>
      </c>
      <c r="I7" s="448"/>
      <c r="J7" s="224">
        <f>'Existing Conditions'!J7</f>
        <v>0</v>
      </c>
      <c r="K7" s="39"/>
    </row>
    <row r="8" spans="1:14" ht="18" customHeight="1" x14ac:dyDescent="0.5">
      <c r="A8" s="223" t="s">
        <v>260</v>
      </c>
      <c r="B8" s="224">
        <f>'Existing Conditions'!B8</f>
        <v>0</v>
      </c>
      <c r="C8" s="225" t="s">
        <v>256</v>
      </c>
      <c r="D8" s="224">
        <f>'Existing Conditions'!D8</f>
        <v>0</v>
      </c>
      <c r="E8" s="449" t="s">
        <v>248</v>
      </c>
      <c r="F8" s="450"/>
      <c r="G8" s="224">
        <f>'Existing Conditions'!G8</f>
        <v>0</v>
      </c>
      <c r="H8" s="229"/>
      <c r="I8" s="229"/>
      <c r="J8" s="230"/>
      <c r="K8" s="39"/>
    </row>
    <row r="9" spans="1:14" ht="4.5" customHeight="1" x14ac:dyDescent="0.5">
      <c r="B9" s="58"/>
      <c r="C9" s="58"/>
      <c r="D9" s="58"/>
      <c r="E9" s="58"/>
      <c r="F9" s="58"/>
      <c r="G9" s="58"/>
      <c r="H9" s="58"/>
      <c r="I9" s="56"/>
      <c r="J9" s="10"/>
      <c r="K9" s="39"/>
    </row>
    <row r="10" spans="1:14" ht="19.899999999999999" customHeight="1" x14ac:dyDescent="0.65">
      <c r="A10" s="431" t="str">
        <f>_xlfn.CONCAT("PROPOSED CONDITION ASSESSMENT for Reach ",B4)</f>
        <v>PROPOSED CONDITION ASSESSMENT for Reach 0</v>
      </c>
      <c r="B10" s="431"/>
      <c r="C10" s="431"/>
      <c r="D10" s="431"/>
      <c r="E10" s="431"/>
      <c r="F10" s="431"/>
      <c r="G10" s="431" t="s">
        <v>13</v>
      </c>
      <c r="H10" s="431"/>
      <c r="I10" s="431"/>
      <c r="J10" s="431"/>
      <c r="K10" s="10"/>
    </row>
    <row r="11" spans="1:14" ht="15.75" x14ac:dyDescent="0.5">
      <c r="A11" s="32" t="s">
        <v>1</v>
      </c>
      <c r="B11" s="32" t="s">
        <v>2</v>
      </c>
      <c r="C11" s="432" t="s">
        <v>3</v>
      </c>
      <c r="D11" s="433"/>
      <c r="E11" s="32" t="s">
        <v>11</v>
      </c>
      <c r="F11" s="31" t="s">
        <v>12</v>
      </c>
      <c r="G11" s="32" t="s">
        <v>14</v>
      </c>
      <c r="H11" s="32" t="s">
        <v>15</v>
      </c>
      <c r="I11" s="57" t="s">
        <v>15</v>
      </c>
      <c r="J11" s="32" t="s">
        <v>160</v>
      </c>
      <c r="K11" s="10"/>
    </row>
    <row r="12" spans="1:14" ht="15.75" x14ac:dyDescent="0.5">
      <c r="A12" s="434" t="s">
        <v>173</v>
      </c>
      <c r="B12" s="437" t="s">
        <v>71</v>
      </c>
      <c r="C12" s="132" t="s">
        <v>138</v>
      </c>
      <c r="D12" s="149"/>
      <c r="E12" s="30"/>
      <c r="F12" s="202" t="str">
        <f>IF(E12="","",IF(E12&gt;78,0,IF(E12&lt;=55,1,ROUND(E12*'Reference Curves'!$B$3+'Reference Curves'!$B$4,2))))</f>
        <v/>
      </c>
      <c r="G12" s="411" t="str">
        <f>IFERROR(AVERAGE(F12:F13),"")</f>
        <v/>
      </c>
      <c r="H12" s="411" t="str">
        <f>IFERROR(ROUND(AVERAGE(G12:G18),2),"")</f>
        <v/>
      </c>
      <c r="I12" s="438" t="str">
        <f>IF(H12="","",IF(H12:H18&gt;0.69,"Functioning",IF(H12&gt;0.29,"Functioning At Risk",IF(H12&gt;-1,"Not Functioning"))))</f>
        <v/>
      </c>
      <c r="J12" s="451" t="str">
        <f>IF(AND(H12="",H19="",H33="",H37=""),"",ROUND((IF(H12="",0,H12)*0.3)+(IF(H19="",0,H19)*0.3)+(IF(H33="",0,H33)*0.2)+(IF(H37="",0,H37)*0.2),2))</f>
        <v/>
      </c>
      <c r="K12" s="10"/>
    </row>
    <row r="13" spans="1:14" ht="15.75" x14ac:dyDescent="0.5">
      <c r="A13" s="434"/>
      <c r="B13" s="437"/>
      <c r="C13" s="133" t="s">
        <v>184</v>
      </c>
      <c r="D13" s="150"/>
      <c r="E13" s="35"/>
      <c r="F13" s="203" t="str">
        <f>IF(E13="","",   IF(E13&gt;3.2,0, IF(E13&lt;0, "", ROUND('Reference Curves'!$B$8*E13+'Reference Curves'!$B$9,2))))</f>
        <v/>
      </c>
      <c r="G13" s="412"/>
      <c r="H13" s="412"/>
      <c r="I13" s="439"/>
      <c r="J13" s="451"/>
      <c r="K13" s="10"/>
    </row>
    <row r="14" spans="1:14" ht="15.75" x14ac:dyDescent="0.5">
      <c r="A14" s="434"/>
      <c r="B14" s="400" t="s">
        <v>185</v>
      </c>
      <c r="C14" s="134" t="s">
        <v>186</v>
      </c>
      <c r="D14" s="149"/>
      <c r="E14" s="34"/>
      <c r="F14" s="204" t="s">
        <v>285</v>
      </c>
      <c r="G14" s="411" t="str">
        <f>IFERROR(IF(AND(ISNUMBER(E14),E14&lt;1),0,AVERAGE(F14:F15)),"")</f>
        <v/>
      </c>
      <c r="H14" s="412"/>
      <c r="I14" s="439"/>
      <c r="J14" s="451"/>
      <c r="K14" s="10"/>
    </row>
    <row r="15" spans="1:14" ht="15.75" x14ac:dyDescent="0.5">
      <c r="A15" s="434"/>
      <c r="B15" s="401"/>
      <c r="C15" s="151" t="s">
        <v>187</v>
      </c>
      <c r="D15" s="152"/>
      <c r="E15" s="34"/>
      <c r="F15" s="205" t="str">
        <f>IF(E15="","",IF(G4= "CS-II", ROUND(IF(E15&lt;=0.6,0, IF(E15&gt;=2.3,1,E15*'Reference Curves'!$D$14+'Reference Curves'!$D$15)),2),IF(AND(D5&lt;20,LEFT(G4,2)="CS"), ROUND(IF(E15&lt;=0.2,0, IF(E15&gt;=1,1,E15*'Reference Curves'!$B$14+'Reference Curves'!$B$15)),2), IF(AND(D5&gt;=20,LEFT(G4,2)= "CS"), ROUND(IF(E15&lt;=0.4,0, IF(E15&gt;=1.5,1,E15*'Reference Curves'!$C$14+'Reference Curves'!$C$15)),2),"FALSE"))))</f>
        <v/>
      </c>
      <c r="G15" s="413"/>
      <c r="H15" s="412"/>
      <c r="I15" s="439"/>
      <c r="J15" s="451"/>
      <c r="K15" s="10"/>
    </row>
    <row r="16" spans="1:14" ht="15.75" x14ac:dyDescent="0.5">
      <c r="A16" s="434"/>
      <c r="B16" s="437" t="s">
        <v>4</v>
      </c>
      <c r="C16" s="133" t="s">
        <v>5</v>
      </c>
      <c r="D16" s="14"/>
      <c r="E16" s="30"/>
      <c r="F16" s="206" t="str">
        <f>IF( E16="","",
IF( E16&gt;1.71,0, IF( E16&gt;1, ROUND(E16*'Reference Curves'!C$20+'Reference Curves'!C$21,2),
IF( D8="Transport", ROUND(IF( E16&lt;0.35,0, E16*'Reference Curves'!$B$20+'Reference Curves'!$B$21 ),2), 1 ))))</f>
        <v/>
      </c>
      <c r="G16" s="411" t="str">
        <f>IFERROR(AVERAGE(F16:F18),"")</f>
        <v/>
      </c>
      <c r="H16" s="412"/>
      <c r="I16" s="439"/>
      <c r="J16" s="451"/>
      <c r="K16" s="10"/>
      <c r="N16" s="9"/>
    </row>
    <row r="17" spans="1:14" ht="15.75" x14ac:dyDescent="0.5">
      <c r="A17" s="434"/>
      <c r="B17" s="437"/>
      <c r="C17" s="133" t="s">
        <v>6</v>
      </c>
      <c r="D17" s="14"/>
      <c r="E17" s="34"/>
      <c r="F17" s="205" t="str">
        <f>IF(E17="","",IF(OR(LEFT(B5,1)="A",LEFT(B5,1)="B"),IF(E17&lt;1.05,0,IF(E17&gt;=2.2,1,ROUND(IF(E17&lt;1.4,E17*'Reference Curves'!$B$40+'Reference Curves'!$B$41,E17*'Reference Curves'!$C$40+'Reference Curves'!$C$41),2))), IF(B5="C",IF(E17&lt;1.7,0,IF(E17&gt;=4.2,1,ROUND(IF(E17&lt;2.4,E17*'Reference Curves'!$C$25+'Reference Curves'!$C$26,E17*'Reference Curves'!$B$25+'Reference Curves'!$B$26),2))),                                                                                                                                                                                                                    IF(B5="Cb",IF(E17&lt;1.7,0,IF(E17&gt;=3.9,1,ROUND(IF(E17&lt;2.4,E17*'Reference Curves'!$C$30+'Reference Curves'!$C$31,E17*'Reference Curves'!$B$30+'Reference Curves'!$B$31),2))),
IF(LEFT(B5,1)="E",IF(E17&lt;1.7,0,IF(E17&gt;=6.7,1,ROUND(IF(E17&lt;2.4,E17*'Reference Curves'!$C$35+'Reference Curves'!$C$36,E17*'Reference Curves'!$B$35+'Reference Curves'!$B$36),2))))))))</f>
        <v/>
      </c>
      <c r="G17" s="412"/>
      <c r="H17" s="412"/>
      <c r="I17" s="439"/>
      <c r="J17" s="451"/>
      <c r="K17" s="10"/>
      <c r="N17" s="9"/>
    </row>
    <row r="18" spans="1:14" ht="15.75" customHeight="1" x14ac:dyDescent="0.5">
      <c r="A18" s="434"/>
      <c r="B18" s="437"/>
      <c r="C18" s="135" t="s">
        <v>188</v>
      </c>
      <c r="D18" s="14"/>
      <c r="E18" s="35"/>
      <c r="F18" s="207" t="str">
        <f>IF(E18="","",IF(D6="Unconfined Alluvial",IF(E18&lt;=0,0, IF(E18&gt;=100,1, ROUND(IF(E18&lt;10,E18*'Reference Curves'!$B$46+'Reference Curves'!$B$47, IF(E18&lt;50,E18*'Reference Curves'!$C$46+'Reference Curves'!$C$47,E18*'Reference Curves'!$D$46+'Reference Curves'!$D$47)),2))), IF(D6="Confined Alluvial",IF(E18&lt;=0,0,IF(E18&gt;=50,1,ROUND(IF(E18&lt;5,E18*'Reference Curves'!$E$46+'Reference Curves'!$E$47,IF(E18&lt;25,E18*'Reference Curves'!$F$46+'Reference Curves'!$F$47,E18*'Reference Curves'!$G$46+'Reference Curves'!$G$47)),2))))))</f>
        <v/>
      </c>
      <c r="G18" s="413"/>
      <c r="H18" s="413"/>
      <c r="I18" s="440"/>
      <c r="J18" s="451"/>
      <c r="K18" s="10"/>
      <c r="N18" s="9"/>
    </row>
    <row r="19" spans="1:14" ht="15.75" x14ac:dyDescent="0.5">
      <c r="A19" s="399" t="s">
        <v>20</v>
      </c>
      <c r="B19" s="399" t="s">
        <v>21</v>
      </c>
      <c r="C19" s="16" t="s">
        <v>19</v>
      </c>
      <c r="D19" s="46"/>
      <c r="E19" s="30"/>
      <c r="F19" s="208" t="str">
        <f>IF(E19="","",IF(E19&gt;=660,1,IF(E19&lt;=430,ROUND('Reference Curves'!$I$4*E19+'Reference Curves'!$I$5,2),ROUND('Reference Curves'!$J$4*E19+'Reference Curves'!$J$5,2))))</f>
        <v/>
      </c>
      <c r="G19" s="414" t="str">
        <f>IFERROR(AVERAGE(F19:F20),"")</f>
        <v/>
      </c>
      <c r="H19" s="414" t="str">
        <f>IFERROR(ROUND(AVERAGE(G19:G32),2),"")</f>
        <v/>
      </c>
      <c r="I19" s="417" t="str">
        <f>IF(H19="","",IF(H19&gt;0.69,"Functioning",IF(H19&gt;0.29,"Functioning At Risk",IF(H19&gt;-1,"Not Functioning"))))</f>
        <v/>
      </c>
      <c r="J19" s="451"/>
      <c r="K19" s="10"/>
      <c r="N19" s="9"/>
    </row>
    <row r="20" spans="1:14" ht="15.75" x14ac:dyDescent="0.5">
      <c r="A20" s="399"/>
      <c r="B20" s="399"/>
      <c r="C20" s="18" t="s">
        <v>189</v>
      </c>
      <c r="D20" s="47"/>
      <c r="E20" s="35"/>
      <c r="F20" s="209" t="str">
        <f>IF(E20="","",IF(E20&gt;=28,1,ROUND(IF(E20&lt;=13,'Reference Curves'!$I$9*E20,'Reference Curves'!$J$9*E20+'Reference Curves'!$J$10),2)))</f>
        <v/>
      </c>
      <c r="G20" s="416"/>
      <c r="H20" s="415"/>
      <c r="I20" s="418"/>
      <c r="J20" s="451"/>
      <c r="K20" s="10"/>
      <c r="N20" s="9"/>
    </row>
    <row r="21" spans="1:14" ht="15.75" x14ac:dyDescent="0.5">
      <c r="A21" s="399"/>
      <c r="B21" s="399" t="s">
        <v>114</v>
      </c>
      <c r="C21" s="16" t="s">
        <v>190</v>
      </c>
      <c r="D21" s="46"/>
      <c r="E21" s="78"/>
      <c r="F21" s="208" t="str">
        <f>IF(E21="","",ROUND(IF(E21&lt;=2,0,IF(E21&gt;=9,1, IF(E21&gt;=5,E21^2*'Reference Curves'!$I$14+E21*'Reference Curves'!$I$15+'Reference Curves'!$I$16, E21*'Reference Curves'!$J$15+'Reference Curves'!$J$16))),2))</f>
        <v/>
      </c>
      <c r="G21" s="414" t="str">
        <f>IFERROR(IF(E24&gt;=50,0,AVERAGE(F21:F24)),"")</f>
        <v/>
      </c>
      <c r="H21" s="415"/>
      <c r="I21" s="418"/>
      <c r="J21" s="451"/>
      <c r="K21" s="10"/>
      <c r="N21" s="9"/>
    </row>
    <row r="22" spans="1:14" ht="15.75" x14ac:dyDescent="0.5">
      <c r="A22" s="399"/>
      <c r="B22" s="399"/>
      <c r="C22" s="18" t="s">
        <v>42</v>
      </c>
      <c r="D22" s="67"/>
      <c r="E22" s="78"/>
      <c r="F22" s="210" t="str">
        <f>IF(E22="","",IF(OR(E22="Ex/Ex",E22="Ex/VH",E22="Ex/H",E22="Ex/M",E22="VH/Ex",E22="VH/VH", E22="H/Ex",E22="H/VH"),0, IF(OR(E22="M/Ex"),0.1,IF(OR(E22="VH/H",E22="VH/M",E22="H/H",E22="H/M", E22="M/VH"),0.2, IF(OR(E22="Ex/VL",E22="Ex/L", E22="M/H"),0.3, IF(OR(E22="VH/L",E22="H/L"),0.4, IF(OR(E22="VH/VL",E22="H/VL",E22="M/M"),0.5, IF(OR(E22="M/L",E22="L/Ex"),0.6, IF(OR(E22="M/VL",E22="L/VH", E22="L/H",E22="L/M",E22="L/L",E22="L/VL", LEFT(E22,2)="VL"),1)))))))))</f>
        <v/>
      </c>
      <c r="G22" s="415"/>
      <c r="H22" s="415"/>
      <c r="I22" s="418"/>
      <c r="J22" s="451"/>
      <c r="K22" s="10"/>
      <c r="N22" s="9"/>
    </row>
    <row r="23" spans="1:14" ht="15.75" x14ac:dyDescent="0.5">
      <c r="A23" s="399"/>
      <c r="B23" s="399"/>
      <c r="C23" s="136" t="s">
        <v>54</v>
      </c>
      <c r="D23" s="67"/>
      <c r="E23" s="78"/>
      <c r="F23" s="210" t="str">
        <f>IF(E23="","",ROUND(IF(E23&gt;=75,0,IF(E23&lt;=5,1,IF(E23&gt;10,E23*'Reference Curves'!I$20+'Reference Curves'!I$21,'Reference Curves'!$J$20*E23+'Reference Curves'!$J$21))),2))</f>
        <v/>
      </c>
      <c r="G23" s="421"/>
      <c r="H23" s="415"/>
      <c r="I23" s="418"/>
      <c r="J23" s="451"/>
      <c r="K23" s="10"/>
      <c r="N23" s="9"/>
    </row>
    <row r="24" spans="1:14" ht="15.75" x14ac:dyDescent="0.5">
      <c r="A24" s="399"/>
      <c r="B24" s="399"/>
      <c r="C24" s="137" t="s">
        <v>113</v>
      </c>
      <c r="D24" s="154"/>
      <c r="E24" s="153"/>
      <c r="F24" s="211" t="str">
        <f>IF(E24="","",IF(E24&gt;=30,0,ROUND(E24*'Reference Curves'!$I$24+'Reference Curves'!$I$25,2)))</f>
        <v/>
      </c>
      <c r="G24" s="416"/>
      <c r="H24" s="415"/>
      <c r="I24" s="418"/>
      <c r="J24" s="451"/>
      <c r="K24" s="10"/>
      <c r="N24" s="9"/>
    </row>
    <row r="25" spans="1:14" ht="15.75" x14ac:dyDescent="0.5">
      <c r="A25" s="399"/>
      <c r="B25" s="399" t="s">
        <v>44</v>
      </c>
      <c r="C25" s="16" t="s">
        <v>45</v>
      </c>
      <c r="D25" s="20"/>
      <c r="E25" s="37"/>
      <c r="F25" s="212" t="str">
        <f>IF(E25="","",IF(B5="Bc",IF(OR(E25&gt;=12,E25&lt;=0.1),0,IF(E25&lt;=3.4,1,ROUND('Reference Curves'!$I$33*E25+'Reference Curves'!$I$34,2))),
IF(OR(B5="B",B5="Ba"),IF(OR(E25&gt;=7.5,E25&lt;=0.1),0,IF(E25&lt;=3,1,ROUND(IF(E25&gt;4,'Reference Curves'!$I$29*E25+'Reference Curves'!$I$30,'Reference Curves'!$J$29*E25+'Reference Curves'!$J$30),2))),
IF(B5="Cb",IF(OR(E25&gt;=8.35,E25&lt;1.4),0,IF(AND(E25&gt;=3.7,E25&lt;=5),1,ROUND(IF(E25&lt;3.7,'Reference Curves'!$I$49*E25+'Reference Curves'!$I$50,'Reference Curves'!$J$49*E25+'Reference Curves'!$J$50),2))),
IF(B5="C",IF(OR(E25&gt;=9.3,E25&lt;=3),0,IF(AND(E25&gt;=4,E25&lt;=6),1,ROUND(IF(E25&lt;4,'Reference Curves'!$I$44*E25+'Reference Curves'!$I$45,'Reference Curves'!$J$44*E25+'Reference Curves'!$J$45),2))),
IF(B5="E",IF(OR(E25&gt;=8.3,E25&lt;1.85),0,IF(AND(E25&gt;=3.5,E25&lt;=5),1,ROUND(IF(E25&lt;3.5,'Reference Curves'!$I$38*E25+'Reference Curves'!$I$39,'Reference Curves'!$J$38*E25+'Reference Curves'!$J$39),2)))      ))))))</f>
        <v/>
      </c>
      <c r="G25" s="425" t="str">
        <f>IFERROR(AVERAGE(F25:F28),"")</f>
        <v/>
      </c>
      <c r="H25" s="415"/>
      <c r="I25" s="418"/>
      <c r="J25" s="451"/>
      <c r="K25" s="10"/>
      <c r="N25" s="9"/>
    </row>
    <row r="26" spans="1:14" ht="15.75" x14ac:dyDescent="0.5">
      <c r="A26" s="399"/>
      <c r="B26" s="399"/>
      <c r="C26" s="18" t="s">
        <v>46</v>
      </c>
      <c r="D26" s="15"/>
      <c r="E26" s="36"/>
      <c r="F26" s="213" t="str">
        <f>IF(E26="","",IF(E26&lt;=1,0,IF(E26&gt;=3.2,1,IF(E26&gt;=2.2,ROUND('Reference Curves'!$J$54*E26+'Reference Curves'!$J$55,2),(ROUND('Reference Curves'!$I$54*E26+'Reference Curves'!$I$55,2))))))</f>
        <v/>
      </c>
      <c r="G26" s="421"/>
      <c r="H26" s="415"/>
      <c r="I26" s="418"/>
      <c r="J26" s="451"/>
      <c r="K26" s="10"/>
      <c r="N26" s="9"/>
    </row>
    <row r="27" spans="1:14" ht="15.75" customHeight="1" x14ac:dyDescent="0.5">
      <c r="A27" s="399"/>
      <c r="B27" s="399"/>
      <c r="C27" s="18" t="s">
        <v>92</v>
      </c>
      <c r="D27" s="15"/>
      <c r="E27" s="36"/>
      <c r="F27" s="194" t="str">
        <f>IF(E27="","", IF(D4="","FALSE",IF(D4&lt; 3,IF( OR(E27&gt;=91,E27&lt;=13.5),0, IF(AND(E27&gt;49,E27&lt;61), 1, ROUND(IF(E27&lt;50,'Reference Curves'!$I$60*E27+'Reference Curves'!$I$61, IF(E27&gt;60,'Reference Curves'!$J$60*E27+'Reference Curves'!$J$61)),2))), IF(D4&gt;=3,IF(OR(E27&gt;94.5,E27&lt;41.5),0, IF(AND(E27 &gt;=68, E27&lt;=78),1, ROUND(IF(E27&lt;68,'Reference Curves'!$I$65*E27+'Reference Curves'!$I$66,'Reference Curves'!$J$65*E27+'Reference Curves'!$J$66),2) ))))))</f>
        <v/>
      </c>
      <c r="G27" s="421"/>
      <c r="H27" s="415"/>
      <c r="I27" s="418"/>
      <c r="J27" s="451"/>
      <c r="K27" s="10"/>
      <c r="N27" s="9"/>
    </row>
    <row r="28" spans="1:14" ht="15.75" x14ac:dyDescent="0.5">
      <c r="A28" s="399"/>
      <c r="B28" s="399"/>
      <c r="C28" s="19" t="s">
        <v>79</v>
      </c>
      <c r="D28" s="15"/>
      <c r="E28" s="38"/>
      <c r="F28" s="195" t="str">
        <f>IF(E28="","",IF(E28&gt;=1.6,0,IF(E28&lt;=1,1,ROUND('Reference Curves'!$I$74*E28^3+'Reference Curves'!$I$75*E28^2+'Reference Curves'!$I$76*E28+'Reference Curves'!$I$77,2))))</f>
        <v/>
      </c>
      <c r="G28" s="426"/>
      <c r="H28" s="415"/>
      <c r="I28" s="418"/>
      <c r="J28" s="451"/>
      <c r="K28" s="10"/>
      <c r="N28" s="9"/>
    </row>
    <row r="29" spans="1:14" ht="15.75" x14ac:dyDescent="0.5">
      <c r="A29" s="399"/>
      <c r="B29" s="399" t="s">
        <v>43</v>
      </c>
      <c r="C29" s="18" t="s">
        <v>201</v>
      </c>
      <c r="D29" s="46"/>
      <c r="E29" s="17"/>
      <c r="F29" s="214" t="str">
        <f>IF( E29="","",
IF( D6="Unconfined Alluvial", IF( E29&gt;=100,1,
ROUND('Reference Curves'!$I$82*E29+'Reference Curves'!$I$83,2) ),
IF( OR(D6="Confined Alluvial", D6="Colluvial/V-Shaped"), ( IF(E29&gt;=100,1,
IF(E29&gt;=60, ROUND('Reference Curves'!$J$82*E29+'Reference Curves'!$J$83,2), ROUND('Reference Curves'!$K$82*E29+'Reference Curves'!$K$83,2) ) ) ) ) ) )</f>
        <v/>
      </c>
      <c r="G29" s="414" t="str">
        <f>IFERROR(AVERAGE(F29:F32),"")</f>
        <v/>
      </c>
      <c r="H29" s="415"/>
      <c r="I29" s="418"/>
      <c r="J29" s="451"/>
      <c r="K29" s="10"/>
      <c r="N29" s="9"/>
    </row>
    <row r="30" spans="1:14" ht="15.75" x14ac:dyDescent="0.5">
      <c r="A30" s="399"/>
      <c r="B30" s="399"/>
      <c r="C30" s="18" t="s">
        <v>191</v>
      </c>
      <c r="D30" s="67"/>
      <c r="E30" s="79"/>
      <c r="F30" s="213" t="str">
        <f>IF( E30="","", IF(D7&lt;&gt;"Woody","FALSE", IF( OR(G6="Mountains",G6="Basins"),
IF(E30&lt;=0,0, IF(E30&gt;=122,1, IF(E30&lt;69, ROUND('Reference Curves'!$I$87*E30+'Reference Curves'!$I$88,2), ROUND('Reference Curves'!$J$87*E30+'Reference Curves'!$J$88,2) ) ) ),
IF(G6="Plains",IF(OR(E30&lt;=0,E30&gt;111),0,IF(AND(E30&gt;=69,E30&lt;=76),1,IF(E30&lt;69,ROUND(E30*'Reference Curves'!$I$92+'Reference Curves'!$I$93,2),ROUND(E30*'Reference Curves'!$J$92+'Reference Curves'!$J$93,2))))))))</f>
        <v/>
      </c>
      <c r="G30" s="415"/>
      <c r="H30" s="415"/>
      <c r="I30" s="418"/>
      <c r="J30" s="451"/>
      <c r="K30" s="10"/>
      <c r="N30" s="9"/>
    </row>
    <row r="31" spans="1:14" ht="15.75" x14ac:dyDescent="0.5">
      <c r="A31" s="399"/>
      <c r="B31" s="399"/>
      <c r="C31" s="18" t="s">
        <v>141</v>
      </c>
      <c r="D31" s="67"/>
      <c r="E31" s="79"/>
      <c r="F31" s="213" t="str">
        <f>IF(E31="","",IF(D7="Herbaceous",IF(E31&lt;=34,0,IF(E31&gt;=120,1,IF(E31&gt;73,ROUND(E31*'Reference Curves'!$J$98+'Reference Curves'!$J$99,2),ROUND(E31*'Reference Curves'!$I$98+'Reference Curves'!$I$99,2))))))</f>
        <v/>
      </c>
      <c r="G31" s="421"/>
      <c r="H31" s="415"/>
      <c r="I31" s="418"/>
      <c r="J31" s="451"/>
      <c r="K31" s="10"/>
      <c r="N31" s="9"/>
    </row>
    <row r="32" spans="1:14" ht="15.75" x14ac:dyDescent="0.5">
      <c r="A32" s="399"/>
      <c r="B32" s="399"/>
      <c r="C32" s="138" t="s">
        <v>192</v>
      </c>
      <c r="D32" s="158"/>
      <c r="E32" s="162"/>
      <c r="F32" s="194" t="str">
        <f>IF(E32="","",IF(E32&lt;=46,0,IF(E32&gt;=100,1,IF(AND(E32&lt;=100,E32&gt;91),ROUND(E32*'Reference Curves'!$J$103+'Reference Curves'!$J$104,2),ROUND(E32*'Reference Curves'!$I$103+'Reference Curves'!$I$104,2)))))</f>
        <v/>
      </c>
      <c r="G32" s="416"/>
      <c r="H32" s="416"/>
      <c r="I32" s="419"/>
      <c r="J32" s="451"/>
      <c r="K32" s="10"/>
      <c r="N32" s="9"/>
    </row>
    <row r="33" spans="1:14" ht="15.75" x14ac:dyDescent="0.5">
      <c r="A33" s="436" t="s">
        <v>47</v>
      </c>
      <c r="B33" s="441" t="s">
        <v>139</v>
      </c>
      <c r="C33" s="139" t="s">
        <v>193</v>
      </c>
      <c r="D33" s="160"/>
      <c r="E33" s="30"/>
      <c r="F33" s="215" t="str">
        <f>IF(E33="","",IF(G4="","Enter Stream Temperature",  IF(G4="CS-I (MWF)",IF(E33&gt;=21.2,0,1),  IF(G4="CS-I",IF(E33&gt;=21.7,0,1),  IF(G4="CS-II",IF(E33&gt;=23.9,0,1),  IF(G4="WS-I",IF(E33&gt;=29,0,1),  IF(G4="WS-II",IF(E33&gt;=28.6,0,1), IF(G4="WS-III",IF(E33&gt;=31.8,0,1)))))))))</f>
        <v/>
      </c>
      <c r="G33" s="422" t="str">
        <f>IFERROR(AVERAGE(F33:F34),"")</f>
        <v/>
      </c>
      <c r="H33" s="422" t="str">
        <f>IFERROR(ROUND(AVERAGE(G33:G36),2),"")</f>
        <v/>
      </c>
      <c r="I33" s="430" t="str">
        <f>IF(H33="","",IF(H33&gt;0.69,"Functioning",IF(H33&gt;0.29,"Functioning At Risk",IF(H33&gt;-1,"Not Functioning"))))</f>
        <v/>
      </c>
      <c r="J33" s="451"/>
      <c r="K33" s="10"/>
      <c r="N33" s="9"/>
    </row>
    <row r="34" spans="1:14" ht="15.75" x14ac:dyDescent="0.5">
      <c r="A34" s="436"/>
      <c r="B34" s="441"/>
      <c r="C34" s="140" t="s">
        <v>194</v>
      </c>
      <c r="D34" s="155"/>
      <c r="E34" s="35"/>
      <c r="F34" s="216" t="str">
        <f>IF(E34="","",IF(G4="","Enter Stream Temperature",  IF(G4="CS-I (MWF)",IF(E34&gt;=18.3,0,IF(E34&lt;=13.8,1,ROUND(E34*'Reference Curves'!$M$4+'Reference Curves'!$M$5,2))),  IF(G4="CS-I",IF(E34&gt;=17.6,0,IF(E34&lt;=15.7,1,ROUND(E34*'Reference Curves'!$N$4+'Reference Curves'!$N$5,2))),  IF(G4="CS-II",IF(E34&gt;=19.1,0,IF(E34&lt;=16.6,1,ROUND(E34*'Reference Curves'!$O$4+'Reference Curves'!$O$5,2))),  IF(G4="WS-I",IF(E34&gt;=25.7,0,IF(E34&lt;=20.9,1,ROUND(E34*'Reference Curves'!$P$4+'Reference Curves'!$P$5,2))),  IF(G4="WS-II",IF(E34&gt;=29.7,0,IF(E34&lt;=22.5,1,ROUND(E34*'Reference Curves'!$Q$4+'Reference Curves'!$Q$5,2))), IF(G4="WS-III",IF(E34&gt;=30,0,IF(E34&lt;=25.9,1,ROUND(E34*'Reference Curves'!$R$4+'Reference Curves'!$R$5,2)))    ))))))))</f>
        <v/>
      </c>
      <c r="G34" s="424"/>
      <c r="H34" s="423"/>
      <c r="I34" s="430"/>
      <c r="J34" s="451"/>
      <c r="K34" s="10"/>
      <c r="N34" s="9"/>
    </row>
    <row r="35" spans="1:14" ht="15.75" x14ac:dyDescent="0.5">
      <c r="A35" s="436"/>
      <c r="B35" s="192" t="s">
        <v>140</v>
      </c>
      <c r="C35" s="142" t="s">
        <v>195</v>
      </c>
      <c r="D35" s="156"/>
      <c r="E35" s="54"/>
      <c r="F35" s="216" t="str">
        <f>IF(E35="","",ROUND( IF(E35&lt;=6,0, IF(E35&gt;=10.31,1,E35*'Reference Curves'!$M$8+'Reference Curves'!$M$9)),2))</f>
        <v/>
      </c>
      <c r="G35" s="163" t="str">
        <f>IFERROR(AVERAGE(F35),"")</f>
        <v/>
      </c>
      <c r="H35" s="423"/>
      <c r="I35" s="430"/>
      <c r="J35" s="451"/>
      <c r="K35" s="10"/>
      <c r="N35" s="9"/>
    </row>
    <row r="36" spans="1:14" ht="15.75" x14ac:dyDescent="0.5">
      <c r="A36" s="436"/>
      <c r="B36" s="192" t="s">
        <v>196</v>
      </c>
      <c r="C36" s="143" t="s">
        <v>357</v>
      </c>
      <c r="D36" s="157"/>
      <c r="E36" s="54"/>
      <c r="F36" s="216" t="str">
        <f>IF(E36="","",IF(OR(G5=3),IF(E36&gt;=150,0,IF(E36&lt;=16,1,ROUND('Reference Curves'!$M$13*LN(E36)+'Reference Curves'!$M$14,2))), IF(OR(G5=1,G5=2),  IF(E36&gt;=97,0,IF(E36&lt;=12,1,ROUND('Reference Curves'!$N$13*LN(E36)+'Reference Curves'!$N$14,2))))))</f>
        <v/>
      </c>
      <c r="G36" s="163" t="str">
        <f>IFERROR(AVERAGE(F36),"")</f>
        <v/>
      </c>
      <c r="H36" s="424"/>
      <c r="I36" s="430"/>
      <c r="J36" s="451"/>
      <c r="K36" s="10"/>
      <c r="N36" s="9"/>
    </row>
    <row r="37" spans="1:14" ht="15.75" x14ac:dyDescent="0.5">
      <c r="A37" s="435" t="s">
        <v>48</v>
      </c>
      <c r="B37" s="191" t="s">
        <v>93</v>
      </c>
      <c r="C37" s="145" t="s">
        <v>197</v>
      </c>
      <c r="D37" s="28"/>
      <c r="E37" s="54"/>
      <c r="F37" s="217" t="str">
        <f>IF(E37="","",IF(G5="","Enter Biotype",IF(G5=1,IF(E37&lt;=0,0,IF(E37&gt;=57,1,ROUND(IF(E37&lt;=34,'Reference Curves'!$T$5*E37+'Reference Curves'!$T$6,  IF(E37&lt;=45, 'Reference Curves'!$U$5*E37+'Reference Curves'!$U$6,  'Reference Curves'!$V$5*E37+'Reference Curves'!$V$6)),2))),   IF(G5=2,IF(E37&lt;=0,0,IF(E37&gt;=63,1,ROUND(IF(E37&lt;=40,'Reference Curves'!$W$5*E37+'Reference Curves'!$W$6,  IF(E37&lt;=48,'Reference Curves'!$X$5*E37+'Reference Curves'!$X$6,  'Reference Curves'!$Y$5*E37+'Reference Curves'!$Y$6)),2))),   IF(OR(G5=3),IF(E37&lt;=0,0,IF(E37&gt;=52,1,ROUND(IF(E37&lt;=29,'Reference Curves'!$Z$5*E37+'Reference Curves'!$Z$6, IF(E37&lt;=42, 'Reference Curves'!$AA$5*E37+'Reference Curves'!$AA$6,  'Reference Curves'!$AB$5*E37+'Reference Curves'!$AB$6)),2))))))))</f>
        <v/>
      </c>
      <c r="G37" s="164" t="str">
        <f>IFERROR(AVERAGE(F37),"")</f>
        <v/>
      </c>
      <c r="H37" s="420" t="str">
        <f>IFERROR(ROUND(AVERAGE(G37:G40),2),"")</f>
        <v/>
      </c>
      <c r="I37" s="430" t="str">
        <f>IF(H37="","",IF(H37&gt;0.69,"Functioning",IF(H37&gt;0.29,"Functioning At Risk",IF(H37&gt;-1,"Not Functioning"))))</f>
        <v/>
      </c>
      <c r="J37" s="451"/>
      <c r="K37" s="10"/>
      <c r="N37" s="9"/>
    </row>
    <row r="38" spans="1:14" ht="15.75" x14ac:dyDescent="0.5">
      <c r="A38" s="435"/>
      <c r="B38" s="398" t="s">
        <v>51</v>
      </c>
      <c r="C38" s="146" t="s">
        <v>198</v>
      </c>
      <c r="D38" s="28"/>
      <c r="E38" s="30"/>
      <c r="F38" s="164" t="str">
        <f>IF(E38="","",IF(E38&lt;=0,0,IF(E38&gt;=100,1,ROUND(IF(E38&lt;80,E38*'Reference Curves'!$T$10+'Reference Curves'!$T$11,E38*'Reference Curves'!$U$10+'Reference Curves'!$U$11),2))))</f>
        <v/>
      </c>
      <c r="G38" s="427" t="str">
        <f>IFERROR(AVERAGE(F38:F40),"")</f>
        <v/>
      </c>
      <c r="H38" s="420"/>
      <c r="I38" s="430"/>
      <c r="J38" s="451"/>
      <c r="K38" s="10"/>
      <c r="N38" s="9"/>
    </row>
    <row r="39" spans="1:14" ht="15.75" x14ac:dyDescent="0.5">
      <c r="A39" s="435"/>
      <c r="B39" s="398"/>
      <c r="C39" s="147" t="s">
        <v>199</v>
      </c>
      <c r="D39" s="159"/>
      <c r="E39" s="34"/>
      <c r="F39" s="164" t="str">
        <f>IF(E39="","",ROUND(IF(E39&gt;=3,0,IF(E39&gt;=2,0.3,IF(E39&gt;=1,0.69,1))),2))</f>
        <v/>
      </c>
      <c r="G39" s="428"/>
      <c r="H39" s="420"/>
      <c r="I39" s="430"/>
      <c r="J39" s="451"/>
      <c r="K39" s="10"/>
      <c r="N39" s="9"/>
    </row>
    <row r="40" spans="1:14" ht="15.75" x14ac:dyDescent="0.5">
      <c r="A40" s="435"/>
      <c r="B40" s="398"/>
      <c r="C40" s="148" t="s">
        <v>200</v>
      </c>
      <c r="D40" s="161"/>
      <c r="E40" s="35"/>
      <c r="F40" s="218" t="str">
        <f>IF(E40="","",IF(G8="","Enter Stream Producitvity Rating",IF(G8="High",IF(E40&lt;5,0,IF(E40&gt;=40,1,ROUND(E40*'Reference Curves'!$T$15+'Reference Curves'!$T$16,2))),IF(G8="Moderate",IF(E40&lt;10,0,IF(E40&gt;=80,1,ROUND(E40*'Reference Curves'!$U$15+'Reference Curves'!$U$16,2))),IF(G8="Low",IF(E40&lt;15,0,IF(E40&gt;=119,1,ROUND(E40*'Reference Curves'!$V$15+'Reference Curves'!$V$16,2)))   )))))</f>
        <v/>
      </c>
      <c r="G40" s="429"/>
      <c r="H40" s="420"/>
      <c r="I40" s="430"/>
      <c r="J40" s="451"/>
      <c r="K40" s="10"/>
      <c r="N40" s="9"/>
    </row>
    <row r="41" spans="1:14" x14ac:dyDescent="0.45">
      <c r="J41" s="4"/>
      <c r="K41" s="10"/>
    </row>
    <row r="43" spans="1:14" ht="21" customHeight="1" x14ac:dyDescent="0.45">
      <c r="A43" s="408" t="s">
        <v>349</v>
      </c>
      <c r="B43" s="409"/>
      <c r="C43" s="409"/>
      <c r="D43" s="409"/>
      <c r="E43" s="409"/>
      <c r="F43" s="409"/>
      <c r="G43" s="409"/>
      <c r="H43" s="409"/>
      <c r="I43" s="409"/>
      <c r="J43" s="410"/>
    </row>
    <row r="44" spans="1:14" ht="16.149999999999999" customHeight="1" x14ac:dyDescent="0.45">
      <c r="A44" s="223" t="str">
        <f>'Existing Conditions'!A44</f>
        <v>Reach ID:</v>
      </c>
      <c r="B44" s="224">
        <f>'Existing Conditions'!B44</f>
        <v>0</v>
      </c>
      <c r="C44" s="225" t="str">
        <f>'Existing Conditions'!C44</f>
        <v>Stream Slope (%):</v>
      </c>
      <c r="D44" s="280">
        <f>'Existing Conditions'!D44</f>
        <v>0</v>
      </c>
      <c r="E44" s="449" t="s">
        <v>245</v>
      </c>
      <c r="F44" s="450"/>
      <c r="G44" s="224">
        <f>'Existing Conditions'!G44</f>
        <v>0</v>
      </c>
      <c r="H44" s="447" t="s">
        <v>121</v>
      </c>
      <c r="I44" s="448"/>
      <c r="J44" s="224">
        <f>'Existing Conditions'!J44</f>
        <v>0</v>
      </c>
    </row>
    <row r="45" spans="1:14" ht="16.149999999999999" customHeight="1" x14ac:dyDescent="0.45">
      <c r="A45" s="223" t="str">
        <f>'Existing Conditions'!A45</f>
        <v>Reference Stream Type:</v>
      </c>
      <c r="B45" s="224">
        <f>'Existing Conditions'!B45</f>
        <v>0</v>
      </c>
      <c r="C45" s="277" t="str">
        <f>'Existing Conditions'!C45</f>
        <v>Proposed Bankfull Width (ft):</v>
      </c>
      <c r="D45" s="280">
        <f>'Existing Conditions'!D45</f>
        <v>0</v>
      </c>
      <c r="E45" s="449" t="s">
        <v>247</v>
      </c>
      <c r="F45" s="450"/>
      <c r="G45" s="224">
        <f>'Existing Conditions'!G45</f>
        <v>0</v>
      </c>
      <c r="H45" s="447" t="s">
        <v>122</v>
      </c>
      <c r="I45" s="448"/>
      <c r="J45" s="224">
        <f>'Existing Conditions'!J45</f>
        <v>0</v>
      </c>
    </row>
    <row r="46" spans="1:14" ht="16.149999999999999" customHeight="1" x14ac:dyDescent="0.65">
      <c r="A46" s="223" t="str">
        <f>'Existing Conditions'!A46</f>
        <v>Flow Permanence:</v>
      </c>
      <c r="B46" s="224">
        <f>'Existing Conditions'!B46</f>
        <v>0</v>
      </c>
      <c r="C46" s="277" t="str">
        <f>'Existing Conditions'!C46</f>
        <v>Valley Type:</v>
      </c>
      <c r="D46" s="280">
        <f>'Existing Conditions'!D46</f>
        <v>0</v>
      </c>
      <c r="E46" s="449" t="s">
        <v>261</v>
      </c>
      <c r="F46" s="450"/>
      <c r="G46" s="224">
        <f>'Existing Conditions'!G46</f>
        <v>0</v>
      </c>
      <c r="H46" s="447" t="s">
        <v>123</v>
      </c>
      <c r="I46" s="448"/>
      <c r="J46" s="224">
        <f>'Existing Conditions'!J46</f>
        <v>0</v>
      </c>
      <c r="K46" s="26"/>
    </row>
    <row r="47" spans="1:14" ht="16.149999999999999" customHeight="1" x14ac:dyDescent="0.5">
      <c r="A47" s="223" t="str">
        <f>'Existing Conditions'!A47</f>
        <v>Strahler Stream Order:</v>
      </c>
      <c r="B47" s="224">
        <f>'Existing Conditions'!B47</f>
        <v>0</v>
      </c>
      <c r="C47" s="277" t="str">
        <f>'Existing Conditions'!C47</f>
        <v>Reference Vegetation Cover:</v>
      </c>
      <c r="D47" s="280">
        <f>'Existing Conditions'!D47</f>
        <v>0</v>
      </c>
      <c r="E47" s="449" t="s">
        <v>271</v>
      </c>
      <c r="F47" s="450"/>
      <c r="G47" s="224">
        <f>'Existing Conditions'!G47</f>
        <v>0</v>
      </c>
      <c r="H47" s="447" t="s">
        <v>124</v>
      </c>
      <c r="I47" s="448"/>
      <c r="J47" s="224">
        <f>'Existing Conditions'!J47</f>
        <v>0</v>
      </c>
      <c r="K47" s="39"/>
    </row>
    <row r="48" spans="1:14" ht="18" customHeight="1" x14ac:dyDescent="0.5">
      <c r="A48" s="223" t="str">
        <f>'Existing Conditions'!A48</f>
        <v>Outstanding Water:</v>
      </c>
      <c r="B48" s="224">
        <f>'Existing Conditions'!B48</f>
        <v>0</v>
      </c>
      <c r="C48" s="277" t="str">
        <f>'Existing Conditions'!C48</f>
        <v>Sediment Regime:</v>
      </c>
      <c r="D48" s="280">
        <f>'Existing Conditions'!D48</f>
        <v>0</v>
      </c>
      <c r="E48" s="449" t="s">
        <v>248</v>
      </c>
      <c r="F48" s="450"/>
      <c r="G48" s="224">
        <f>'Existing Conditions'!G48</f>
        <v>0</v>
      </c>
      <c r="H48" s="229"/>
      <c r="I48" s="229"/>
      <c r="J48" s="230"/>
      <c r="K48" s="39"/>
    </row>
    <row r="49" spans="1:14" ht="4.5" customHeight="1" x14ac:dyDescent="0.5">
      <c r="B49" s="58"/>
      <c r="C49" s="58"/>
      <c r="D49" s="58"/>
      <c r="E49" s="58"/>
      <c r="F49" s="58"/>
      <c r="G49" s="58"/>
      <c r="H49" s="58"/>
      <c r="I49" s="56"/>
      <c r="J49" s="10"/>
      <c r="K49" s="39"/>
    </row>
    <row r="50" spans="1:14" ht="19.899999999999999" customHeight="1" x14ac:dyDescent="0.65">
      <c r="A50" s="431" t="str">
        <f>_xlfn.CONCAT("PROPOSED CONDITION ASSESSMENT for Reach ",B44)</f>
        <v>PROPOSED CONDITION ASSESSMENT for Reach 0</v>
      </c>
      <c r="B50" s="431"/>
      <c r="C50" s="431"/>
      <c r="D50" s="431"/>
      <c r="E50" s="431"/>
      <c r="F50" s="431"/>
      <c r="G50" s="431" t="s">
        <v>13</v>
      </c>
      <c r="H50" s="431"/>
      <c r="I50" s="431"/>
      <c r="J50" s="431"/>
      <c r="K50" s="10"/>
    </row>
    <row r="51" spans="1:14" ht="15.75" x14ac:dyDescent="0.5">
      <c r="A51" s="32" t="s">
        <v>1</v>
      </c>
      <c r="B51" s="32" t="s">
        <v>2</v>
      </c>
      <c r="C51" s="432" t="s">
        <v>3</v>
      </c>
      <c r="D51" s="433"/>
      <c r="E51" s="32" t="s">
        <v>11</v>
      </c>
      <c r="F51" s="31" t="s">
        <v>12</v>
      </c>
      <c r="G51" s="32" t="s">
        <v>14</v>
      </c>
      <c r="H51" s="32" t="s">
        <v>15</v>
      </c>
      <c r="I51" s="57" t="s">
        <v>15</v>
      </c>
      <c r="J51" s="32" t="s">
        <v>160</v>
      </c>
      <c r="K51" s="10"/>
    </row>
    <row r="52" spans="1:14" ht="15.75" x14ac:dyDescent="0.5">
      <c r="A52" s="434" t="s">
        <v>173</v>
      </c>
      <c r="B52" s="437" t="s">
        <v>71</v>
      </c>
      <c r="C52" s="132" t="s">
        <v>138</v>
      </c>
      <c r="D52" s="149"/>
      <c r="E52" s="30"/>
      <c r="F52" s="202" t="str">
        <f>IF(E52="","",IF(E52&gt;78,0,IF(E52&lt;=55,1,ROUND(E52*'Reference Curves'!$B$3+'Reference Curves'!$B$4,2))))</f>
        <v/>
      </c>
      <c r="G52" s="411" t="str">
        <f>IFERROR(AVERAGE(F52:F53),"")</f>
        <v/>
      </c>
      <c r="H52" s="411" t="str">
        <f>IFERROR(ROUND(AVERAGE(G52:G58),2),"")</f>
        <v/>
      </c>
      <c r="I52" s="438" t="str">
        <f>IF(H52="","",IF(H52:H58&gt;0.69,"Functioning",IF(H52&gt;0.29,"Functioning At Risk",IF(H52&gt;-1,"Not Functioning"))))</f>
        <v/>
      </c>
      <c r="J52" s="451" t="str">
        <f>IF(AND(H52="",H59="",H73="",H77=""),"",ROUND((IF(H52="",0,H52)*0.3)+(IF(H59="",0,H59)*0.3)+(IF(H73="",0,H73)*0.2)+(IF(H77="",0,H77)*0.2),2))</f>
        <v/>
      </c>
      <c r="K52" s="10"/>
    </row>
    <row r="53" spans="1:14" ht="15.75" x14ac:dyDescent="0.5">
      <c r="A53" s="434"/>
      <c r="B53" s="437"/>
      <c r="C53" s="133" t="s">
        <v>184</v>
      </c>
      <c r="D53" s="150"/>
      <c r="E53" s="35"/>
      <c r="F53" s="203" t="str">
        <f>IF(E53="","",   IF(E53&gt;3.2,0, IF(E53&lt;0, "", ROUND('Reference Curves'!$B$8*E53+'Reference Curves'!$B$9,2))))</f>
        <v/>
      </c>
      <c r="G53" s="412"/>
      <c r="H53" s="412"/>
      <c r="I53" s="439"/>
      <c r="J53" s="451"/>
      <c r="K53" s="10"/>
    </row>
    <row r="54" spans="1:14" ht="15.75" x14ac:dyDescent="0.5">
      <c r="A54" s="434"/>
      <c r="B54" s="400" t="s">
        <v>185</v>
      </c>
      <c r="C54" s="134" t="s">
        <v>186</v>
      </c>
      <c r="D54" s="149"/>
      <c r="E54" s="34"/>
      <c r="F54" s="204" t="s">
        <v>285</v>
      </c>
      <c r="G54" s="411" t="str">
        <f>IFERROR(IF(AND(ISNUMBER(E54),E54&lt;1),0,AVERAGE(F54:F55)),"")</f>
        <v/>
      </c>
      <c r="H54" s="412"/>
      <c r="I54" s="439"/>
      <c r="J54" s="451"/>
      <c r="K54" s="10"/>
    </row>
    <row r="55" spans="1:14" ht="15.75" x14ac:dyDescent="0.5">
      <c r="A55" s="434"/>
      <c r="B55" s="401"/>
      <c r="C55" s="151" t="s">
        <v>187</v>
      </c>
      <c r="D55" s="152"/>
      <c r="E55" s="34"/>
      <c r="F55" s="205" t="str">
        <f>IF(E55="","",IF(G44= "CS-II", ROUND(IF(E55&lt;=0.6,0, IF(E55&gt;=2.3,1,E55*'Reference Curves'!$D$14+'Reference Curves'!$D$15)),2),IF(AND(D45&lt;20,LEFT(G44,2)="CS"), ROUND(IF(E55&lt;=0.2,0, IF(E55&gt;=1,1,E55*'Reference Curves'!$B$14+'Reference Curves'!$B$15)),2), IF(AND(D45&gt;=20,LEFT(G44,2)= "CS"), ROUND(IF(E55&lt;=0.4,0, IF(E55&gt;=1.5,1,E55*'Reference Curves'!$C$14+'Reference Curves'!$C$15)),2),"FALSE"))))</f>
        <v/>
      </c>
      <c r="G55" s="413"/>
      <c r="H55" s="412"/>
      <c r="I55" s="439"/>
      <c r="J55" s="451"/>
      <c r="K55" s="10"/>
    </row>
    <row r="56" spans="1:14" ht="15.75" x14ac:dyDescent="0.5">
      <c r="A56" s="434"/>
      <c r="B56" s="437" t="s">
        <v>4</v>
      </c>
      <c r="C56" s="133" t="s">
        <v>5</v>
      </c>
      <c r="D56" s="14"/>
      <c r="E56" s="30"/>
      <c r="F56" s="206" t="str">
        <f>IF( E56="","",
IF( E56&gt;1.71,0, IF( E56&gt;1, ROUND(E56*'Reference Curves'!C$20+'Reference Curves'!C$21,2),
IF( D48="Transport", ROUND(IF( E56&lt;0.35,0, E56*'Reference Curves'!$B$20+'Reference Curves'!$B$21 ),2), 1 ))))</f>
        <v/>
      </c>
      <c r="G56" s="411" t="str">
        <f>IFERROR(AVERAGE(F56:F58),"")</f>
        <v/>
      </c>
      <c r="H56" s="412"/>
      <c r="I56" s="439"/>
      <c r="J56" s="451"/>
      <c r="K56" s="10"/>
      <c r="N56" s="9"/>
    </row>
    <row r="57" spans="1:14" ht="15.75" x14ac:dyDescent="0.5">
      <c r="A57" s="434"/>
      <c r="B57" s="437"/>
      <c r="C57" s="133" t="s">
        <v>6</v>
      </c>
      <c r="D57" s="14"/>
      <c r="E57" s="34"/>
      <c r="F57" s="205" t="str">
        <f>IF(E57="","",IF(OR(LEFT(B45,1)="A",LEFT(B45,1)="B"),IF(E57&lt;1.05,0,IF(E57&gt;=2.2,1,ROUND(IF(E57&lt;1.4,E57*'Reference Curves'!$B$40+'Reference Curves'!$B$41,E57*'Reference Curves'!$C$40+'Reference Curves'!$C$41),2))), IF(B45="C",IF(E57&lt;1.7,0,IF(E57&gt;=4.2,1,ROUND(IF(E57&lt;2.4,E57*'Reference Curves'!$C$25+'Reference Curves'!$C$26,E57*'Reference Curves'!$B$25+'Reference Curves'!$B$26),2))),                                                                                                                                                                                                                    IF(B45="Cb",IF(E57&lt;1.7,0,IF(E57&gt;=3.9,1,ROUND(IF(E57&lt;2.4,E57*'Reference Curves'!$C$30+'Reference Curves'!$C$31,E57*'Reference Curves'!$B$30+'Reference Curves'!$B$31),2))),
IF(LEFT(B45,1)="E",IF(E57&lt;1.7,0,IF(E57&gt;=6.7,1,ROUND(IF(E57&lt;2.4,E57*'Reference Curves'!$C$35+'Reference Curves'!$C$36,E57*'Reference Curves'!$B$35+'Reference Curves'!$B$36),2))))))))</f>
        <v/>
      </c>
      <c r="G57" s="412"/>
      <c r="H57" s="412"/>
      <c r="I57" s="439"/>
      <c r="J57" s="451"/>
      <c r="K57" s="10"/>
      <c r="N57" s="9"/>
    </row>
    <row r="58" spans="1:14" ht="15.75" customHeight="1" x14ac:dyDescent="0.5">
      <c r="A58" s="434"/>
      <c r="B58" s="437"/>
      <c r="C58" s="135" t="s">
        <v>188</v>
      </c>
      <c r="D58" s="14"/>
      <c r="E58" s="35"/>
      <c r="F58" s="207" t="str">
        <f>IF(E58="","",IF(D46="Unconfined Alluvial",IF(E58&lt;=0,0, IF(E58&gt;=100,1, ROUND(IF(E58&lt;10,E58*'Reference Curves'!$B$46+'Reference Curves'!$B$47, IF(E58&lt;50,E58*'Reference Curves'!$C$46+'Reference Curves'!$C$47,E58*'Reference Curves'!$D$46+'Reference Curves'!$D$47)),2))), IF(D46="Confined Alluvial",IF(E58&lt;=0,0,IF(E58&gt;=50,1,ROUND(IF(E58&lt;5,E58*'Reference Curves'!$E$46+'Reference Curves'!$E$47,IF(E58&lt;25,E58*'Reference Curves'!$F$46+'Reference Curves'!$F$47,E58*'Reference Curves'!$G$46+'Reference Curves'!$G$47)),2))))))</f>
        <v/>
      </c>
      <c r="G58" s="413"/>
      <c r="H58" s="413"/>
      <c r="I58" s="440"/>
      <c r="J58" s="451"/>
      <c r="K58" s="10"/>
      <c r="N58" s="9"/>
    </row>
    <row r="59" spans="1:14" ht="15.75" x14ac:dyDescent="0.5">
      <c r="A59" s="399" t="s">
        <v>20</v>
      </c>
      <c r="B59" s="399" t="s">
        <v>21</v>
      </c>
      <c r="C59" s="16" t="s">
        <v>19</v>
      </c>
      <c r="D59" s="46"/>
      <c r="E59" s="30"/>
      <c r="F59" s="208" t="str">
        <f>IF(E59="","",IF(E59&gt;=660,1,IF(E59&lt;=430,ROUND('Reference Curves'!$I$4*E59+'Reference Curves'!$I$5,2),ROUND('Reference Curves'!$J$4*E59+'Reference Curves'!$J$5,2))))</f>
        <v/>
      </c>
      <c r="G59" s="414" t="str">
        <f>IFERROR(AVERAGE(F59:F60),"")</f>
        <v/>
      </c>
      <c r="H59" s="414" t="str">
        <f>IFERROR(ROUND(AVERAGE(G59:G72),2),"")</f>
        <v/>
      </c>
      <c r="I59" s="417" t="str">
        <f>IF(H59="","",IF(H59&gt;0.69,"Functioning",IF(H59&gt;0.29,"Functioning At Risk",IF(H59&gt;-1,"Not Functioning"))))</f>
        <v/>
      </c>
      <c r="J59" s="451"/>
      <c r="K59" s="10"/>
      <c r="N59" s="9"/>
    </row>
    <row r="60" spans="1:14" ht="15.75" x14ac:dyDescent="0.5">
      <c r="A60" s="399"/>
      <c r="B60" s="399"/>
      <c r="C60" s="18" t="s">
        <v>189</v>
      </c>
      <c r="D60" s="47"/>
      <c r="E60" s="35"/>
      <c r="F60" s="209" t="str">
        <f>IF(E60="","",IF(E60&gt;=28,1,ROUND(IF(E60&lt;=13,'Reference Curves'!$I$9*E60,'Reference Curves'!$J$9*E60+'Reference Curves'!$J$10),2)))</f>
        <v/>
      </c>
      <c r="G60" s="416"/>
      <c r="H60" s="415"/>
      <c r="I60" s="418"/>
      <c r="J60" s="451"/>
      <c r="K60" s="10"/>
      <c r="N60" s="9"/>
    </row>
    <row r="61" spans="1:14" ht="15.75" x14ac:dyDescent="0.5">
      <c r="A61" s="399"/>
      <c r="B61" s="399" t="s">
        <v>114</v>
      </c>
      <c r="C61" s="16" t="s">
        <v>190</v>
      </c>
      <c r="D61" s="46"/>
      <c r="E61" s="78"/>
      <c r="F61" s="208" t="str">
        <f>IF(E61="","",ROUND(IF(E61&lt;=2,0,IF(E61&gt;=9,1, IF(E61&gt;=5,E61^2*'Reference Curves'!$I$14+E61*'Reference Curves'!$I$15+'Reference Curves'!$I$16, E61*'Reference Curves'!$J$15+'Reference Curves'!$J$16))),2))</f>
        <v/>
      </c>
      <c r="G61" s="414" t="str">
        <f>IFERROR(IF(E64&gt;=50,0,AVERAGE(F61:F64)),"")</f>
        <v/>
      </c>
      <c r="H61" s="415"/>
      <c r="I61" s="418"/>
      <c r="J61" s="451"/>
      <c r="K61" s="10"/>
      <c r="N61" s="9"/>
    </row>
    <row r="62" spans="1:14" ht="15.75" x14ac:dyDescent="0.5">
      <c r="A62" s="399"/>
      <c r="B62" s="399"/>
      <c r="C62" s="18" t="s">
        <v>42</v>
      </c>
      <c r="D62" s="67"/>
      <c r="E62" s="78"/>
      <c r="F62" s="210" t="str">
        <f>IF(E62="","",IF(OR(E62="Ex/Ex",E62="Ex/VH",E62="Ex/H",E62="Ex/M",E62="VH/Ex",E62="VH/VH", E62="H/Ex",E62="H/VH"),0, IF(OR(E62="M/Ex"),0.1,IF(OR(E62="VH/H",E62="VH/M",E62="H/H",E62="H/M", E62="M/VH"),0.2, IF(OR(E62="Ex/VL",E62="Ex/L", E62="M/H"),0.3, IF(OR(E62="VH/L",E62="H/L"),0.4, IF(OR(E62="VH/VL",E62="H/VL",E62="M/M"),0.5, IF(OR(E62="M/L",E62="L/Ex"),0.6, IF(OR(E62="M/VL",E62="L/VH", E62="L/H",E62="L/M",E62="L/L",E62="L/VL", LEFT(E62,2)="VL"),1)))))))))</f>
        <v/>
      </c>
      <c r="G62" s="415"/>
      <c r="H62" s="415"/>
      <c r="I62" s="418"/>
      <c r="J62" s="451"/>
      <c r="K62" s="10"/>
      <c r="N62" s="9"/>
    </row>
    <row r="63" spans="1:14" ht="15.75" x14ac:dyDescent="0.5">
      <c r="A63" s="399"/>
      <c r="B63" s="399"/>
      <c r="C63" s="136" t="s">
        <v>54</v>
      </c>
      <c r="D63" s="67"/>
      <c r="E63" s="78"/>
      <c r="F63" s="210" t="str">
        <f>IF(E63="","",ROUND(IF(E63&gt;=75,0,IF(E63&lt;=5,1,IF(E63&gt;10,E63*'Reference Curves'!I$20+'Reference Curves'!I$21,'Reference Curves'!$J$20*E63+'Reference Curves'!$J$21))),2))</f>
        <v/>
      </c>
      <c r="G63" s="421"/>
      <c r="H63" s="415"/>
      <c r="I63" s="418"/>
      <c r="J63" s="451"/>
      <c r="K63" s="10"/>
      <c r="N63" s="9"/>
    </row>
    <row r="64" spans="1:14" ht="15.75" x14ac:dyDescent="0.5">
      <c r="A64" s="399"/>
      <c r="B64" s="399"/>
      <c r="C64" s="137" t="s">
        <v>113</v>
      </c>
      <c r="D64" s="154"/>
      <c r="E64" s="153"/>
      <c r="F64" s="211" t="str">
        <f>IF(E64="","",IF(E64&gt;=30,0,ROUND(E64*'Reference Curves'!$I$24+'Reference Curves'!$I$25,2)))</f>
        <v/>
      </c>
      <c r="G64" s="416"/>
      <c r="H64" s="415"/>
      <c r="I64" s="418"/>
      <c r="J64" s="451"/>
      <c r="K64" s="10"/>
      <c r="N64" s="9"/>
    </row>
    <row r="65" spans="1:14" ht="15.75" x14ac:dyDescent="0.5">
      <c r="A65" s="399"/>
      <c r="B65" s="399" t="s">
        <v>44</v>
      </c>
      <c r="C65" s="16" t="s">
        <v>45</v>
      </c>
      <c r="D65" s="20"/>
      <c r="E65" s="37"/>
      <c r="F65" s="212" t="str">
        <f>IF(E65="","",IF(B45="Bc",IF(OR(E65&gt;=12,E65&lt;=0.1),0,IF(E65&lt;=3.4,1,ROUND('Reference Curves'!$I$33*E65+'Reference Curves'!$I$34,2))),
IF(OR(B45="B",B45="Ba"),IF(OR(E65&gt;=7.5,E65&lt;=0.1),0,IF(E65&lt;=3,1,ROUND(IF(E65&gt;4,'Reference Curves'!$I$29*E65+'Reference Curves'!$I$30,'Reference Curves'!$J$29*E65+'Reference Curves'!$J$30),2))),
IF(B45="Cb",IF(OR(E65&gt;=8.35,E65&lt;1.4),0,IF(AND(E65&gt;=3.7,E65&lt;=5),1,ROUND(IF(E65&lt;3.7,'Reference Curves'!$I$49*E65+'Reference Curves'!$I$50,'Reference Curves'!$J$49*E65+'Reference Curves'!$J$50),2))),
IF(B45="C",IF(OR(E65&gt;=9.3,E65&lt;=3),0,IF(AND(E65&gt;=4,E65&lt;=6),1,ROUND(IF(E65&lt;4,'Reference Curves'!$I$44*E65+'Reference Curves'!$I$45,'Reference Curves'!$J$44*E65+'Reference Curves'!$J$45),2))),
IF(B45="E",IF(OR(E65&gt;=8.3,E65&lt;1.85),0,IF(AND(E65&gt;=3.5,E65&lt;=5),1,ROUND(IF(E65&lt;3.5,'Reference Curves'!$I$38*E65+'Reference Curves'!$I$39,'Reference Curves'!$J$38*E65+'Reference Curves'!$J$39),2)))      ))))))</f>
        <v/>
      </c>
      <c r="G65" s="425" t="str">
        <f>IFERROR(AVERAGE(F65:F68),"")</f>
        <v/>
      </c>
      <c r="H65" s="415"/>
      <c r="I65" s="418"/>
      <c r="J65" s="451"/>
      <c r="K65" s="10"/>
      <c r="N65" s="9"/>
    </row>
    <row r="66" spans="1:14" ht="15.75" x14ac:dyDescent="0.5">
      <c r="A66" s="399"/>
      <c r="B66" s="399"/>
      <c r="C66" s="18" t="s">
        <v>46</v>
      </c>
      <c r="D66" s="15"/>
      <c r="E66" s="36"/>
      <c r="F66" s="213" t="str">
        <f>IF(E66="","",IF(E66&lt;=1,0,IF(E66&gt;=3.2,1,IF(E66&gt;=2.2,ROUND('Reference Curves'!$J$54*E66+'Reference Curves'!$J$55,2),(ROUND('Reference Curves'!$I$54*E66+'Reference Curves'!$I$55,2))))))</f>
        <v/>
      </c>
      <c r="G66" s="421"/>
      <c r="H66" s="415"/>
      <c r="I66" s="418"/>
      <c r="J66" s="451"/>
      <c r="K66" s="10"/>
      <c r="N66" s="9"/>
    </row>
    <row r="67" spans="1:14" ht="15.75" customHeight="1" x14ac:dyDescent="0.5">
      <c r="A67" s="399"/>
      <c r="B67" s="399"/>
      <c r="C67" s="18" t="s">
        <v>92</v>
      </c>
      <c r="D67" s="15"/>
      <c r="E67" s="36"/>
      <c r="F67" s="283" t="str">
        <f>IF(E67="","", IF(D44="","FALSE",IF(D44&lt; 3,IF( OR(E67&gt;=91,E67&lt;=13.5),0, IF(AND(E67&gt;49,E67&lt;61), 1, ROUND(IF(E67&lt;50,'Reference Curves'!$I$60*E67+'Reference Curves'!$I$61, IF(E67&gt;60,'Reference Curves'!$J$60*E67+'Reference Curves'!$J$61)),2))), IF(D44&gt;=3,IF(OR(E67&gt;94.5,E67&lt;41.5),0, IF(AND(E67 &gt;=68, E67&lt;=78),1, ROUND(IF(E67&lt;68,'Reference Curves'!$I$65*E67+'Reference Curves'!$I$66,'Reference Curves'!$J$65*E67+'Reference Curves'!$J$66),2) ))))))</f>
        <v/>
      </c>
      <c r="G67" s="421"/>
      <c r="H67" s="415"/>
      <c r="I67" s="418"/>
      <c r="J67" s="451"/>
      <c r="K67" s="10"/>
      <c r="N67" s="9"/>
    </row>
    <row r="68" spans="1:14" ht="15.75" x14ac:dyDescent="0.5">
      <c r="A68" s="399"/>
      <c r="B68" s="399"/>
      <c r="C68" s="19" t="s">
        <v>79</v>
      </c>
      <c r="D68" s="15"/>
      <c r="E68" s="38"/>
      <c r="F68" s="284" t="str">
        <f>IF(E68="","",IF(E68&gt;=1.6,0,IF(E68&lt;=1,1,ROUND('Reference Curves'!$I$74*E68^3+'Reference Curves'!$I$75*E68^2+'Reference Curves'!$I$76*E68+'Reference Curves'!$I$77,2))))</f>
        <v/>
      </c>
      <c r="G68" s="426"/>
      <c r="H68" s="415"/>
      <c r="I68" s="418"/>
      <c r="J68" s="451"/>
      <c r="K68" s="10"/>
      <c r="N68" s="9"/>
    </row>
    <row r="69" spans="1:14" ht="15.75" x14ac:dyDescent="0.5">
      <c r="A69" s="399"/>
      <c r="B69" s="399" t="s">
        <v>43</v>
      </c>
      <c r="C69" s="18" t="s">
        <v>201</v>
      </c>
      <c r="D69" s="46"/>
      <c r="E69" s="17"/>
      <c r="F69" s="214" t="str">
        <f>IF( E69="","",
IF( D46="Unconfined Alluvial", IF( E69&gt;=100,1,
ROUND('Reference Curves'!$I$82*E69+'Reference Curves'!$I$83,2) ),
IF( OR(D46="Confined Alluvial", D46="Colluvial/V-Shaped"), ( IF(E69&gt;=100,1,
IF(E69&gt;=60, ROUND('Reference Curves'!$J$82*E69+'Reference Curves'!$J$83,2), ROUND('Reference Curves'!$K$82*E69+'Reference Curves'!$K$83,2) ) ) ) ) ) )</f>
        <v/>
      </c>
      <c r="G69" s="414" t="str">
        <f>IFERROR(AVERAGE(F69:F72),"")</f>
        <v/>
      </c>
      <c r="H69" s="415"/>
      <c r="I69" s="418"/>
      <c r="J69" s="451"/>
      <c r="K69" s="10"/>
      <c r="N69" s="9"/>
    </row>
    <row r="70" spans="1:14" ht="15.75" x14ac:dyDescent="0.5">
      <c r="A70" s="399"/>
      <c r="B70" s="399"/>
      <c r="C70" s="18" t="s">
        <v>191</v>
      </c>
      <c r="D70" s="67"/>
      <c r="E70" s="79"/>
      <c r="F70" s="213" t="str">
        <f>IF( E70="","", IF(D47&lt;&gt;"Woody","FALSE", IF( OR(G46="Mountains",G46="Basins"),
IF(E70&lt;=0,0, IF(E70&gt;=122,1, IF(E70&lt;69, ROUND('Reference Curves'!$I$87*E70+'Reference Curves'!$I$88,2), ROUND('Reference Curves'!$J$87*E70+'Reference Curves'!$J$88,2) ) ) ),
IF(G46="Plains",IF(OR(E70&lt;=0,E70&gt;111),0,IF(AND(E70&gt;=69,E70&lt;=76),1,IF(E70&lt;69,ROUND(E70*'Reference Curves'!$I$92+'Reference Curves'!$I$93,2),ROUND(E70*'Reference Curves'!$J$92+'Reference Curves'!$J$93,2))))))))</f>
        <v/>
      </c>
      <c r="G70" s="415"/>
      <c r="H70" s="415"/>
      <c r="I70" s="418"/>
      <c r="J70" s="451"/>
      <c r="K70" s="10"/>
      <c r="N70" s="9"/>
    </row>
    <row r="71" spans="1:14" ht="15.75" x14ac:dyDescent="0.5">
      <c r="A71" s="399"/>
      <c r="B71" s="399"/>
      <c r="C71" s="18" t="s">
        <v>141</v>
      </c>
      <c r="D71" s="67"/>
      <c r="E71" s="79"/>
      <c r="F71" s="213" t="str">
        <f>IF(E71="","",IF(D47="Herbaceous",IF(E71&lt;=34,0,IF(E71&gt;=120,1,IF(E71&gt;73,ROUND(E71*'Reference Curves'!$J$98+'Reference Curves'!$J$99,2),ROUND(E71*'Reference Curves'!$I$98+'Reference Curves'!$I$99,2))))))</f>
        <v/>
      </c>
      <c r="G71" s="421"/>
      <c r="H71" s="415"/>
      <c r="I71" s="418"/>
      <c r="J71" s="451"/>
      <c r="K71" s="10"/>
      <c r="N71" s="9"/>
    </row>
    <row r="72" spans="1:14" ht="15.75" x14ac:dyDescent="0.5">
      <c r="A72" s="399"/>
      <c r="B72" s="399"/>
      <c r="C72" s="138" t="s">
        <v>192</v>
      </c>
      <c r="D72" s="158"/>
      <c r="E72" s="162"/>
      <c r="F72" s="283" t="str">
        <f>IF(E72="","",IF(E72&lt;=46,0,IF(E72&gt;=100,1,IF(AND(E72&lt;=100,E72&gt;91),ROUND(E72*'Reference Curves'!$J$103+'Reference Curves'!$J$104,2),ROUND(E72*'Reference Curves'!$I$103+'Reference Curves'!$I$104,2)))))</f>
        <v/>
      </c>
      <c r="G72" s="416"/>
      <c r="H72" s="416"/>
      <c r="I72" s="419"/>
      <c r="J72" s="451"/>
      <c r="K72" s="10"/>
      <c r="N72" s="9"/>
    </row>
    <row r="73" spans="1:14" ht="15.75" x14ac:dyDescent="0.5">
      <c r="A73" s="436" t="s">
        <v>47</v>
      </c>
      <c r="B73" s="441" t="s">
        <v>139</v>
      </c>
      <c r="C73" s="139" t="s">
        <v>193</v>
      </c>
      <c r="D73" s="160"/>
      <c r="E73" s="30"/>
      <c r="F73" s="215" t="str">
        <f>IF(E73="","",IF(G44="","Enter Stream Temperature",  IF(G44="CS-I (MWF)",IF(E73&gt;=21.2,0,1),  IF(G44="CS-I",IF(E73&gt;=21.7,0,1),  IF(G44="CS-II",IF(E73&gt;=23.9,0,1),  IF(G44="WS-I",IF(E73&gt;=29,0,1),  IF(G44="WS-II",IF(E73&gt;=28.6,0,1), IF(G44="WS-III",IF(E73&gt;=31.8,0,1)))))))))</f>
        <v/>
      </c>
      <c r="G73" s="422" t="str">
        <f>IFERROR(AVERAGE(F73:F74),"")</f>
        <v/>
      </c>
      <c r="H73" s="422" t="str">
        <f>IFERROR(ROUND(AVERAGE(G73:G76),2),"")</f>
        <v/>
      </c>
      <c r="I73" s="430" t="str">
        <f>IF(H73="","",IF(H73&gt;0.69,"Functioning",IF(H73&gt;0.29,"Functioning At Risk",IF(H73&gt;-1,"Not Functioning"))))</f>
        <v/>
      </c>
      <c r="J73" s="451"/>
      <c r="K73" s="10"/>
      <c r="N73" s="9"/>
    </row>
    <row r="74" spans="1:14" ht="15.75" x14ac:dyDescent="0.5">
      <c r="A74" s="436"/>
      <c r="B74" s="441"/>
      <c r="C74" s="140" t="s">
        <v>194</v>
      </c>
      <c r="D74" s="155"/>
      <c r="E74" s="35"/>
      <c r="F74" s="216" t="str">
        <f>IF(E74="","",IF(G44="","Enter Stream Temperature",  IF(G44="CS-I (MWF)",IF(E74&gt;=18.3,0,IF(E74&lt;=13.8,1,ROUND(E74*'Reference Curves'!$M$4+'Reference Curves'!$M$5,2))),  IF(G44="CS-I",IF(E74&gt;=17.6,0,IF(E74&lt;=15.7,1,ROUND(E74*'Reference Curves'!$N$4+'Reference Curves'!$N$5,2))),  IF(G44="CS-II",IF(E74&gt;=19.1,0,IF(E74&lt;=16.6,1,ROUND(E74*'Reference Curves'!$O$4+'Reference Curves'!$O$5,2))),  IF(G44="WS-I",IF(E74&gt;=25.7,0,IF(E74&lt;=20.9,1,ROUND(E74*'Reference Curves'!$P$4+'Reference Curves'!$P$5,2))),  IF(G44="WS-II",IF(E74&gt;=29.7,0,IF(E74&lt;=22.5,1,ROUND(E74*'Reference Curves'!$Q$4+'Reference Curves'!$Q$5,2))), IF(G44="WS-III",IF(E74&gt;=30,0,IF(E74&lt;=25.9,1,ROUND(E74*'Reference Curves'!$R$4+'Reference Curves'!$R$5,2)))    ))))))))</f>
        <v/>
      </c>
      <c r="G74" s="424"/>
      <c r="H74" s="423"/>
      <c r="I74" s="430"/>
      <c r="J74" s="451"/>
      <c r="K74" s="10"/>
      <c r="N74" s="9"/>
    </row>
    <row r="75" spans="1:14" ht="15.75" x14ac:dyDescent="0.5">
      <c r="A75" s="436"/>
      <c r="B75" s="192" t="s">
        <v>140</v>
      </c>
      <c r="C75" s="142" t="s">
        <v>195</v>
      </c>
      <c r="D75" s="156"/>
      <c r="E75" s="54"/>
      <c r="F75" s="216" t="str">
        <f>IF(E75="","",ROUND( IF(E75&lt;=6,0, IF(E75&gt;=10.31,1,E75*'Reference Curves'!$M$8+'Reference Curves'!$M$9)),2))</f>
        <v/>
      </c>
      <c r="G75" s="163" t="str">
        <f>IFERROR(AVERAGE(F75),"")</f>
        <v/>
      </c>
      <c r="H75" s="423"/>
      <c r="I75" s="430"/>
      <c r="J75" s="451"/>
      <c r="K75" s="10"/>
      <c r="N75" s="9"/>
    </row>
    <row r="76" spans="1:14" ht="15.75" x14ac:dyDescent="0.5">
      <c r="A76" s="436"/>
      <c r="B76" s="192" t="s">
        <v>196</v>
      </c>
      <c r="C76" s="143" t="s">
        <v>357</v>
      </c>
      <c r="D76" s="157"/>
      <c r="E76" s="54"/>
      <c r="F76" s="216" t="str">
        <f>IF(E76="","",IF(OR(G45=3),IF(E76&gt;=150,0,IF(E76&lt;=16,1,ROUND('Reference Curves'!$M$13*LN(E76)+'Reference Curves'!$M$14,2))), IF(OR(G45=1,G45=2),  IF(E76&gt;=97,0,IF(E76&lt;=12,1,ROUND('Reference Curves'!$N$13*LN(E76)+'Reference Curves'!$N$14,2))))))</f>
        <v/>
      </c>
      <c r="G76" s="163" t="str">
        <f>IFERROR(AVERAGE(F76),"")</f>
        <v/>
      </c>
      <c r="H76" s="424"/>
      <c r="I76" s="430"/>
      <c r="J76" s="451"/>
      <c r="K76" s="10"/>
      <c r="N76" s="9"/>
    </row>
    <row r="77" spans="1:14" ht="15.75" x14ac:dyDescent="0.5">
      <c r="A77" s="435" t="s">
        <v>48</v>
      </c>
      <c r="B77" s="191" t="s">
        <v>93</v>
      </c>
      <c r="C77" s="145" t="s">
        <v>197</v>
      </c>
      <c r="D77" s="28"/>
      <c r="E77" s="54"/>
      <c r="F77" s="217" t="str">
        <f>IF(E77="","",IF(G45="","Enter Biotype",IF(G45=1,IF(E77&lt;=0,0,IF(E77&gt;=57,1,ROUND(IF(E77&lt;=34,'Reference Curves'!$T$5*E77+'Reference Curves'!$T$6,  IF(E77&lt;=45, 'Reference Curves'!$U$5*E77+'Reference Curves'!$U$6,  'Reference Curves'!$V$5*E77+'Reference Curves'!$V$6)),2))),   IF(G45=2,IF(E77&lt;=0,0,IF(E77&gt;=63,1,ROUND(IF(E77&lt;=40,'Reference Curves'!$W$5*E77+'Reference Curves'!$W$6,  IF(E77&lt;=48,'Reference Curves'!$X$5*E77+'Reference Curves'!$X$6,  'Reference Curves'!$Y$5*E77+'Reference Curves'!$Y$6)),2))),   IF(OR(G45=3),IF(E77&lt;=0,0,IF(E77&gt;=52,1,ROUND(IF(E77&lt;=29,'Reference Curves'!$Z$5*E77+'Reference Curves'!$Z$6, IF(E77&lt;=42, 'Reference Curves'!$AA$5*E77+'Reference Curves'!$AA$6,  'Reference Curves'!$AB$5*E77+'Reference Curves'!$AB$6)),2))))))))</f>
        <v/>
      </c>
      <c r="G77" s="164" t="str">
        <f>IFERROR(AVERAGE(F77),"")</f>
        <v/>
      </c>
      <c r="H77" s="420" t="str">
        <f>IFERROR(ROUND(AVERAGE(G77:G80),2),"")</f>
        <v/>
      </c>
      <c r="I77" s="430" t="str">
        <f>IF(H77="","",IF(H77&gt;0.69,"Functioning",IF(H77&gt;0.29,"Functioning At Risk",IF(H77&gt;-1,"Not Functioning"))))</f>
        <v/>
      </c>
      <c r="J77" s="451"/>
      <c r="K77" s="10"/>
      <c r="N77" s="9"/>
    </row>
    <row r="78" spans="1:14" ht="15.75" x14ac:dyDescent="0.5">
      <c r="A78" s="435"/>
      <c r="B78" s="398" t="s">
        <v>51</v>
      </c>
      <c r="C78" s="146" t="s">
        <v>198</v>
      </c>
      <c r="D78" s="28"/>
      <c r="E78" s="30"/>
      <c r="F78" s="164" t="str">
        <f>IF(E78="","",IF(E78&lt;=0,0,IF(E78&gt;=100,1,ROUND(IF(E78&lt;80,E78*'Reference Curves'!$T$10+'Reference Curves'!$T$11,E78*'Reference Curves'!$U$10+'Reference Curves'!$U$11),2))))</f>
        <v/>
      </c>
      <c r="G78" s="427" t="str">
        <f>IFERROR(AVERAGE(F78:F80),"")</f>
        <v/>
      </c>
      <c r="H78" s="420"/>
      <c r="I78" s="430"/>
      <c r="J78" s="451"/>
      <c r="K78" s="10"/>
      <c r="N78" s="9"/>
    </row>
    <row r="79" spans="1:14" ht="15.75" x14ac:dyDescent="0.5">
      <c r="A79" s="435"/>
      <c r="B79" s="398"/>
      <c r="C79" s="147" t="s">
        <v>199</v>
      </c>
      <c r="D79" s="159"/>
      <c r="E79" s="34"/>
      <c r="F79" s="164" t="str">
        <f>IF(E79="","",ROUND(IF(E79&gt;=3,0,IF(E79&gt;=2,0.3,IF(E79&gt;=1,0.69,1))),2))</f>
        <v/>
      </c>
      <c r="G79" s="428"/>
      <c r="H79" s="420"/>
      <c r="I79" s="430"/>
      <c r="J79" s="451"/>
      <c r="K79" s="10"/>
      <c r="N79" s="9"/>
    </row>
    <row r="80" spans="1:14" ht="15.75" x14ac:dyDescent="0.5">
      <c r="A80" s="435"/>
      <c r="B80" s="398"/>
      <c r="C80" s="148" t="s">
        <v>200</v>
      </c>
      <c r="D80" s="161"/>
      <c r="E80" s="35"/>
      <c r="F80" s="218" t="str">
        <f>IF(E80="","",IF(G48="","Enter Stream Producitvity Rating",IF(G48="High",IF(E80&lt;5,0,IF(E80&gt;=40,1,ROUND(E80*'Reference Curves'!$T$15+'Reference Curves'!$T$16,2))),IF(G48="Moderate",IF(E80&lt;10,0,IF(E80&gt;=80,1,ROUND(E80*'Reference Curves'!$U$15+'Reference Curves'!$U$16,2))),IF(G48="Low",IF(E80&lt;15,0,IF(E80&gt;=119,1,ROUND(E80*'Reference Curves'!$V$15+'Reference Curves'!$V$16,2)))   )))))</f>
        <v/>
      </c>
      <c r="G80" s="429"/>
      <c r="H80" s="420"/>
      <c r="I80" s="430"/>
      <c r="J80" s="451"/>
      <c r="K80" s="10"/>
      <c r="N80" s="9"/>
    </row>
    <row r="81" spans="1:14" x14ac:dyDescent="0.45">
      <c r="J81" s="4"/>
      <c r="K81" s="10"/>
    </row>
    <row r="82" spans="1:14" x14ac:dyDescent="0.45">
      <c r="J82" s="4"/>
      <c r="K82" s="10"/>
    </row>
    <row r="83" spans="1:14" ht="21" customHeight="1" x14ac:dyDescent="0.45">
      <c r="A83" s="408" t="s">
        <v>349</v>
      </c>
      <c r="B83" s="409"/>
      <c r="C83" s="409"/>
      <c r="D83" s="409"/>
      <c r="E83" s="409"/>
      <c r="F83" s="409"/>
      <c r="G83" s="409"/>
      <c r="H83" s="409"/>
      <c r="I83" s="409"/>
      <c r="J83" s="410"/>
    </row>
    <row r="84" spans="1:14" ht="16.149999999999999" customHeight="1" x14ac:dyDescent="0.45">
      <c r="A84" s="223" t="str">
        <f>'Existing Conditions'!A84</f>
        <v>Reach ID:</v>
      </c>
      <c r="B84" s="224">
        <f>'Existing Conditions'!B84</f>
        <v>0</v>
      </c>
      <c r="C84" s="225" t="str">
        <f>'Existing Conditions'!C84</f>
        <v>Stream Slope (%):</v>
      </c>
      <c r="D84" s="224">
        <f>'Existing Conditions'!D84</f>
        <v>0</v>
      </c>
      <c r="E84" s="449" t="s">
        <v>245</v>
      </c>
      <c r="F84" s="450"/>
      <c r="G84" s="224">
        <f>'Existing Conditions'!G84</f>
        <v>0</v>
      </c>
      <c r="H84" s="447" t="s">
        <v>121</v>
      </c>
      <c r="I84" s="448"/>
      <c r="J84" s="224">
        <f>'Existing Conditions'!J84</f>
        <v>0</v>
      </c>
    </row>
    <row r="85" spans="1:14" ht="16.149999999999999" customHeight="1" x14ac:dyDescent="0.45">
      <c r="A85" s="223" t="str">
        <f>'Existing Conditions'!A85</f>
        <v>Reference Stream Type:</v>
      </c>
      <c r="B85" s="224">
        <f>'Existing Conditions'!B85</f>
        <v>0</v>
      </c>
      <c r="C85" s="277" t="str">
        <f>'Existing Conditions'!C85</f>
        <v>Proposed Bankfull Width (ft):</v>
      </c>
      <c r="D85" s="224">
        <f>'Existing Conditions'!D85</f>
        <v>0</v>
      </c>
      <c r="E85" s="449" t="s">
        <v>247</v>
      </c>
      <c r="F85" s="450"/>
      <c r="G85" s="224">
        <f>'Existing Conditions'!G85</f>
        <v>0</v>
      </c>
      <c r="H85" s="447" t="s">
        <v>122</v>
      </c>
      <c r="I85" s="448"/>
      <c r="J85" s="224">
        <f>'Existing Conditions'!J85</f>
        <v>0</v>
      </c>
    </row>
    <row r="86" spans="1:14" ht="16.149999999999999" customHeight="1" x14ac:dyDescent="0.65">
      <c r="A86" s="223" t="str">
        <f>'Existing Conditions'!A86</f>
        <v>Flow Permanence:</v>
      </c>
      <c r="B86" s="224">
        <f>'Existing Conditions'!B86</f>
        <v>0</v>
      </c>
      <c r="C86" s="277" t="str">
        <f>'Existing Conditions'!C86</f>
        <v>Valley Type:</v>
      </c>
      <c r="D86" s="224">
        <f>'Existing Conditions'!D86</f>
        <v>0</v>
      </c>
      <c r="E86" s="449" t="s">
        <v>261</v>
      </c>
      <c r="F86" s="450"/>
      <c r="G86" s="224">
        <f>'Existing Conditions'!G86</f>
        <v>0</v>
      </c>
      <c r="H86" s="447" t="s">
        <v>123</v>
      </c>
      <c r="I86" s="448"/>
      <c r="J86" s="224">
        <f>'Existing Conditions'!J86</f>
        <v>0</v>
      </c>
      <c r="K86" s="26"/>
    </row>
    <row r="87" spans="1:14" ht="16.149999999999999" customHeight="1" x14ac:dyDescent="0.5">
      <c r="A87" s="223" t="str">
        <f>'Existing Conditions'!A87</f>
        <v>Strahler Stream Order:</v>
      </c>
      <c r="B87" s="224">
        <f>'Existing Conditions'!B87</f>
        <v>0</v>
      </c>
      <c r="C87" s="277" t="str">
        <f>'Existing Conditions'!C87</f>
        <v>Reference Vegetation Cover:</v>
      </c>
      <c r="D87" s="224">
        <f>'Existing Conditions'!D87</f>
        <v>0</v>
      </c>
      <c r="E87" s="445" t="s">
        <v>271</v>
      </c>
      <c r="F87" s="446"/>
      <c r="G87" s="224">
        <f>'Existing Conditions'!G87</f>
        <v>0</v>
      </c>
      <c r="H87" s="447" t="s">
        <v>124</v>
      </c>
      <c r="I87" s="448"/>
      <c r="J87" s="224">
        <f>'Existing Conditions'!J87</f>
        <v>0</v>
      </c>
      <c r="K87" s="39"/>
    </row>
    <row r="88" spans="1:14" ht="18" customHeight="1" x14ac:dyDescent="0.5">
      <c r="A88" s="223" t="str">
        <f>'Existing Conditions'!A88</f>
        <v>Outstanding Water:</v>
      </c>
      <c r="B88" s="224">
        <f>'Existing Conditions'!B88</f>
        <v>0</v>
      </c>
      <c r="C88" s="277" t="str">
        <f>'Existing Conditions'!C88</f>
        <v>Sediment Regime:</v>
      </c>
      <c r="D88" s="224">
        <f>'Existing Conditions'!D88</f>
        <v>0</v>
      </c>
      <c r="E88" s="449" t="s">
        <v>248</v>
      </c>
      <c r="F88" s="450"/>
      <c r="G88" s="224">
        <f>'Existing Conditions'!G88</f>
        <v>0</v>
      </c>
      <c r="H88" s="229"/>
      <c r="I88" s="229"/>
      <c r="J88" s="230"/>
      <c r="K88" s="39"/>
    </row>
    <row r="89" spans="1:14" ht="4.5" customHeight="1" x14ac:dyDescent="0.5">
      <c r="B89" s="58"/>
      <c r="C89" s="58"/>
      <c r="D89" s="58"/>
      <c r="E89" s="58"/>
      <c r="F89" s="58"/>
      <c r="G89" s="58"/>
      <c r="H89" s="58"/>
      <c r="I89" s="56"/>
      <c r="J89" s="10"/>
      <c r="K89" s="39"/>
    </row>
    <row r="90" spans="1:14" ht="19.899999999999999" customHeight="1" x14ac:dyDescent="0.65">
      <c r="A90" s="431" t="str">
        <f>_xlfn.CONCAT("PROPOSED CONDITION ASSESSMENT for Reach ",B84)</f>
        <v>PROPOSED CONDITION ASSESSMENT for Reach 0</v>
      </c>
      <c r="B90" s="431"/>
      <c r="C90" s="431"/>
      <c r="D90" s="431"/>
      <c r="E90" s="431"/>
      <c r="F90" s="431"/>
      <c r="G90" s="431" t="s">
        <v>13</v>
      </c>
      <c r="H90" s="431"/>
      <c r="I90" s="431"/>
      <c r="J90" s="431"/>
      <c r="K90" s="10"/>
    </row>
    <row r="91" spans="1:14" ht="15.75" x14ac:dyDescent="0.5">
      <c r="A91" s="32" t="s">
        <v>1</v>
      </c>
      <c r="B91" s="32" t="s">
        <v>2</v>
      </c>
      <c r="C91" s="432" t="s">
        <v>3</v>
      </c>
      <c r="D91" s="433"/>
      <c r="E91" s="32" t="s">
        <v>11</v>
      </c>
      <c r="F91" s="31" t="s">
        <v>12</v>
      </c>
      <c r="G91" s="32" t="s">
        <v>14</v>
      </c>
      <c r="H91" s="32" t="s">
        <v>15</v>
      </c>
      <c r="I91" s="57" t="s">
        <v>15</v>
      </c>
      <c r="J91" s="32" t="s">
        <v>160</v>
      </c>
      <c r="K91" s="10"/>
    </row>
    <row r="92" spans="1:14" ht="15.75" x14ac:dyDescent="0.5">
      <c r="A92" s="434" t="s">
        <v>173</v>
      </c>
      <c r="B92" s="437" t="s">
        <v>71</v>
      </c>
      <c r="C92" s="132" t="s">
        <v>138</v>
      </c>
      <c r="D92" s="149"/>
      <c r="E92" s="30"/>
      <c r="F92" s="202" t="str">
        <f>IF(E92="","",IF(E92&gt;78,0,IF(E92&lt;=55,1,ROUND(E92*'Reference Curves'!$B$3+'Reference Curves'!$B$4,2))))</f>
        <v/>
      </c>
      <c r="G92" s="411" t="str">
        <f>IFERROR(AVERAGE(F92:F93),"")</f>
        <v/>
      </c>
      <c r="H92" s="411" t="str">
        <f>IFERROR(ROUND(AVERAGE(G92:G98),2),"")</f>
        <v/>
      </c>
      <c r="I92" s="438" t="str">
        <f>IF(H92="","",IF(H92:H98&gt;0.69,"Functioning",IF(H92&gt;0.29,"Functioning At Risk",IF(H92&gt;-1,"Not Functioning"))))</f>
        <v/>
      </c>
      <c r="J92" s="451" t="str">
        <f>IF(AND(H92="",H99="",H113="",H117=""),"",ROUND((IF(H92="",0,H92)*0.3)+(IF(H99="",0,H99)*0.3)+(IF(H113="",0,H113)*0.2)+(IF(H117="",0,H117)*0.2),2))</f>
        <v/>
      </c>
      <c r="K92" s="10"/>
    </row>
    <row r="93" spans="1:14" ht="15.75" x14ac:dyDescent="0.5">
      <c r="A93" s="434"/>
      <c r="B93" s="437"/>
      <c r="C93" s="133" t="s">
        <v>184</v>
      </c>
      <c r="D93" s="150"/>
      <c r="E93" s="35"/>
      <c r="F93" s="203" t="str">
        <f>IF(E93="","",   IF(E93&gt;3.2,0, IF(E93&lt;0, "", ROUND('Reference Curves'!$B$8*E93+'Reference Curves'!$B$9,2))))</f>
        <v/>
      </c>
      <c r="G93" s="412"/>
      <c r="H93" s="412"/>
      <c r="I93" s="439"/>
      <c r="J93" s="451"/>
      <c r="K93" s="10"/>
    </row>
    <row r="94" spans="1:14" ht="15.75" x14ac:dyDescent="0.5">
      <c r="A94" s="434"/>
      <c r="B94" s="400" t="s">
        <v>185</v>
      </c>
      <c r="C94" s="134" t="s">
        <v>186</v>
      </c>
      <c r="D94" s="149"/>
      <c r="E94" s="34"/>
      <c r="F94" s="204" t="s">
        <v>285</v>
      </c>
      <c r="G94" s="411" t="str">
        <f>IFERROR(IF(AND(ISNUMBER(E94),E94&lt;1),0,AVERAGE(F94:F95)),"")</f>
        <v/>
      </c>
      <c r="H94" s="412"/>
      <c r="I94" s="439"/>
      <c r="J94" s="451"/>
      <c r="K94" s="10"/>
    </row>
    <row r="95" spans="1:14" ht="15.75" x14ac:dyDescent="0.5">
      <c r="A95" s="434"/>
      <c r="B95" s="401"/>
      <c r="C95" s="151" t="s">
        <v>187</v>
      </c>
      <c r="D95" s="152"/>
      <c r="E95" s="34"/>
      <c r="F95" s="205" t="str">
        <f>IF(E95="","",IF(G84= "CS-II", ROUND(IF(E95&lt;=0.6,0, IF(E95&gt;=2.3,1,E95*'Reference Curves'!$D$14+'Reference Curves'!$D$15)),2),IF(AND(D85&lt;20,LEFT(G84,2)="CS"), ROUND(IF(E95&lt;=0.2,0, IF(E95&gt;=1,1,E95*'Reference Curves'!$B$14+'Reference Curves'!$B$15)),2), IF(AND(D85&gt;=20,LEFT(G84,2)= "CS"), ROUND(IF(E95&lt;=0.4,0, IF(E95&gt;=1.5,1,E95*'Reference Curves'!$C$14+'Reference Curves'!$C$15)),2),"FALSE"))))</f>
        <v/>
      </c>
      <c r="G95" s="413"/>
      <c r="H95" s="412"/>
      <c r="I95" s="439"/>
      <c r="J95" s="451"/>
      <c r="K95" s="10"/>
    </row>
    <row r="96" spans="1:14" ht="15.75" x14ac:dyDescent="0.5">
      <c r="A96" s="434"/>
      <c r="B96" s="437" t="s">
        <v>4</v>
      </c>
      <c r="C96" s="133" t="s">
        <v>5</v>
      </c>
      <c r="D96" s="14"/>
      <c r="E96" s="30"/>
      <c r="F96" s="206" t="str">
        <f>IF( E96="","",
IF( E96&gt;1.71,0, IF( E96&gt;1, ROUND(E96*'Reference Curves'!C$20+'Reference Curves'!C$21,2),
IF( D88="Transport", ROUND(IF( E96&lt;0.35,0, E96*'Reference Curves'!$B$20+'Reference Curves'!$B$21 ),2), 1 ))))</f>
        <v/>
      </c>
      <c r="G96" s="411" t="str">
        <f>IFERROR(AVERAGE(F96:F98),"")</f>
        <v/>
      </c>
      <c r="H96" s="412"/>
      <c r="I96" s="439"/>
      <c r="J96" s="451"/>
      <c r="K96" s="10"/>
      <c r="N96" s="9"/>
    </row>
    <row r="97" spans="1:14" ht="15.75" x14ac:dyDescent="0.5">
      <c r="A97" s="434"/>
      <c r="B97" s="437"/>
      <c r="C97" s="133" t="s">
        <v>6</v>
      </c>
      <c r="D97" s="14"/>
      <c r="E97" s="34"/>
      <c r="F97" s="205" t="str">
        <f>IF(E97="","",IF(OR(LEFT(B85,1)="A",LEFT(B85,1)="B"),IF(E97&lt;1.05,0,IF(E97&gt;=2.2,1,ROUND(IF(E97&lt;1.4,E97*'Reference Curves'!$B$40+'Reference Curves'!$B$41,E97*'Reference Curves'!$C$40+'Reference Curves'!$C$41),2))), IF(B85="C",IF(E97&lt;1.7,0,IF(E97&gt;=4.2,1,ROUND(IF(E97&lt;2.4,E97*'Reference Curves'!$C$25+'Reference Curves'!$C$26,E97*'Reference Curves'!$B$25+'Reference Curves'!$B$26),2))),                                                                                                                                                                                                                    IF(B85="Cb",IF(E97&lt;1.7,0,IF(E97&gt;=3.9,1,ROUND(IF(E97&lt;2.4,E97*'Reference Curves'!$C$30+'Reference Curves'!$C$31,E97*'Reference Curves'!$B$30+'Reference Curves'!$B$31),2))),
IF(LEFT(B85,1)="E",IF(E97&lt;1.7,0,IF(E97&gt;=6.7,1,ROUND(IF(E97&lt;2.4,E97*'Reference Curves'!$C$35+'Reference Curves'!$C$36,E97*'Reference Curves'!$B$35+'Reference Curves'!$B$36),2))))))))</f>
        <v/>
      </c>
      <c r="G97" s="412"/>
      <c r="H97" s="412"/>
      <c r="I97" s="439"/>
      <c r="J97" s="451"/>
      <c r="K97" s="10"/>
      <c r="N97" s="9"/>
    </row>
    <row r="98" spans="1:14" ht="15.75" customHeight="1" x14ac:dyDescent="0.5">
      <c r="A98" s="434"/>
      <c r="B98" s="437"/>
      <c r="C98" s="135" t="s">
        <v>188</v>
      </c>
      <c r="D98" s="14"/>
      <c r="E98" s="35"/>
      <c r="F98" s="207" t="str">
        <f>IF(E98="","",IF(D86="Unconfined Alluvial",IF(E98&lt;=0,0, IF(E98&gt;=100,1, ROUND(IF(E98&lt;10,E98*'Reference Curves'!$B$46+'Reference Curves'!$B$47, IF(E98&lt;50,E98*'Reference Curves'!$C$46+'Reference Curves'!$C$47,E98*'Reference Curves'!$D$46+'Reference Curves'!$D$47)),2))), IF(D86="Confined Alluvial",IF(E98&lt;=0,0,IF(E98&gt;=50,1,ROUND(IF(E98&lt;5,E98*'Reference Curves'!$E$46+'Reference Curves'!$E$47,IF(E98&lt;25,E98*'Reference Curves'!$F$46+'Reference Curves'!$F$47,E98*'Reference Curves'!$G$46+'Reference Curves'!$G$47)),2))))))</f>
        <v/>
      </c>
      <c r="G98" s="413"/>
      <c r="H98" s="413"/>
      <c r="I98" s="440"/>
      <c r="J98" s="451"/>
      <c r="K98" s="10"/>
      <c r="N98" s="9"/>
    </row>
    <row r="99" spans="1:14" ht="15.75" x14ac:dyDescent="0.5">
      <c r="A99" s="399" t="s">
        <v>20</v>
      </c>
      <c r="B99" s="399" t="s">
        <v>21</v>
      </c>
      <c r="C99" s="16" t="s">
        <v>19</v>
      </c>
      <c r="D99" s="46"/>
      <c r="E99" s="30"/>
      <c r="F99" s="208" t="str">
        <f>IF(E99="","",IF(E99&gt;=660,1,IF(E99&lt;=430,ROUND('Reference Curves'!$I$4*E99+'Reference Curves'!$I$5,2),ROUND('Reference Curves'!$J$4*E99+'Reference Curves'!$J$5,2))))</f>
        <v/>
      </c>
      <c r="G99" s="414" t="str">
        <f>IFERROR(AVERAGE(F99:F100),"")</f>
        <v/>
      </c>
      <c r="H99" s="414" t="str">
        <f>IFERROR(ROUND(AVERAGE(G99:G112),2),"")</f>
        <v/>
      </c>
      <c r="I99" s="417" t="str">
        <f>IF(H99="","",IF(H99&gt;0.69,"Functioning",IF(H99&gt;0.29,"Functioning At Risk",IF(H99&gt;-1,"Not Functioning"))))</f>
        <v/>
      </c>
      <c r="J99" s="451"/>
      <c r="K99" s="10"/>
      <c r="N99" s="9"/>
    </row>
    <row r="100" spans="1:14" ht="15.75" x14ac:dyDescent="0.5">
      <c r="A100" s="399"/>
      <c r="B100" s="399"/>
      <c r="C100" s="18" t="s">
        <v>189</v>
      </c>
      <c r="D100" s="47"/>
      <c r="E100" s="35"/>
      <c r="F100" s="209" t="str">
        <f>IF(E100="","",IF(E100&gt;=28,1,ROUND(IF(E100&lt;=13,'Reference Curves'!$I$9*E100,'Reference Curves'!$J$9*E100+'Reference Curves'!$J$10),2)))</f>
        <v/>
      </c>
      <c r="G100" s="416"/>
      <c r="H100" s="415"/>
      <c r="I100" s="418"/>
      <c r="J100" s="451"/>
      <c r="K100" s="10"/>
      <c r="N100" s="9"/>
    </row>
    <row r="101" spans="1:14" ht="15.75" x14ac:dyDescent="0.5">
      <c r="A101" s="399"/>
      <c r="B101" s="399" t="s">
        <v>114</v>
      </c>
      <c r="C101" s="16" t="s">
        <v>190</v>
      </c>
      <c r="D101" s="46"/>
      <c r="E101" s="78"/>
      <c r="F101" s="208" t="str">
        <f>IF(E101="","",ROUND(IF(E101&lt;=2,0,IF(E101&gt;=9,1, IF(E101&gt;=5,E101^2*'Reference Curves'!$I$14+E101*'Reference Curves'!$I$15+'Reference Curves'!$I$16, E101*'Reference Curves'!$J$15+'Reference Curves'!$J$16))),2))</f>
        <v/>
      </c>
      <c r="G101" s="414" t="str">
        <f>IFERROR(IF(E104&gt;=50,0,AVERAGE(F101:F104)),"")</f>
        <v/>
      </c>
      <c r="H101" s="415"/>
      <c r="I101" s="418"/>
      <c r="J101" s="451"/>
      <c r="K101" s="10"/>
      <c r="N101" s="9"/>
    </row>
    <row r="102" spans="1:14" ht="15.75" x14ac:dyDescent="0.5">
      <c r="A102" s="399"/>
      <c r="B102" s="399"/>
      <c r="C102" s="18" t="s">
        <v>42</v>
      </c>
      <c r="D102" s="67"/>
      <c r="E102" s="78"/>
      <c r="F102" s="210" t="str">
        <f>IF(E102="","",IF(OR(E102="Ex/Ex",E102="Ex/VH",E102="Ex/H",E102="Ex/M",E102="VH/Ex",E102="VH/VH", E102="H/Ex",E102="H/VH"),0, IF(OR(E102="M/Ex"),0.1,IF(OR(E102="VH/H",E102="VH/M",E102="H/H",E102="H/M", E102="M/VH"),0.2, IF(OR(E102="Ex/VL",E102="Ex/L", E102="M/H"),0.3, IF(OR(E102="VH/L",E102="H/L"),0.4, IF(OR(E102="VH/VL",E102="H/VL",E102="M/M"),0.5, IF(OR(E102="M/L",E102="L/Ex"),0.6, IF(OR(E102="M/VL",E102="L/VH", E102="L/H",E102="L/M",E102="L/L",E102="L/VL", LEFT(E102,2)="VL"),1)))))))))</f>
        <v/>
      </c>
      <c r="G102" s="415"/>
      <c r="H102" s="415"/>
      <c r="I102" s="418"/>
      <c r="J102" s="451"/>
      <c r="K102" s="10"/>
      <c r="N102" s="9"/>
    </row>
    <row r="103" spans="1:14" ht="15.75" x14ac:dyDescent="0.5">
      <c r="A103" s="399"/>
      <c r="B103" s="399"/>
      <c r="C103" s="136" t="s">
        <v>54</v>
      </c>
      <c r="D103" s="67"/>
      <c r="E103" s="78"/>
      <c r="F103" s="210" t="str">
        <f>IF(E103="","",ROUND(IF(E103&gt;=75,0,IF(E103&lt;=5,1,IF(E103&gt;10,E103*'Reference Curves'!I$20+'Reference Curves'!I$21,'Reference Curves'!$J$20*E103+'Reference Curves'!$J$21))),2))</f>
        <v/>
      </c>
      <c r="G103" s="421"/>
      <c r="H103" s="415"/>
      <c r="I103" s="418"/>
      <c r="J103" s="451"/>
      <c r="K103" s="10"/>
      <c r="N103" s="9"/>
    </row>
    <row r="104" spans="1:14" ht="15.75" x14ac:dyDescent="0.5">
      <c r="A104" s="399"/>
      <c r="B104" s="399"/>
      <c r="C104" s="137" t="s">
        <v>113</v>
      </c>
      <c r="D104" s="154"/>
      <c r="E104" s="153"/>
      <c r="F104" s="211" t="str">
        <f>IF(E104="","",IF(E104&gt;=30,0,ROUND(E104*'Reference Curves'!$I$24+'Reference Curves'!$I$25,2)))</f>
        <v/>
      </c>
      <c r="G104" s="416"/>
      <c r="H104" s="415"/>
      <c r="I104" s="418"/>
      <c r="J104" s="451"/>
      <c r="K104" s="10"/>
      <c r="N104" s="9"/>
    </row>
    <row r="105" spans="1:14" ht="15.75" x14ac:dyDescent="0.5">
      <c r="A105" s="399"/>
      <c r="B105" s="399" t="s">
        <v>44</v>
      </c>
      <c r="C105" s="16" t="s">
        <v>45</v>
      </c>
      <c r="D105" s="20"/>
      <c r="E105" s="37"/>
      <c r="F105" s="212" t="str">
        <f>IF(E105="","",IF(B85="Bc",IF(OR(E105&gt;=12,E105&lt;=0.1),0,IF(E105&lt;=3.4,1,ROUND('Reference Curves'!$I$33*E105+'Reference Curves'!$I$34,2))),
IF(OR(B85="B",B85="Ba"),IF(OR(E105&gt;=7.5,E105&lt;=0.1),0,IF(E105&lt;=3,1,ROUND(IF(E105&gt;4,'Reference Curves'!$I$29*E105+'Reference Curves'!$I$30,'Reference Curves'!$J$29*E105+'Reference Curves'!$J$30),2))),
IF(B85="Cb",IF(OR(E105&gt;=8.35,E105&lt;1.4),0,IF(AND(E105&gt;=3.7,E105&lt;=5),1,ROUND(IF(E105&lt;3.7,'Reference Curves'!$I$49*E105+'Reference Curves'!$I$50,'Reference Curves'!$J$49*E105+'Reference Curves'!$J$50),2))),
IF(B85="C",IF(OR(E105&gt;=9.3,E105&lt;=3),0,IF(AND(E105&gt;=4,E105&lt;=6),1,ROUND(IF(E105&lt;4,'Reference Curves'!$I$44*E105+'Reference Curves'!$I$45,'Reference Curves'!$J$44*E105+'Reference Curves'!$J$45),2))),
IF(B85="E",IF(OR(E105&gt;=8.3,E105&lt;1.85),0,IF(AND(E105&gt;=3.5,E105&lt;=5),1,ROUND(IF(E105&lt;3.5,'Reference Curves'!$I$38*E105+'Reference Curves'!$I$39,'Reference Curves'!$J$38*E105+'Reference Curves'!$J$39),2)))      ))))))</f>
        <v/>
      </c>
      <c r="G105" s="425" t="str">
        <f>IFERROR(AVERAGE(F105:F108),"")</f>
        <v/>
      </c>
      <c r="H105" s="415"/>
      <c r="I105" s="418"/>
      <c r="J105" s="451"/>
      <c r="K105" s="10"/>
      <c r="N105" s="9"/>
    </row>
    <row r="106" spans="1:14" ht="15.75" x14ac:dyDescent="0.5">
      <c r="A106" s="399"/>
      <c r="B106" s="399"/>
      <c r="C106" s="18" t="s">
        <v>46</v>
      </c>
      <c r="D106" s="15"/>
      <c r="E106" s="36"/>
      <c r="F106" s="213" t="str">
        <f>IF(E106="","",IF(E106&lt;=1,0,IF(E106&gt;=3.2,1,IF(E106&gt;=2.2,ROUND('Reference Curves'!$J$54*E106+'Reference Curves'!$J$55,2),(ROUND('Reference Curves'!$I$54*E106+'Reference Curves'!$I$55,2))))))</f>
        <v/>
      </c>
      <c r="G106" s="421"/>
      <c r="H106" s="415"/>
      <c r="I106" s="418"/>
      <c r="J106" s="451"/>
      <c r="K106" s="10"/>
      <c r="N106" s="9"/>
    </row>
    <row r="107" spans="1:14" ht="15.75" customHeight="1" x14ac:dyDescent="0.5">
      <c r="A107" s="399"/>
      <c r="B107" s="399"/>
      <c r="C107" s="18" t="s">
        <v>92</v>
      </c>
      <c r="D107" s="15"/>
      <c r="E107" s="36"/>
      <c r="F107" s="283" t="str">
        <f>IF(E107="","", IF(D84="","FALSE",IF(D84&lt; 3,IF( OR(E107&gt;=91,E107&lt;=13.5),0, IF(AND(E107&gt;49,E107&lt;61), 1, ROUND(IF(E107&lt;50,'Reference Curves'!$I$60*E107+'Reference Curves'!$I$61, IF(E107&gt;60,'Reference Curves'!$J$60*E107+'Reference Curves'!$J$61)),2))), IF(D84&gt;=3,IF(OR(E107&gt;94.5,E107&lt;41.5),0, IF(AND(E107 &gt;=68, E107&lt;=78),1, ROUND(IF(E107&lt;68,'Reference Curves'!$I$65*E107+'Reference Curves'!$I$66,'Reference Curves'!$J$65*E107+'Reference Curves'!$J$66),2) ))))))</f>
        <v/>
      </c>
      <c r="G107" s="421"/>
      <c r="H107" s="415"/>
      <c r="I107" s="418"/>
      <c r="J107" s="451"/>
      <c r="K107" s="10"/>
      <c r="N107" s="9"/>
    </row>
    <row r="108" spans="1:14" ht="15.75" x14ac:dyDescent="0.5">
      <c r="A108" s="399"/>
      <c r="B108" s="399"/>
      <c r="C108" s="19" t="s">
        <v>79</v>
      </c>
      <c r="D108" s="15"/>
      <c r="E108" s="38"/>
      <c r="F108" s="284" t="str">
        <f>IF(E108="","",IF(E108&gt;=1.6,0,IF(E108&lt;=1,1,ROUND('Reference Curves'!$I$74*E108^3+'Reference Curves'!$I$75*E108^2+'Reference Curves'!$I$76*E108+'Reference Curves'!$I$77,2))))</f>
        <v/>
      </c>
      <c r="G108" s="426"/>
      <c r="H108" s="415"/>
      <c r="I108" s="418"/>
      <c r="J108" s="451"/>
      <c r="K108" s="10"/>
      <c r="N108" s="9"/>
    </row>
    <row r="109" spans="1:14" ht="15.75" x14ac:dyDescent="0.5">
      <c r="A109" s="399"/>
      <c r="B109" s="399" t="s">
        <v>43</v>
      </c>
      <c r="C109" s="18" t="s">
        <v>201</v>
      </c>
      <c r="D109" s="46"/>
      <c r="E109" s="17"/>
      <c r="F109" s="214" t="str">
        <f>IF( E109="","",
IF( D86="Unconfined Alluvial", IF( E109&gt;=100,1,
ROUND('Reference Curves'!$I$82*E109+'Reference Curves'!$I$83,2) ),
IF( OR(D86="Confined Alluvial", D86="Colluvial/V-Shaped"), ( IF(E109&gt;=100,1,
IF(E109&gt;=60, ROUND('Reference Curves'!$J$82*E109+'Reference Curves'!$J$83,2), ROUND('Reference Curves'!$K$82*E109+'Reference Curves'!$K$83,2) ) ) ) ) ) )</f>
        <v/>
      </c>
      <c r="G109" s="414" t="str">
        <f>IFERROR(AVERAGE(F109:F112),"")</f>
        <v/>
      </c>
      <c r="H109" s="415"/>
      <c r="I109" s="418"/>
      <c r="J109" s="451"/>
      <c r="K109" s="10"/>
      <c r="N109" s="9"/>
    </row>
    <row r="110" spans="1:14" ht="15.75" x14ac:dyDescent="0.5">
      <c r="A110" s="399"/>
      <c r="B110" s="399"/>
      <c r="C110" s="18" t="s">
        <v>191</v>
      </c>
      <c r="D110" s="67"/>
      <c r="E110" s="79"/>
      <c r="F110" s="213" t="str">
        <f>IF( E110="","", IF(D87&lt;&gt;"Woody","FALSE", IF( OR(G86="Mountains",G86="Basins"),
IF(E110&lt;=0,0, IF(E110&gt;=122,1, IF(E110&lt;69, ROUND('Reference Curves'!$I$87*E110+'Reference Curves'!$I$88,2), ROUND('Reference Curves'!$J$87*E110+'Reference Curves'!$J$88,2) ) ) ),
IF(G86="Plains",IF(OR(E110&lt;=0,E110&gt;111),0,IF(AND(E110&gt;=69,E110&lt;=76),1,IF(E110&lt;69,ROUND(E110*'Reference Curves'!$I$92+'Reference Curves'!$I$93,2),ROUND(E110*'Reference Curves'!$J$92+'Reference Curves'!$J$93,2))))))))</f>
        <v/>
      </c>
      <c r="G110" s="415"/>
      <c r="H110" s="415"/>
      <c r="I110" s="418"/>
      <c r="J110" s="451"/>
      <c r="K110" s="10"/>
      <c r="N110" s="9"/>
    </row>
    <row r="111" spans="1:14" ht="15.75" x14ac:dyDescent="0.5">
      <c r="A111" s="399"/>
      <c r="B111" s="399"/>
      <c r="C111" s="18" t="s">
        <v>141</v>
      </c>
      <c r="D111" s="67"/>
      <c r="E111" s="79"/>
      <c r="F111" s="213" t="str">
        <f>IF(E111="","",IF(D87="Herbaceous",IF(E111&lt;=34,0,IF(E111&gt;=120,1,IF(E111&gt;73,ROUND(E111*'Reference Curves'!$J$98+'Reference Curves'!$J$99,2),ROUND(E111*'Reference Curves'!$I$98+'Reference Curves'!$I$99,2))))))</f>
        <v/>
      </c>
      <c r="G111" s="421"/>
      <c r="H111" s="415"/>
      <c r="I111" s="418"/>
      <c r="J111" s="451"/>
      <c r="K111" s="10"/>
      <c r="N111" s="9"/>
    </row>
    <row r="112" spans="1:14" ht="15.75" x14ac:dyDescent="0.5">
      <c r="A112" s="399"/>
      <c r="B112" s="399"/>
      <c r="C112" s="138" t="s">
        <v>192</v>
      </c>
      <c r="D112" s="158"/>
      <c r="E112" s="162"/>
      <c r="F112" s="283" t="str">
        <f>IF(E112="","",IF(E112&lt;=46,0,IF(E112&gt;=100,1,IF(AND(E112&lt;=100,E112&gt;91),ROUND(E112*'Reference Curves'!$J$103+'Reference Curves'!$J$104,2),ROUND(E112*'Reference Curves'!$I$103+'Reference Curves'!$I$104,2)))))</f>
        <v/>
      </c>
      <c r="G112" s="416"/>
      <c r="H112" s="416"/>
      <c r="I112" s="419"/>
      <c r="J112" s="451"/>
      <c r="K112" s="10"/>
      <c r="N112" s="9"/>
    </row>
    <row r="113" spans="1:14" ht="15.75" x14ac:dyDescent="0.5">
      <c r="A113" s="436" t="s">
        <v>47</v>
      </c>
      <c r="B113" s="441" t="s">
        <v>139</v>
      </c>
      <c r="C113" s="139" t="s">
        <v>193</v>
      </c>
      <c r="D113" s="160"/>
      <c r="E113" s="30"/>
      <c r="F113" s="215" t="str">
        <f>IF(E113="","",IF(G84="","Enter Stream Temperature",  IF(G84="CS-I (MWF)",IF(E113&gt;=21.2,0,1),  IF(G84="CS-I",IF(E113&gt;=21.7,0,1),  IF(G84="CS-II",IF(E113&gt;=23.9,0,1),  IF(G84="WS-I",IF(E113&gt;=29,0,1),  IF(G84="WS-II",IF(E113&gt;=28.6,0,1), IF(G84="WS-III",IF(E113&gt;=31.8,0,1)))))))))</f>
        <v/>
      </c>
      <c r="G113" s="422" t="str">
        <f>IFERROR(AVERAGE(F113:F114),"")</f>
        <v/>
      </c>
      <c r="H113" s="422" t="str">
        <f>IFERROR(ROUND(AVERAGE(G113:G116),2),"")</f>
        <v/>
      </c>
      <c r="I113" s="430" t="str">
        <f>IF(H113="","",IF(H113&gt;0.69,"Functioning",IF(H113&gt;0.29,"Functioning At Risk",IF(H113&gt;-1,"Not Functioning"))))</f>
        <v/>
      </c>
      <c r="J113" s="451"/>
      <c r="K113" s="10"/>
      <c r="N113" s="9"/>
    </row>
    <row r="114" spans="1:14" ht="15.75" x14ac:dyDescent="0.5">
      <c r="A114" s="436"/>
      <c r="B114" s="441"/>
      <c r="C114" s="140" t="s">
        <v>194</v>
      </c>
      <c r="D114" s="155"/>
      <c r="E114" s="35"/>
      <c r="F114" s="216" t="str">
        <f>IF(E114="","",IF(G84="","Enter Stream Temperature",  IF(G84="CS-I (MWF)",IF(E114&gt;=18.3,0,IF(E114&lt;=13.8,1,ROUND(E114*'Reference Curves'!$M$4+'Reference Curves'!$M$5,2))),  IF(G84="CS-I",IF(E114&gt;=17.6,0,IF(E114&lt;=15.7,1,ROUND(E114*'Reference Curves'!$N$4+'Reference Curves'!$N$5,2))),  IF(G84="CS-II",IF(E114&gt;=19.1,0,IF(E114&lt;=16.6,1,ROUND(E114*'Reference Curves'!$O$4+'Reference Curves'!$O$5,2))),  IF(G84="WS-I",IF(E114&gt;=25.7,0,IF(E114&lt;=20.9,1,ROUND(E114*'Reference Curves'!$P$4+'Reference Curves'!$P$5,2))),  IF(G84="WS-II",IF(E114&gt;=29.7,0,IF(E114&lt;=22.5,1,ROUND(E114*'Reference Curves'!$Q$4+'Reference Curves'!$Q$5,2))), IF(G84="WS-III",IF(E114&gt;=30,0,IF(E114&lt;=25.9,1,ROUND(E114*'Reference Curves'!$R$4+'Reference Curves'!$R$5,2)))    ))))))))</f>
        <v/>
      </c>
      <c r="G114" s="424"/>
      <c r="H114" s="423"/>
      <c r="I114" s="430"/>
      <c r="J114" s="451"/>
      <c r="K114" s="10"/>
      <c r="N114" s="9"/>
    </row>
    <row r="115" spans="1:14" ht="15.75" x14ac:dyDescent="0.5">
      <c r="A115" s="436"/>
      <c r="B115" s="192" t="s">
        <v>140</v>
      </c>
      <c r="C115" s="142" t="s">
        <v>195</v>
      </c>
      <c r="D115" s="156"/>
      <c r="E115" s="54"/>
      <c r="F115" s="216" t="str">
        <f>IF(E115="","",ROUND( IF(E115&lt;=6,0, IF(E115&gt;=10.31,1,E115*'Reference Curves'!$M$8+'Reference Curves'!$M$9)),2))</f>
        <v/>
      </c>
      <c r="G115" s="163" t="str">
        <f>IFERROR(AVERAGE(F115),"")</f>
        <v/>
      </c>
      <c r="H115" s="423"/>
      <c r="I115" s="430"/>
      <c r="J115" s="451"/>
      <c r="K115" s="10"/>
      <c r="N115" s="9"/>
    </row>
    <row r="116" spans="1:14" ht="15.75" x14ac:dyDescent="0.5">
      <c r="A116" s="436"/>
      <c r="B116" s="192" t="s">
        <v>196</v>
      </c>
      <c r="C116" s="143" t="s">
        <v>357</v>
      </c>
      <c r="D116" s="157"/>
      <c r="E116" s="54"/>
      <c r="F116" s="216" t="str">
        <f>IF(E116="","",IF(OR(G85=3),IF(E116&gt;=150,0,IF(E116&lt;=16,1,ROUND('Reference Curves'!$M$13*LN(E116)+'Reference Curves'!$M$14,2))), IF(OR(G85=1,G85=2),  IF(E116&gt;=97,0,IF(E116&lt;=12,1,ROUND('Reference Curves'!$N$13*LN(E116)+'Reference Curves'!$N$14,2))))))</f>
        <v/>
      </c>
      <c r="G116" s="163" t="str">
        <f>IFERROR(AVERAGE(F116),"")</f>
        <v/>
      </c>
      <c r="H116" s="424"/>
      <c r="I116" s="430"/>
      <c r="J116" s="451"/>
      <c r="K116" s="10"/>
      <c r="N116" s="9"/>
    </row>
    <row r="117" spans="1:14" ht="15.75" x14ac:dyDescent="0.5">
      <c r="A117" s="435" t="s">
        <v>48</v>
      </c>
      <c r="B117" s="191" t="s">
        <v>93</v>
      </c>
      <c r="C117" s="145" t="s">
        <v>197</v>
      </c>
      <c r="D117" s="28"/>
      <c r="E117" s="54"/>
      <c r="F117" s="217" t="str">
        <f>IF(E117="","",IF(G85="","Enter Biotype",IF(G85=1,IF(E117&lt;=0,0,IF(E117&gt;=57,1,ROUND(IF(E117&lt;=34,'Reference Curves'!$T$5*E117+'Reference Curves'!$T$6,  IF(E117&lt;=45, 'Reference Curves'!$U$5*E117+'Reference Curves'!$U$6,  'Reference Curves'!$V$5*E117+'Reference Curves'!$V$6)),2))),   IF(G85=2,IF(E117&lt;=0,0,IF(E117&gt;=63,1,ROUND(IF(E117&lt;=40,'Reference Curves'!$W$5*E117+'Reference Curves'!$W$6,  IF(E117&lt;=48,'Reference Curves'!$X$5*E117+'Reference Curves'!$X$6,  'Reference Curves'!$Y$5*E117+'Reference Curves'!$Y$6)),2))),   IF(OR(G85=3),IF(E117&lt;=0,0,IF(E117&gt;=52,1,ROUND(IF(E117&lt;=29,'Reference Curves'!$Z$5*E117+'Reference Curves'!$Z$6, IF(E117&lt;=42, 'Reference Curves'!$AA$5*E117+'Reference Curves'!$AA$6,  'Reference Curves'!$AB$5*E117+'Reference Curves'!$AB$6)),2))))))))</f>
        <v/>
      </c>
      <c r="G117" s="164" t="str">
        <f>IFERROR(AVERAGE(F117),"")</f>
        <v/>
      </c>
      <c r="H117" s="420" t="str">
        <f>IFERROR(ROUND(AVERAGE(G117:G120),2),"")</f>
        <v/>
      </c>
      <c r="I117" s="430" t="str">
        <f>IF(H117="","",IF(H117&gt;0.69,"Functioning",IF(H117&gt;0.29,"Functioning At Risk",IF(H117&gt;-1,"Not Functioning"))))</f>
        <v/>
      </c>
      <c r="J117" s="451"/>
      <c r="K117" s="10"/>
      <c r="N117" s="9"/>
    </row>
    <row r="118" spans="1:14" ht="15.75" x14ac:dyDescent="0.5">
      <c r="A118" s="435"/>
      <c r="B118" s="398" t="s">
        <v>51</v>
      </c>
      <c r="C118" s="146" t="s">
        <v>198</v>
      </c>
      <c r="D118" s="28"/>
      <c r="E118" s="30"/>
      <c r="F118" s="164" t="str">
        <f>IF(E118="","",IF(E118&lt;=0,0,IF(E118&gt;=100,1,ROUND(IF(E118&lt;80,E118*'Reference Curves'!$T$10+'Reference Curves'!$T$11,E118*'Reference Curves'!$U$10+'Reference Curves'!$U$11),2))))</f>
        <v/>
      </c>
      <c r="G118" s="427" t="str">
        <f>IFERROR(AVERAGE(F118:F120),"")</f>
        <v/>
      </c>
      <c r="H118" s="420"/>
      <c r="I118" s="430"/>
      <c r="J118" s="451"/>
      <c r="K118" s="10"/>
      <c r="N118" s="9"/>
    </row>
    <row r="119" spans="1:14" ht="15.75" x14ac:dyDescent="0.5">
      <c r="A119" s="435"/>
      <c r="B119" s="398"/>
      <c r="C119" s="147" t="s">
        <v>199</v>
      </c>
      <c r="D119" s="159"/>
      <c r="E119" s="34"/>
      <c r="F119" s="164" t="str">
        <f>IF(E119="","",ROUND(IF(E119&gt;=3,0,IF(E119&gt;=2,0.3,IF(E119&gt;=1,0.69,1))),2))</f>
        <v/>
      </c>
      <c r="G119" s="428"/>
      <c r="H119" s="420"/>
      <c r="I119" s="430"/>
      <c r="J119" s="451"/>
      <c r="K119" s="10"/>
      <c r="N119" s="9"/>
    </row>
    <row r="120" spans="1:14" ht="15.75" x14ac:dyDescent="0.5">
      <c r="A120" s="435"/>
      <c r="B120" s="398"/>
      <c r="C120" s="148" t="s">
        <v>200</v>
      </c>
      <c r="D120" s="161"/>
      <c r="E120" s="35"/>
      <c r="F120" s="218" t="str">
        <f>IF(E120="","",IF(G88="","Enter Stream Producitvity Rating",IF(G88="High",IF(E120&lt;5,0,IF(E120&gt;=40,1,ROUND(E120*'Reference Curves'!$T$15+'Reference Curves'!$T$16,2))),IF(G88="Moderate",IF(E120&lt;10,0,IF(E120&gt;=80,1,ROUND(E120*'Reference Curves'!$U$15+'Reference Curves'!$U$16,2))),IF(G88="Low",IF(E120&lt;15,0,IF(E120&gt;=119,1,ROUND(E120*'Reference Curves'!$V$15+'Reference Curves'!$V$16,2)))   )))))</f>
        <v/>
      </c>
      <c r="G120" s="429"/>
      <c r="H120" s="420"/>
      <c r="I120" s="430"/>
      <c r="J120" s="451"/>
      <c r="K120" s="10"/>
      <c r="N120" s="9"/>
    </row>
    <row r="121" spans="1:14" x14ac:dyDescent="0.45">
      <c r="J121" s="4"/>
      <c r="K121" s="10"/>
    </row>
    <row r="122" spans="1:14" x14ac:dyDescent="0.45">
      <c r="K122" s="10"/>
    </row>
    <row r="123" spans="1:14" ht="21" customHeight="1" x14ac:dyDescent="0.45">
      <c r="A123" s="408" t="s">
        <v>349</v>
      </c>
      <c r="B123" s="409"/>
      <c r="C123" s="409"/>
      <c r="D123" s="409"/>
      <c r="E123" s="409"/>
      <c r="F123" s="409"/>
      <c r="G123" s="409"/>
      <c r="H123" s="409"/>
      <c r="I123" s="409"/>
      <c r="J123" s="410"/>
    </row>
    <row r="124" spans="1:14" ht="16.149999999999999" customHeight="1" x14ac:dyDescent="0.45">
      <c r="A124" s="223" t="str">
        <f>'Existing Conditions'!A124</f>
        <v>Reach ID:</v>
      </c>
      <c r="B124" s="224">
        <f>'Existing Conditions'!B124</f>
        <v>0</v>
      </c>
      <c r="C124" s="225" t="str">
        <f>'Existing Conditions'!C124</f>
        <v>Stream Slope (%):</v>
      </c>
      <c r="D124" s="224">
        <f>'Existing Conditions'!D124</f>
        <v>0</v>
      </c>
      <c r="E124" s="449" t="s">
        <v>245</v>
      </c>
      <c r="F124" s="450"/>
      <c r="G124" s="224">
        <f>'Existing Conditions'!G124</f>
        <v>0</v>
      </c>
      <c r="H124" s="447" t="s">
        <v>121</v>
      </c>
      <c r="I124" s="448"/>
      <c r="J124" s="224">
        <f>'Existing Conditions'!J124</f>
        <v>0</v>
      </c>
    </row>
    <row r="125" spans="1:14" ht="16.149999999999999" customHeight="1" x14ac:dyDescent="0.45">
      <c r="A125" s="223" t="str">
        <f>'Existing Conditions'!A125</f>
        <v>Reference Stream Type:</v>
      </c>
      <c r="B125" s="224">
        <f>'Existing Conditions'!B125</f>
        <v>0</v>
      </c>
      <c r="C125" s="277" t="str">
        <f>'Existing Conditions'!C125</f>
        <v>Proposed Bankfull Width (ft):</v>
      </c>
      <c r="D125" s="224">
        <f>'Existing Conditions'!D125</f>
        <v>0</v>
      </c>
      <c r="E125" s="449" t="s">
        <v>247</v>
      </c>
      <c r="F125" s="450"/>
      <c r="G125" s="224">
        <f>'Existing Conditions'!G125</f>
        <v>0</v>
      </c>
      <c r="H125" s="447" t="s">
        <v>122</v>
      </c>
      <c r="I125" s="448"/>
      <c r="J125" s="224">
        <f>'Existing Conditions'!J125</f>
        <v>0</v>
      </c>
    </row>
    <row r="126" spans="1:14" ht="16.149999999999999" customHeight="1" x14ac:dyDescent="0.65">
      <c r="A126" s="223" t="str">
        <f>'Existing Conditions'!A126</f>
        <v>Flow Permanence:</v>
      </c>
      <c r="B126" s="224">
        <f>'Existing Conditions'!B126</f>
        <v>0</v>
      </c>
      <c r="C126" s="277" t="str">
        <f>'Existing Conditions'!C126</f>
        <v>Valley Type:</v>
      </c>
      <c r="D126" s="224">
        <f>'Existing Conditions'!D126</f>
        <v>0</v>
      </c>
      <c r="E126" s="449" t="s">
        <v>261</v>
      </c>
      <c r="F126" s="450"/>
      <c r="G126" s="224">
        <f>'Existing Conditions'!G126</f>
        <v>0</v>
      </c>
      <c r="H126" s="447" t="s">
        <v>123</v>
      </c>
      <c r="I126" s="448"/>
      <c r="J126" s="224">
        <f>'Existing Conditions'!J126</f>
        <v>0</v>
      </c>
      <c r="K126" s="26"/>
    </row>
    <row r="127" spans="1:14" ht="16.149999999999999" customHeight="1" x14ac:dyDescent="0.5">
      <c r="A127" s="223" t="str">
        <f>'Existing Conditions'!A127</f>
        <v>Strahler Stream Order:</v>
      </c>
      <c r="B127" s="224">
        <f>'Existing Conditions'!B127</f>
        <v>0</v>
      </c>
      <c r="C127" s="277" t="str">
        <f>'Existing Conditions'!C127</f>
        <v>Reference Vegetation Cover:</v>
      </c>
      <c r="D127" s="224">
        <f>'Existing Conditions'!D127</f>
        <v>0</v>
      </c>
      <c r="E127" s="445" t="s">
        <v>271</v>
      </c>
      <c r="F127" s="446"/>
      <c r="G127" s="224">
        <f>'Existing Conditions'!G127</f>
        <v>0</v>
      </c>
      <c r="H127" s="447" t="s">
        <v>124</v>
      </c>
      <c r="I127" s="448"/>
      <c r="J127" s="224">
        <f>'Existing Conditions'!J127</f>
        <v>0</v>
      </c>
      <c r="K127" s="39"/>
    </row>
    <row r="128" spans="1:14" ht="18" customHeight="1" x14ac:dyDescent="0.5">
      <c r="A128" s="223" t="str">
        <f>'Existing Conditions'!A128</f>
        <v>Outstanding Water:</v>
      </c>
      <c r="B128" s="224">
        <f>'Existing Conditions'!B128</f>
        <v>0</v>
      </c>
      <c r="C128" s="277" t="str">
        <f>'Existing Conditions'!C128</f>
        <v>Sediment Regime:</v>
      </c>
      <c r="D128" s="224">
        <f>'Existing Conditions'!D128</f>
        <v>0</v>
      </c>
      <c r="E128" s="449" t="s">
        <v>248</v>
      </c>
      <c r="F128" s="450"/>
      <c r="G128" s="224">
        <f>'Existing Conditions'!G128</f>
        <v>0</v>
      </c>
      <c r="H128" s="229"/>
      <c r="I128" s="229"/>
      <c r="J128" s="230"/>
      <c r="K128" s="39"/>
    </row>
    <row r="129" spans="1:14" ht="4.5" customHeight="1" x14ac:dyDescent="0.5">
      <c r="B129" s="58"/>
      <c r="C129" s="58"/>
      <c r="D129" s="58"/>
      <c r="E129" s="58"/>
      <c r="F129" s="58"/>
      <c r="G129" s="58"/>
      <c r="H129" s="58"/>
      <c r="I129" s="56"/>
      <c r="J129" s="10"/>
      <c r="K129" s="39"/>
    </row>
    <row r="130" spans="1:14" ht="19.899999999999999" customHeight="1" x14ac:dyDescent="0.65">
      <c r="A130" s="431" t="str">
        <f>_xlfn.CONCAT("PROPOSED CONDITION ASSESSMENT for Reach ",B124)</f>
        <v>PROPOSED CONDITION ASSESSMENT for Reach 0</v>
      </c>
      <c r="B130" s="431"/>
      <c r="C130" s="431"/>
      <c r="D130" s="431"/>
      <c r="E130" s="431"/>
      <c r="F130" s="431"/>
      <c r="G130" s="431" t="s">
        <v>13</v>
      </c>
      <c r="H130" s="431"/>
      <c r="I130" s="431"/>
      <c r="J130" s="431"/>
      <c r="K130" s="10"/>
    </row>
    <row r="131" spans="1:14" ht="15.75" x14ac:dyDescent="0.5">
      <c r="A131" s="32" t="s">
        <v>1</v>
      </c>
      <c r="B131" s="32" t="s">
        <v>2</v>
      </c>
      <c r="C131" s="432" t="s">
        <v>3</v>
      </c>
      <c r="D131" s="433"/>
      <c r="E131" s="32" t="s">
        <v>11</v>
      </c>
      <c r="F131" s="31" t="s">
        <v>12</v>
      </c>
      <c r="G131" s="32" t="s">
        <v>14</v>
      </c>
      <c r="H131" s="32" t="s">
        <v>15</v>
      </c>
      <c r="I131" s="57" t="s">
        <v>15</v>
      </c>
      <c r="J131" s="32" t="s">
        <v>160</v>
      </c>
      <c r="K131" s="10"/>
    </row>
    <row r="132" spans="1:14" ht="15.75" x14ac:dyDescent="0.5">
      <c r="A132" s="434" t="s">
        <v>173</v>
      </c>
      <c r="B132" s="437" t="s">
        <v>71</v>
      </c>
      <c r="C132" s="132" t="s">
        <v>138</v>
      </c>
      <c r="D132" s="149"/>
      <c r="E132" s="30"/>
      <c r="F132" s="202" t="str">
        <f>IF(E132="","",IF(E132&gt;78,0,IF(E132&lt;=55,1,ROUND(E132*'Reference Curves'!$B$3+'Reference Curves'!$B$4,2))))</f>
        <v/>
      </c>
      <c r="G132" s="411" t="str">
        <f>IFERROR(AVERAGE(F132:F133),"")</f>
        <v/>
      </c>
      <c r="H132" s="411" t="str">
        <f>IFERROR(ROUND(AVERAGE(G132:G138),2),"")</f>
        <v/>
      </c>
      <c r="I132" s="438" t="str">
        <f>IF(H132="","",IF(H132:H138&gt;0.69,"Functioning",IF(H132&gt;0.29,"Functioning At Risk",IF(H132&gt;-1,"Not Functioning"))))</f>
        <v/>
      </c>
      <c r="J132" s="451" t="str">
        <f>IF(AND(H132="",H139="",H153="",H157=""),"",ROUND((IF(H132="",0,H132)*0.3)+(IF(H139="",0,H139)*0.3)+(IF(H153="",0,H153)*0.2)+(IF(H157="",0,H157)*0.2),2))</f>
        <v/>
      </c>
      <c r="K132" s="10"/>
    </row>
    <row r="133" spans="1:14" ht="15.75" x14ac:dyDescent="0.5">
      <c r="A133" s="434"/>
      <c r="B133" s="437"/>
      <c r="C133" s="133" t="s">
        <v>184</v>
      </c>
      <c r="D133" s="150"/>
      <c r="E133" s="35"/>
      <c r="F133" s="203" t="str">
        <f>IF(E133="","",   IF(E133&gt;3.2,0, IF(E133&lt;0, "", ROUND('Reference Curves'!$B$8*E133+'Reference Curves'!$B$9,2))))</f>
        <v/>
      </c>
      <c r="G133" s="412"/>
      <c r="H133" s="412"/>
      <c r="I133" s="439"/>
      <c r="J133" s="451"/>
      <c r="K133" s="10"/>
    </row>
    <row r="134" spans="1:14" ht="15.75" x14ac:dyDescent="0.5">
      <c r="A134" s="434"/>
      <c r="B134" s="400" t="s">
        <v>185</v>
      </c>
      <c r="C134" s="134" t="s">
        <v>186</v>
      </c>
      <c r="D134" s="149"/>
      <c r="E134" s="34"/>
      <c r="F134" s="204" t="s">
        <v>285</v>
      </c>
      <c r="G134" s="411" t="str">
        <f>IFERROR(IF(AND(ISNUMBER(E134),E134&lt;1),0,AVERAGE(F134:F135)),"")</f>
        <v/>
      </c>
      <c r="H134" s="412"/>
      <c r="I134" s="439"/>
      <c r="J134" s="451"/>
      <c r="K134" s="10"/>
    </row>
    <row r="135" spans="1:14" ht="15.75" x14ac:dyDescent="0.5">
      <c r="A135" s="434"/>
      <c r="B135" s="401"/>
      <c r="C135" s="151" t="s">
        <v>187</v>
      </c>
      <c r="D135" s="152"/>
      <c r="E135" s="34"/>
      <c r="F135" s="205" t="str">
        <f>IF(E135="","",IF(G124= "CS-II", ROUND(IF(E135&lt;=0.6,0, IF(E135&gt;=2.3,1,E135*'Reference Curves'!$D$14+'Reference Curves'!$D$15)),2),IF(AND(D125&lt;20,LEFT(G124,2)="CS"), ROUND(IF(E135&lt;=0.2,0, IF(E135&gt;=1,1,E135*'Reference Curves'!$B$14+'Reference Curves'!$B$15)),2), IF(AND(D125&gt;=20,LEFT(G124,2)= "CS"), ROUND(IF(E135&lt;=0.4,0, IF(E135&gt;=1.5,1,E135*'Reference Curves'!$C$14+'Reference Curves'!$C$15)),2),"FALSE"))))</f>
        <v/>
      </c>
      <c r="G135" s="413"/>
      <c r="H135" s="412"/>
      <c r="I135" s="439"/>
      <c r="J135" s="451"/>
      <c r="K135" s="10"/>
    </row>
    <row r="136" spans="1:14" ht="15.75" x14ac:dyDescent="0.5">
      <c r="A136" s="434"/>
      <c r="B136" s="437" t="s">
        <v>4</v>
      </c>
      <c r="C136" s="133" t="s">
        <v>5</v>
      </c>
      <c r="D136" s="14"/>
      <c r="E136" s="30"/>
      <c r="F136" s="206" t="str">
        <f>IF( E136="","",
IF( E136&gt;1.71,0, IF( E136&gt;1, ROUND(E136*'Reference Curves'!C$20+'Reference Curves'!C$21,2),
IF( D128="Transport", ROUND(IF( E136&lt;0.35,0, E136*'Reference Curves'!$B$20+'Reference Curves'!$B$21 ),2), 1 ))))</f>
        <v/>
      </c>
      <c r="G136" s="411" t="str">
        <f>IFERROR(AVERAGE(F136:F138),"")</f>
        <v/>
      </c>
      <c r="H136" s="412"/>
      <c r="I136" s="439"/>
      <c r="J136" s="451"/>
      <c r="K136" s="10"/>
      <c r="N136" s="9"/>
    </row>
    <row r="137" spans="1:14" ht="15.75" x14ac:dyDescent="0.5">
      <c r="A137" s="434"/>
      <c r="B137" s="437"/>
      <c r="C137" s="133" t="s">
        <v>6</v>
      </c>
      <c r="D137" s="14"/>
      <c r="E137" s="34"/>
      <c r="F137" s="205" t="str">
        <f>IF(E137="","",IF(OR(LEFT(B125,1)="A",LEFT(B125,1)="B"),IF(E137&lt;1.05,0,IF(E137&gt;=2.2,1,ROUND(IF(E137&lt;1.4,E137*'Reference Curves'!$B$40+'Reference Curves'!$B$41,E137*'Reference Curves'!$C$40+'Reference Curves'!$C$41),2))), IF(B125="C",IF(E137&lt;1.7,0,IF(E137&gt;=4.2,1,ROUND(IF(E137&lt;2.4,E137*'Reference Curves'!$C$25+'Reference Curves'!$C$26,E137*'Reference Curves'!$B$25+'Reference Curves'!$B$26),2))),                                                                                                                                                                                                                    IF(B125="Cb",IF(E137&lt;1.7,0,IF(E137&gt;=3.9,1,ROUND(IF(E137&lt;2.4,E137*'Reference Curves'!$C$30+'Reference Curves'!$C$31,E137*'Reference Curves'!$B$30+'Reference Curves'!$B$31),2))),
IF(LEFT(B125,1)="E",IF(E137&lt;1.7,0,IF(E137&gt;=6.7,1,ROUND(IF(E137&lt;2.4,E137*'Reference Curves'!$C$35+'Reference Curves'!$C$36,E137*'Reference Curves'!$B$35+'Reference Curves'!$B$36),2))))))))</f>
        <v/>
      </c>
      <c r="G137" s="412"/>
      <c r="H137" s="412"/>
      <c r="I137" s="439"/>
      <c r="J137" s="451"/>
      <c r="K137" s="10"/>
      <c r="N137" s="9"/>
    </row>
    <row r="138" spans="1:14" ht="15.75" customHeight="1" x14ac:dyDescent="0.5">
      <c r="A138" s="434"/>
      <c r="B138" s="437"/>
      <c r="C138" s="135" t="s">
        <v>188</v>
      </c>
      <c r="D138" s="14"/>
      <c r="E138" s="35"/>
      <c r="F138" s="207" t="str">
        <f>IF(E138="","",IF(D126="Unconfined Alluvial",IF(E138&lt;=0,0, IF(E138&gt;=100,1, ROUND(IF(E138&lt;10,E138*'Reference Curves'!$B$46+'Reference Curves'!$B$47, IF(E138&lt;50,E138*'Reference Curves'!$C$46+'Reference Curves'!$C$47,E138*'Reference Curves'!$D$46+'Reference Curves'!$D$47)),2))), IF(D126="Confined Alluvial",IF(E138&lt;=0,0,IF(E138&gt;=50,1,ROUND(IF(E138&lt;5,E138*'Reference Curves'!$E$46+'Reference Curves'!$E$47,IF(E138&lt;25,E138*'Reference Curves'!$F$46+'Reference Curves'!$F$47,E138*'Reference Curves'!$G$46+'Reference Curves'!$G$47)),2))))))</f>
        <v/>
      </c>
      <c r="G138" s="413"/>
      <c r="H138" s="413"/>
      <c r="I138" s="440"/>
      <c r="J138" s="451"/>
      <c r="K138" s="10"/>
      <c r="N138" s="9"/>
    </row>
    <row r="139" spans="1:14" ht="15.75" x14ac:dyDescent="0.5">
      <c r="A139" s="399" t="s">
        <v>20</v>
      </c>
      <c r="B139" s="399" t="s">
        <v>21</v>
      </c>
      <c r="C139" s="16" t="s">
        <v>19</v>
      </c>
      <c r="D139" s="46"/>
      <c r="E139" s="30"/>
      <c r="F139" s="208" t="str">
        <f>IF(E139="","",IF(E139&gt;=660,1,IF(E139&lt;=430,ROUND('Reference Curves'!$I$4*E139+'Reference Curves'!$I$5,2),ROUND('Reference Curves'!$J$4*E139+'Reference Curves'!$J$5,2))))</f>
        <v/>
      </c>
      <c r="G139" s="414" t="str">
        <f>IFERROR(AVERAGE(F139:F140),"")</f>
        <v/>
      </c>
      <c r="H139" s="414" t="str">
        <f>IFERROR(ROUND(AVERAGE(G139:G152),2),"")</f>
        <v/>
      </c>
      <c r="I139" s="417" t="str">
        <f>IF(H139="","",IF(H139&gt;0.69,"Functioning",IF(H139&gt;0.29,"Functioning At Risk",IF(H139&gt;-1,"Not Functioning"))))</f>
        <v/>
      </c>
      <c r="J139" s="451"/>
      <c r="K139" s="10"/>
      <c r="N139" s="9"/>
    </row>
    <row r="140" spans="1:14" ht="15.75" x14ac:dyDescent="0.5">
      <c r="A140" s="399"/>
      <c r="B140" s="399"/>
      <c r="C140" s="18" t="s">
        <v>189</v>
      </c>
      <c r="D140" s="47"/>
      <c r="E140" s="35"/>
      <c r="F140" s="209" t="str">
        <f>IF(E140="","",IF(E140&gt;=28,1,ROUND(IF(E140&lt;=13,'Reference Curves'!$I$9*E140,'Reference Curves'!$J$9*E140+'Reference Curves'!$J$10),2)))</f>
        <v/>
      </c>
      <c r="G140" s="416"/>
      <c r="H140" s="415"/>
      <c r="I140" s="418"/>
      <c r="J140" s="451"/>
      <c r="K140" s="10"/>
      <c r="N140" s="9"/>
    </row>
    <row r="141" spans="1:14" ht="15.75" x14ac:dyDescent="0.5">
      <c r="A141" s="399"/>
      <c r="B141" s="399" t="s">
        <v>114</v>
      </c>
      <c r="C141" s="16" t="s">
        <v>190</v>
      </c>
      <c r="D141" s="46"/>
      <c r="E141" s="78"/>
      <c r="F141" s="208" t="str">
        <f>IF(E141="","",ROUND(IF(E141&lt;=2,0,IF(E141&gt;=9,1, IF(E141&gt;=5,E141^2*'Reference Curves'!$I$14+E141*'Reference Curves'!$I$15+'Reference Curves'!$I$16, E141*'Reference Curves'!$J$15+'Reference Curves'!$J$16))),2))</f>
        <v/>
      </c>
      <c r="G141" s="414" t="str">
        <f>IFERROR(IF(E144&gt;=50,0,AVERAGE(F141:F144)),"")</f>
        <v/>
      </c>
      <c r="H141" s="415"/>
      <c r="I141" s="418"/>
      <c r="J141" s="451"/>
      <c r="K141" s="10"/>
      <c r="N141" s="9"/>
    </row>
    <row r="142" spans="1:14" ht="15.75" x14ac:dyDescent="0.5">
      <c r="A142" s="399"/>
      <c r="B142" s="399"/>
      <c r="C142" s="18" t="s">
        <v>42</v>
      </c>
      <c r="D142" s="67"/>
      <c r="E142" s="78"/>
      <c r="F142" s="210" t="str">
        <f>IF(E142="","",IF(OR(E142="Ex/Ex",E142="Ex/VH",E142="Ex/H",E142="Ex/M",E142="VH/Ex",E142="VH/VH", E142="H/Ex",E142="H/VH"),0, IF(OR(E142="M/Ex"),0.1,IF(OR(E142="VH/H",E142="VH/M",E142="H/H",E142="H/M", E142="M/VH"),0.2, IF(OR(E142="Ex/VL",E142="Ex/L", E142="M/H"),0.3, IF(OR(E142="VH/L",E142="H/L"),0.4, IF(OR(E142="VH/VL",E142="H/VL",E142="M/M"),0.5, IF(OR(E142="M/L",E142="L/Ex"),0.6, IF(OR(E142="M/VL",E142="L/VH", E142="L/H",E142="L/M",E142="L/L",E142="L/VL", LEFT(E142,2)="VL"),1)))))))))</f>
        <v/>
      </c>
      <c r="G142" s="415"/>
      <c r="H142" s="415"/>
      <c r="I142" s="418"/>
      <c r="J142" s="451"/>
      <c r="K142" s="10"/>
      <c r="N142" s="9"/>
    </row>
    <row r="143" spans="1:14" ht="15.75" x14ac:dyDescent="0.5">
      <c r="A143" s="399"/>
      <c r="B143" s="399"/>
      <c r="C143" s="136" t="s">
        <v>54</v>
      </c>
      <c r="D143" s="67"/>
      <c r="E143" s="78"/>
      <c r="F143" s="210" t="str">
        <f>IF(E143="","",ROUND(IF(E143&gt;=75,0,IF(E143&lt;=5,1,IF(E143&gt;10,E143*'Reference Curves'!I$20+'Reference Curves'!I$21,'Reference Curves'!$J$20*E143+'Reference Curves'!$J$21))),2))</f>
        <v/>
      </c>
      <c r="G143" s="421"/>
      <c r="H143" s="415"/>
      <c r="I143" s="418"/>
      <c r="J143" s="451"/>
      <c r="K143" s="10"/>
      <c r="N143" s="9"/>
    </row>
    <row r="144" spans="1:14" ht="15.75" x14ac:dyDescent="0.5">
      <c r="A144" s="399"/>
      <c r="B144" s="399"/>
      <c r="C144" s="137" t="s">
        <v>113</v>
      </c>
      <c r="D144" s="154"/>
      <c r="E144" s="153"/>
      <c r="F144" s="211" t="str">
        <f>IF(E144="","",IF(E144&gt;=30,0,ROUND(E144*'Reference Curves'!$I$24+'Reference Curves'!$I$25,2)))</f>
        <v/>
      </c>
      <c r="G144" s="416"/>
      <c r="H144" s="415"/>
      <c r="I144" s="418"/>
      <c r="J144" s="451"/>
      <c r="K144" s="10"/>
      <c r="N144" s="9"/>
    </row>
    <row r="145" spans="1:14" ht="15.75" x14ac:dyDescent="0.5">
      <c r="A145" s="399"/>
      <c r="B145" s="399" t="s">
        <v>44</v>
      </c>
      <c r="C145" s="16" t="s">
        <v>45</v>
      </c>
      <c r="D145" s="20"/>
      <c r="E145" s="37"/>
      <c r="F145" s="212" t="str">
        <f>IF(E145="","",IF(B125="Bc",IF(OR(E145&gt;=12,E145&lt;=0.1),0,IF(E145&lt;=3.4,1,ROUND('Reference Curves'!$I$33*E145+'Reference Curves'!$I$34,2))),
IF(OR(B125="B",B125="Ba"),IF(OR(E145&gt;=7.5,E145&lt;=0.1),0,IF(E145&lt;=3,1,ROUND(IF(E145&gt;4,'Reference Curves'!$I$29*E145+'Reference Curves'!$I$30,'Reference Curves'!$J$29*E145+'Reference Curves'!$J$30),2))),
IF(B125="Cb",IF(OR(E145&gt;=8.35,E145&lt;1.4),0,IF(AND(E145&gt;=3.7,E145&lt;=5),1,ROUND(IF(E145&lt;3.7,'Reference Curves'!$I$49*E145+'Reference Curves'!$I$50,'Reference Curves'!$J$49*E145+'Reference Curves'!$J$50),2))),
IF(B125="C",IF(OR(E145&gt;=9.3,E145&lt;=3),0,IF(AND(E145&gt;=4,E145&lt;=6),1,ROUND(IF(E145&lt;4,'Reference Curves'!$I$44*E145+'Reference Curves'!$I$45,'Reference Curves'!$J$44*E145+'Reference Curves'!$J$45),2))),
IF(B125="E",IF(OR(E145&gt;=8.3,E145&lt;1.85),0,IF(AND(E145&gt;=3.5,E145&lt;=5),1,ROUND(IF(E145&lt;3.5,'Reference Curves'!$I$38*E145+'Reference Curves'!$I$39,'Reference Curves'!$J$38*E145+'Reference Curves'!$J$39),2)))      ))))))</f>
        <v/>
      </c>
      <c r="G145" s="425" t="str">
        <f>IFERROR(AVERAGE(F145:F148),"")</f>
        <v/>
      </c>
      <c r="H145" s="415"/>
      <c r="I145" s="418"/>
      <c r="J145" s="451"/>
      <c r="K145" s="10"/>
      <c r="N145" s="9"/>
    </row>
    <row r="146" spans="1:14" ht="15.75" x14ac:dyDescent="0.5">
      <c r="A146" s="399"/>
      <c r="B146" s="399"/>
      <c r="C146" s="18" t="s">
        <v>46</v>
      </c>
      <c r="D146" s="15"/>
      <c r="E146" s="36"/>
      <c r="F146" s="213" t="str">
        <f>IF(E146="","",IF(E146&lt;=1,0,IF(E146&gt;=3.2,1,IF(E146&gt;=2.2,ROUND('Reference Curves'!$J$54*E146+'Reference Curves'!$J$55,2),(ROUND('Reference Curves'!$I$54*E146+'Reference Curves'!$I$55,2))))))</f>
        <v/>
      </c>
      <c r="G146" s="421"/>
      <c r="H146" s="415"/>
      <c r="I146" s="418"/>
      <c r="J146" s="451"/>
      <c r="K146" s="10"/>
      <c r="N146" s="9"/>
    </row>
    <row r="147" spans="1:14" ht="15.75" customHeight="1" x14ac:dyDescent="0.5">
      <c r="A147" s="399"/>
      <c r="B147" s="399"/>
      <c r="C147" s="18" t="s">
        <v>92</v>
      </c>
      <c r="D147" s="15"/>
      <c r="E147" s="36"/>
      <c r="F147" s="283" t="str">
        <f>IF(E147="","", IF(D124="","FALSE",IF(D124&lt; 3,IF( OR(E147&gt;=91,E147&lt;=13.5),0, IF(AND(E147&gt;49,E147&lt;61), 1, ROUND(IF(E147&lt;50,'Reference Curves'!$I$60*E147+'Reference Curves'!$I$61, IF(E147&gt;60,'Reference Curves'!$J$60*E147+'Reference Curves'!$J$61)),2))), IF(D124&gt;=3,IF(OR(E147&gt;94.5,E147&lt;41.5),0, IF(AND(E147 &gt;=68, E147&lt;=78),1, ROUND(IF(E147&lt;68,'Reference Curves'!$I$65*E147+'Reference Curves'!$I$66,'Reference Curves'!$J$65*E147+'Reference Curves'!$J$66),2) ))))))</f>
        <v/>
      </c>
      <c r="G147" s="421"/>
      <c r="H147" s="415"/>
      <c r="I147" s="418"/>
      <c r="J147" s="451"/>
      <c r="K147" s="10"/>
      <c r="N147" s="9"/>
    </row>
    <row r="148" spans="1:14" ht="15.75" x14ac:dyDescent="0.5">
      <c r="A148" s="399"/>
      <c r="B148" s="399"/>
      <c r="C148" s="19" t="s">
        <v>79</v>
      </c>
      <c r="D148" s="15"/>
      <c r="E148" s="38"/>
      <c r="F148" s="284" t="str">
        <f>IF(E148="","",IF(E148&gt;=1.6,0,IF(E148&lt;=1,1,ROUND('Reference Curves'!$I$74*E148^3+'Reference Curves'!$I$75*E148^2+'Reference Curves'!$I$76*E148+'Reference Curves'!$I$77,2))))</f>
        <v/>
      </c>
      <c r="G148" s="426"/>
      <c r="H148" s="415"/>
      <c r="I148" s="418"/>
      <c r="J148" s="451"/>
      <c r="K148" s="10"/>
      <c r="N148" s="9"/>
    </row>
    <row r="149" spans="1:14" ht="15.75" x14ac:dyDescent="0.5">
      <c r="A149" s="399"/>
      <c r="B149" s="399" t="s">
        <v>43</v>
      </c>
      <c r="C149" s="18" t="s">
        <v>201</v>
      </c>
      <c r="D149" s="46"/>
      <c r="E149" s="17"/>
      <c r="F149" s="214" t="str">
        <f>IF( E149="","",
IF( D126="Unconfined Alluvial", IF( E149&gt;=100,1,
ROUND('Reference Curves'!$I$82*E149+'Reference Curves'!$I$83,2) ),
IF( OR(D126="Confined Alluvial", D126="Colluvial/V-Shaped"), ( IF(E149&gt;=100,1,
IF(E149&gt;=60, ROUND('Reference Curves'!$J$82*E149+'Reference Curves'!$J$83,2), ROUND('Reference Curves'!$K$82*E149+'Reference Curves'!$K$83,2) ) ) ) ) ) )</f>
        <v/>
      </c>
      <c r="G149" s="414" t="str">
        <f>IFERROR(AVERAGE(F149:F152),"")</f>
        <v/>
      </c>
      <c r="H149" s="415"/>
      <c r="I149" s="418"/>
      <c r="J149" s="451"/>
      <c r="K149" s="10"/>
      <c r="N149" s="9"/>
    </row>
    <row r="150" spans="1:14" ht="15.75" x14ac:dyDescent="0.5">
      <c r="A150" s="399"/>
      <c r="B150" s="399"/>
      <c r="C150" s="18" t="s">
        <v>191</v>
      </c>
      <c r="D150" s="67"/>
      <c r="E150" s="79"/>
      <c r="F150" s="213" t="str">
        <f>IF( E150="","", IF(D127&lt;&gt;"Woody","FALSE", IF( OR(G126="Mountains",G126="Basins"),
IF(E150&lt;=0,0, IF(E150&gt;=122,1, IF(E150&lt;69, ROUND('Reference Curves'!$I$87*E150+'Reference Curves'!$I$88,2), ROUND('Reference Curves'!$J$87*E150+'Reference Curves'!$J$88,2) ) ) ),
IF(G126="Plains",IF(OR(E150&lt;=0,E150&gt;111),0,IF(AND(E150&gt;=69,E150&lt;=76),1,IF(E150&lt;69,ROUND(E150*'Reference Curves'!$I$92+'Reference Curves'!$I$93,2),ROUND(E150*'Reference Curves'!$J$92+'Reference Curves'!$J$93,2))))))))</f>
        <v/>
      </c>
      <c r="G150" s="415"/>
      <c r="H150" s="415"/>
      <c r="I150" s="418"/>
      <c r="J150" s="451"/>
      <c r="K150" s="10"/>
      <c r="N150" s="9"/>
    </row>
    <row r="151" spans="1:14" ht="15.75" x14ac:dyDescent="0.5">
      <c r="A151" s="399"/>
      <c r="B151" s="399"/>
      <c r="C151" s="18" t="s">
        <v>141</v>
      </c>
      <c r="D151" s="67"/>
      <c r="E151" s="79"/>
      <c r="F151" s="213" t="str">
        <f>IF(E151="","",IF(D127="Herbaceous",IF(E151&lt;=34,0,IF(E151&gt;=120,1,IF(E151&gt;73,ROUND(E151*'Reference Curves'!$J$98+'Reference Curves'!$J$99,2),ROUND(E151*'Reference Curves'!$I$98+'Reference Curves'!$I$99,2))))))</f>
        <v/>
      </c>
      <c r="G151" s="421"/>
      <c r="H151" s="415"/>
      <c r="I151" s="418"/>
      <c r="J151" s="451"/>
      <c r="K151" s="10"/>
      <c r="N151" s="9"/>
    </row>
    <row r="152" spans="1:14" ht="15.75" x14ac:dyDescent="0.5">
      <c r="A152" s="399"/>
      <c r="B152" s="399"/>
      <c r="C152" s="138" t="s">
        <v>192</v>
      </c>
      <c r="D152" s="158"/>
      <c r="E152" s="162"/>
      <c r="F152" s="283" t="str">
        <f>IF(E152="","",IF(E152&lt;=46,0,IF(E152&gt;=100,1,IF(AND(E152&lt;=100,E152&gt;91),ROUND(E152*'Reference Curves'!$J$103+'Reference Curves'!$J$104,2),ROUND(E152*'Reference Curves'!$I$103+'Reference Curves'!$I$104,2)))))</f>
        <v/>
      </c>
      <c r="G152" s="416"/>
      <c r="H152" s="416"/>
      <c r="I152" s="419"/>
      <c r="J152" s="451"/>
      <c r="K152" s="10"/>
      <c r="N152" s="9"/>
    </row>
    <row r="153" spans="1:14" ht="15.75" x14ac:dyDescent="0.5">
      <c r="A153" s="436" t="s">
        <v>47</v>
      </c>
      <c r="B153" s="441" t="s">
        <v>139</v>
      </c>
      <c r="C153" s="139" t="s">
        <v>193</v>
      </c>
      <c r="D153" s="160"/>
      <c r="E153" s="30"/>
      <c r="F153" s="215" t="str">
        <f>IF(E153="","",IF(G124="","Enter Stream Temperature",  IF(G124="CS-I (MWF)",IF(E153&gt;=21.2,0,1),  IF(G124="CS-I",IF(E153&gt;=21.7,0,1),  IF(G124="CS-II",IF(E153&gt;=23.9,0,1),  IF(G124="WS-I",IF(E153&gt;=29,0,1),  IF(G124="WS-II",IF(E153&gt;=28.6,0,1), IF(G124="WS-III",IF(E153&gt;=31.8,0,1)))))))))</f>
        <v/>
      </c>
      <c r="G153" s="422" t="str">
        <f>IFERROR(AVERAGE(F153:F154),"")</f>
        <v/>
      </c>
      <c r="H153" s="422" t="str">
        <f>IFERROR(ROUND(AVERAGE(G153:G156),2),"")</f>
        <v/>
      </c>
      <c r="I153" s="430" t="str">
        <f>IF(H153="","",IF(H153&gt;0.69,"Functioning",IF(H153&gt;0.29,"Functioning At Risk",IF(H153&gt;-1,"Not Functioning"))))</f>
        <v/>
      </c>
      <c r="J153" s="451"/>
      <c r="K153" s="10"/>
      <c r="N153" s="9"/>
    </row>
    <row r="154" spans="1:14" ht="15.75" x14ac:dyDescent="0.5">
      <c r="A154" s="436"/>
      <c r="B154" s="441"/>
      <c r="C154" s="140" t="s">
        <v>194</v>
      </c>
      <c r="D154" s="155"/>
      <c r="E154" s="35"/>
      <c r="F154" s="216" t="str">
        <f>IF(E154="","",IF(G124="","Enter Stream Temperature",  IF(G124="CS-I (MWF)",IF(E154&gt;=18.3,0,IF(E154&lt;=13.8,1,ROUND(E154*'Reference Curves'!$M$4+'Reference Curves'!$M$5,2))),  IF(G124="CS-I",IF(E154&gt;=17.6,0,IF(E154&lt;=15.7,1,ROUND(E154*'Reference Curves'!$N$4+'Reference Curves'!$N$5,2))),  IF(G124="CS-II",IF(E154&gt;=19.1,0,IF(E154&lt;=16.6,1,ROUND(E154*'Reference Curves'!$O$4+'Reference Curves'!$O$5,2))),  IF(G124="WS-I",IF(E154&gt;=25.7,0,IF(E154&lt;=20.9,1,ROUND(E154*'Reference Curves'!$P$4+'Reference Curves'!$P$5,2))),  IF(G124="WS-II",IF(E154&gt;=29.7,0,IF(E154&lt;=22.5,1,ROUND(E154*'Reference Curves'!$Q$4+'Reference Curves'!$Q$5,2))), IF(G124="WS-III",IF(E154&gt;=30,0,IF(E154&lt;=25.9,1,ROUND(E154*'Reference Curves'!$R$4+'Reference Curves'!$R$5,2)))    ))))))))</f>
        <v/>
      </c>
      <c r="G154" s="424"/>
      <c r="H154" s="423"/>
      <c r="I154" s="430"/>
      <c r="J154" s="451"/>
      <c r="K154" s="10"/>
      <c r="N154" s="9"/>
    </row>
    <row r="155" spans="1:14" ht="15.75" x14ac:dyDescent="0.5">
      <c r="A155" s="436"/>
      <c r="B155" s="192" t="s">
        <v>140</v>
      </c>
      <c r="C155" s="142" t="s">
        <v>195</v>
      </c>
      <c r="D155" s="156"/>
      <c r="E155" s="54"/>
      <c r="F155" s="216" t="str">
        <f>IF(E155="","",ROUND( IF(E155&lt;=6,0, IF(E155&gt;=10.31,1,E155*'Reference Curves'!$M$8+'Reference Curves'!$M$9)),2))</f>
        <v/>
      </c>
      <c r="G155" s="163" t="str">
        <f>IFERROR(AVERAGE(F155),"")</f>
        <v/>
      </c>
      <c r="H155" s="423"/>
      <c r="I155" s="430"/>
      <c r="J155" s="451"/>
      <c r="K155" s="10"/>
      <c r="N155" s="9"/>
    </row>
    <row r="156" spans="1:14" ht="15.75" x14ac:dyDescent="0.5">
      <c r="A156" s="436"/>
      <c r="B156" s="192" t="s">
        <v>196</v>
      </c>
      <c r="C156" s="143" t="s">
        <v>357</v>
      </c>
      <c r="D156" s="157"/>
      <c r="E156" s="54"/>
      <c r="F156" s="216" t="str">
        <f>IF(E156="","",IF(OR(G125=3),IF(E156&gt;=150,0,IF(E156&lt;=16,1,ROUND('Reference Curves'!$M$13*LN(E156)+'Reference Curves'!$M$14,2))), IF(OR(G125=1,G125=2),  IF(E156&gt;=97,0,IF(E156&lt;=12,1,ROUND('Reference Curves'!$N$13*LN(E156)+'Reference Curves'!$N$14,2))))))</f>
        <v/>
      </c>
      <c r="G156" s="163" t="str">
        <f>IFERROR(AVERAGE(F156),"")</f>
        <v/>
      </c>
      <c r="H156" s="424"/>
      <c r="I156" s="430"/>
      <c r="J156" s="451"/>
      <c r="K156" s="10"/>
      <c r="N156" s="9"/>
    </row>
    <row r="157" spans="1:14" ht="15.75" x14ac:dyDescent="0.5">
      <c r="A157" s="435" t="s">
        <v>48</v>
      </c>
      <c r="B157" s="191" t="s">
        <v>93</v>
      </c>
      <c r="C157" s="145" t="s">
        <v>197</v>
      </c>
      <c r="D157" s="28"/>
      <c r="E157" s="54"/>
      <c r="F157" s="217" t="str">
        <f>IF(E157="","",IF(G125="","Enter Biotype",IF(G125=1,IF(E157&lt;=0,0,IF(E157&gt;=57,1,ROUND(IF(E157&lt;=34,'Reference Curves'!$T$5*E157+'Reference Curves'!$T$6,  IF(E157&lt;=45, 'Reference Curves'!$U$5*E157+'Reference Curves'!$U$6,  'Reference Curves'!$V$5*E157+'Reference Curves'!$V$6)),2))),   IF(G125=2,IF(E157&lt;=0,0,IF(E157&gt;=63,1,ROUND(IF(E157&lt;=40,'Reference Curves'!$W$5*E157+'Reference Curves'!$W$6,  IF(E157&lt;=48,'Reference Curves'!$X$5*E157+'Reference Curves'!$X$6,  'Reference Curves'!$Y$5*E157+'Reference Curves'!$Y$6)),2))),   IF(OR(G125=3),IF(E157&lt;=0,0,IF(E157&gt;=52,1,ROUND(IF(E157&lt;=29,'Reference Curves'!$Z$5*E157+'Reference Curves'!$Z$6, IF(E157&lt;=42, 'Reference Curves'!$AA$5*E157+'Reference Curves'!$AA$6,  'Reference Curves'!$AB$5*E157+'Reference Curves'!$AB$6)),2))))))))</f>
        <v/>
      </c>
      <c r="G157" s="164" t="str">
        <f>IFERROR(AVERAGE(F157),"")</f>
        <v/>
      </c>
      <c r="H157" s="420" t="str">
        <f>IFERROR(ROUND(AVERAGE(G157:G160),2),"")</f>
        <v/>
      </c>
      <c r="I157" s="430" t="str">
        <f>IF(H157="","",IF(H157&gt;0.69,"Functioning",IF(H157&gt;0.29,"Functioning At Risk",IF(H157&gt;-1,"Not Functioning"))))</f>
        <v/>
      </c>
      <c r="J157" s="451"/>
      <c r="K157" s="10"/>
      <c r="N157" s="9"/>
    </row>
    <row r="158" spans="1:14" ht="15.75" x14ac:dyDescent="0.5">
      <c r="A158" s="435"/>
      <c r="B158" s="398" t="s">
        <v>51</v>
      </c>
      <c r="C158" s="146" t="s">
        <v>198</v>
      </c>
      <c r="D158" s="28"/>
      <c r="E158" s="30"/>
      <c r="F158" s="164" t="str">
        <f>IF(E158="","",IF(E158&lt;=0,0,IF(E158&gt;=100,1,ROUND(IF(E158&lt;80,E158*'Reference Curves'!$T$10+'Reference Curves'!$T$11,E158*'Reference Curves'!$U$10+'Reference Curves'!$U$11),2))))</f>
        <v/>
      </c>
      <c r="G158" s="427" t="str">
        <f>IFERROR(AVERAGE(F158:F160),"")</f>
        <v/>
      </c>
      <c r="H158" s="420"/>
      <c r="I158" s="430"/>
      <c r="J158" s="451"/>
      <c r="K158" s="10"/>
      <c r="N158" s="9"/>
    </row>
    <row r="159" spans="1:14" ht="15.75" x14ac:dyDescent="0.5">
      <c r="A159" s="435"/>
      <c r="B159" s="398"/>
      <c r="C159" s="147" t="s">
        <v>199</v>
      </c>
      <c r="D159" s="159"/>
      <c r="E159" s="34"/>
      <c r="F159" s="164" t="str">
        <f>IF(E159="","",ROUND(IF(E159&gt;=3,0,IF(E159&gt;=2,0.3,IF(E159&gt;=1,0.69,1))),2))</f>
        <v/>
      </c>
      <c r="G159" s="428"/>
      <c r="H159" s="420"/>
      <c r="I159" s="430"/>
      <c r="J159" s="451"/>
      <c r="K159" s="10"/>
      <c r="N159" s="9"/>
    </row>
    <row r="160" spans="1:14" ht="15.75" x14ac:dyDescent="0.5">
      <c r="A160" s="435"/>
      <c r="B160" s="398"/>
      <c r="C160" s="148" t="s">
        <v>200</v>
      </c>
      <c r="D160" s="161"/>
      <c r="E160" s="35"/>
      <c r="F160" s="218" t="str">
        <f>IF(E160="","",IF(G128="","Enter Stream Producitvity Rating",IF(G128="High",IF(E160&lt;5,0,IF(E160&gt;=40,1,ROUND(E160*'Reference Curves'!$T$15+'Reference Curves'!$T$16,2))),IF(G128="Moderate",IF(E160&lt;10,0,IF(E160&gt;=80,1,ROUND(E160*'Reference Curves'!$U$15+'Reference Curves'!$U$16,2))),IF(G128="Low",IF(E160&lt;15,0,IF(E160&gt;=119,1,ROUND(E160*'Reference Curves'!$V$15+'Reference Curves'!$V$16,2)))   )))))</f>
        <v/>
      </c>
      <c r="G160" s="429"/>
      <c r="H160" s="420"/>
      <c r="I160" s="430"/>
      <c r="J160" s="451"/>
      <c r="K160" s="10"/>
      <c r="N160" s="9"/>
    </row>
    <row r="161" spans="1:14" x14ac:dyDescent="0.45">
      <c r="J161" s="4"/>
      <c r="K161" s="10"/>
    </row>
    <row r="163" spans="1:14" ht="21" customHeight="1" x14ac:dyDescent="0.45">
      <c r="A163" s="408" t="s">
        <v>349</v>
      </c>
      <c r="B163" s="409"/>
      <c r="C163" s="409"/>
      <c r="D163" s="409"/>
      <c r="E163" s="409"/>
      <c r="F163" s="409"/>
      <c r="G163" s="409"/>
      <c r="H163" s="409"/>
      <c r="I163" s="409"/>
      <c r="J163" s="410"/>
    </row>
    <row r="164" spans="1:14" ht="16.149999999999999" customHeight="1" x14ac:dyDescent="0.45">
      <c r="A164" s="223" t="str">
        <f>'Existing Conditions'!A164</f>
        <v>Reach ID:</v>
      </c>
      <c r="B164" s="224">
        <f>'Existing Conditions'!B164</f>
        <v>0</v>
      </c>
      <c r="C164" s="281" t="str">
        <f>'Existing Conditions'!C164</f>
        <v>Stream Slope (%):</v>
      </c>
      <c r="D164" s="224">
        <f>'Existing Conditions'!D164</f>
        <v>0</v>
      </c>
      <c r="E164" s="449" t="s">
        <v>245</v>
      </c>
      <c r="F164" s="450"/>
      <c r="G164" s="224">
        <f>'Existing Conditions'!G164</f>
        <v>0</v>
      </c>
      <c r="H164" s="447" t="s">
        <v>121</v>
      </c>
      <c r="I164" s="448"/>
      <c r="J164" s="224">
        <f>'Existing Conditions'!J164</f>
        <v>0</v>
      </c>
    </row>
    <row r="165" spans="1:14" ht="16.149999999999999" customHeight="1" x14ac:dyDescent="0.45">
      <c r="A165" s="223" t="str">
        <f>'Existing Conditions'!A165</f>
        <v>Reference Stream Type:</v>
      </c>
      <c r="B165" s="224">
        <f>'Existing Conditions'!B165</f>
        <v>0</v>
      </c>
      <c r="C165" s="281" t="str">
        <f>'Existing Conditions'!C165</f>
        <v>Proposed Bankfull Width (ft):</v>
      </c>
      <c r="D165" s="224">
        <f>'Existing Conditions'!D165</f>
        <v>0</v>
      </c>
      <c r="E165" s="449" t="s">
        <v>247</v>
      </c>
      <c r="F165" s="450"/>
      <c r="G165" s="224">
        <f>'Existing Conditions'!G165</f>
        <v>0</v>
      </c>
      <c r="H165" s="447" t="s">
        <v>122</v>
      </c>
      <c r="I165" s="448"/>
      <c r="J165" s="224">
        <f>'Existing Conditions'!J165</f>
        <v>0</v>
      </c>
    </row>
    <row r="166" spans="1:14" ht="16.149999999999999" customHeight="1" x14ac:dyDescent="0.65">
      <c r="A166" s="223" t="str">
        <f>'Existing Conditions'!A166</f>
        <v>Flow Permanence:</v>
      </c>
      <c r="B166" s="224">
        <f>'Existing Conditions'!B166</f>
        <v>0</v>
      </c>
      <c r="C166" s="281" t="str">
        <f>'Existing Conditions'!C166</f>
        <v>Valley Type:</v>
      </c>
      <c r="D166" s="224">
        <f>'Existing Conditions'!D166</f>
        <v>0</v>
      </c>
      <c r="E166" s="449" t="s">
        <v>261</v>
      </c>
      <c r="F166" s="450"/>
      <c r="G166" s="224">
        <f>'Existing Conditions'!G166</f>
        <v>0</v>
      </c>
      <c r="H166" s="447" t="s">
        <v>123</v>
      </c>
      <c r="I166" s="448"/>
      <c r="J166" s="224">
        <f>'Existing Conditions'!J166</f>
        <v>0</v>
      </c>
      <c r="K166" s="26"/>
    </row>
    <row r="167" spans="1:14" ht="16.149999999999999" customHeight="1" x14ac:dyDescent="0.5">
      <c r="A167" s="223" t="str">
        <f>'Existing Conditions'!A167</f>
        <v>Strahler Stream Order:</v>
      </c>
      <c r="B167" s="224">
        <f>'Existing Conditions'!B167</f>
        <v>0</v>
      </c>
      <c r="C167" s="281" t="str">
        <f>'Existing Conditions'!C167</f>
        <v>Reference Vegetation Cover:</v>
      </c>
      <c r="D167" s="224">
        <f>'Existing Conditions'!D167</f>
        <v>0</v>
      </c>
      <c r="E167" s="445" t="s">
        <v>271</v>
      </c>
      <c r="F167" s="446"/>
      <c r="G167" s="224">
        <f>'Existing Conditions'!G167</f>
        <v>0</v>
      </c>
      <c r="H167" s="447" t="s">
        <v>124</v>
      </c>
      <c r="I167" s="448"/>
      <c r="J167" s="224">
        <f>'Existing Conditions'!J167</f>
        <v>0</v>
      </c>
      <c r="K167" s="39"/>
    </row>
    <row r="168" spans="1:14" ht="18" customHeight="1" x14ac:dyDescent="0.5">
      <c r="A168" s="223" t="str">
        <f>'Existing Conditions'!A168</f>
        <v>Outstanding Water:</v>
      </c>
      <c r="B168" s="224">
        <f>'Existing Conditions'!B168</f>
        <v>0</v>
      </c>
      <c r="C168" s="281" t="str">
        <f>'Existing Conditions'!C168</f>
        <v>Sediment Regime:</v>
      </c>
      <c r="D168" s="224">
        <f>'Existing Conditions'!D168</f>
        <v>0</v>
      </c>
      <c r="E168" s="449" t="s">
        <v>248</v>
      </c>
      <c r="F168" s="450"/>
      <c r="G168" s="224">
        <f>'Existing Conditions'!G168</f>
        <v>0</v>
      </c>
      <c r="H168" s="229"/>
      <c r="I168" s="229"/>
      <c r="J168" s="230"/>
      <c r="K168" s="39"/>
    </row>
    <row r="169" spans="1:14" ht="4.5" customHeight="1" x14ac:dyDescent="0.5">
      <c r="B169" s="58"/>
      <c r="C169" s="58"/>
      <c r="D169" s="58"/>
      <c r="E169" s="58"/>
      <c r="F169" s="58"/>
      <c r="G169" s="58"/>
      <c r="H169" s="58"/>
      <c r="I169" s="56"/>
      <c r="J169" s="10"/>
      <c r="K169" s="39"/>
    </row>
    <row r="170" spans="1:14" ht="19.899999999999999" customHeight="1" x14ac:dyDescent="0.65">
      <c r="A170" s="431" t="str">
        <f>_xlfn.CONCAT("PROPOSED CONDITION ASSESSMENT for Reach ",B164)</f>
        <v>PROPOSED CONDITION ASSESSMENT for Reach 0</v>
      </c>
      <c r="B170" s="431"/>
      <c r="C170" s="431"/>
      <c r="D170" s="431"/>
      <c r="E170" s="431"/>
      <c r="F170" s="431"/>
      <c r="G170" s="431" t="s">
        <v>13</v>
      </c>
      <c r="H170" s="431"/>
      <c r="I170" s="431"/>
      <c r="J170" s="431"/>
      <c r="K170" s="10"/>
    </row>
    <row r="171" spans="1:14" ht="15.75" x14ac:dyDescent="0.5">
      <c r="A171" s="32" t="s">
        <v>1</v>
      </c>
      <c r="B171" s="32" t="s">
        <v>2</v>
      </c>
      <c r="C171" s="432" t="s">
        <v>3</v>
      </c>
      <c r="D171" s="433"/>
      <c r="E171" s="32" t="s">
        <v>11</v>
      </c>
      <c r="F171" s="31" t="s">
        <v>12</v>
      </c>
      <c r="G171" s="32" t="s">
        <v>14</v>
      </c>
      <c r="H171" s="32" t="s">
        <v>15</v>
      </c>
      <c r="I171" s="57" t="s">
        <v>15</v>
      </c>
      <c r="J171" s="32" t="s">
        <v>160</v>
      </c>
      <c r="K171" s="10"/>
    </row>
    <row r="172" spans="1:14" ht="15.75" x14ac:dyDescent="0.5">
      <c r="A172" s="434" t="s">
        <v>173</v>
      </c>
      <c r="B172" s="437" t="s">
        <v>71</v>
      </c>
      <c r="C172" s="132" t="s">
        <v>138</v>
      </c>
      <c r="D172" s="149"/>
      <c r="E172" s="30"/>
      <c r="F172" s="202" t="str">
        <f>IF(E172="","",IF(E172&gt;78,0,IF(E172&lt;=55,1,ROUND(E172*'Reference Curves'!$B$3+'Reference Curves'!$B$4,2))))</f>
        <v/>
      </c>
      <c r="G172" s="411" t="str">
        <f>IFERROR(AVERAGE(F172:F173),"")</f>
        <v/>
      </c>
      <c r="H172" s="411" t="str">
        <f>IFERROR(ROUND(AVERAGE(G172:G178),2),"")</f>
        <v/>
      </c>
      <c r="I172" s="438" t="str">
        <f>IF(H172="","",IF(H172:H178&gt;0.69,"Functioning",IF(H172&gt;0.29,"Functioning At Risk",IF(H172&gt;-1,"Not Functioning"))))</f>
        <v/>
      </c>
      <c r="J172" s="451" t="str">
        <f>IF(AND(H172="",H179="",H193="",H197=""),"",ROUND((IF(H172="",0,H172)*0.3)+(IF(H179="",0,H179)*0.3)+(IF(H193="",0,H193)*0.2)+(IF(H197="",0,H197)*0.2),2))</f>
        <v/>
      </c>
      <c r="K172" s="10"/>
    </row>
    <row r="173" spans="1:14" ht="15.75" x14ac:dyDescent="0.5">
      <c r="A173" s="434"/>
      <c r="B173" s="437"/>
      <c r="C173" s="133" t="s">
        <v>184</v>
      </c>
      <c r="D173" s="150"/>
      <c r="E173" s="35"/>
      <c r="F173" s="203" t="str">
        <f>IF(E173="","",   IF(E173&gt;3.2,0, IF(E173&lt;0, "", ROUND('Reference Curves'!$B$8*E173+'Reference Curves'!$B$9,2))))</f>
        <v/>
      </c>
      <c r="G173" s="412"/>
      <c r="H173" s="412"/>
      <c r="I173" s="439"/>
      <c r="J173" s="451"/>
      <c r="K173" s="10"/>
    </row>
    <row r="174" spans="1:14" ht="15.75" x14ac:dyDescent="0.5">
      <c r="A174" s="434"/>
      <c r="B174" s="400" t="s">
        <v>185</v>
      </c>
      <c r="C174" s="134" t="s">
        <v>186</v>
      </c>
      <c r="D174" s="149"/>
      <c r="E174" s="34"/>
      <c r="F174" s="204" t="s">
        <v>285</v>
      </c>
      <c r="G174" s="411" t="str">
        <f>IFERROR(IF(AND(ISNUMBER(E174),E174&lt;1),0,AVERAGE(F174:F175)),"")</f>
        <v/>
      </c>
      <c r="H174" s="412"/>
      <c r="I174" s="439"/>
      <c r="J174" s="451"/>
      <c r="K174" s="10"/>
    </row>
    <row r="175" spans="1:14" ht="15.75" x14ac:dyDescent="0.5">
      <c r="A175" s="434"/>
      <c r="B175" s="401"/>
      <c r="C175" s="151" t="s">
        <v>187</v>
      </c>
      <c r="D175" s="152"/>
      <c r="E175" s="34"/>
      <c r="F175" s="205" t="str">
        <f>IF(E175="","",IF(G164= "CS-II", ROUND(IF(E175&lt;=0.6,0, IF(E175&gt;=2.3,1,E175*'Reference Curves'!$D$14+'Reference Curves'!$D$15)),2),IF(AND(D165&lt;20,LEFT(G164,2)="CS"), ROUND(IF(E175&lt;=0.2,0, IF(E175&gt;=1,1,E175*'Reference Curves'!$B$14+'Reference Curves'!$B$15)),2), IF(AND(D165&gt;=20,LEFT(G164,2)= "CS"), ROUND(IF(E175&lt;=0.4,0, IF(E175&gt;=1.5,1,E175*'Reference Curves'!$C$14+'Reference Curves'!$C$15)),2),"FALSE"))))</f>
        <v/>
      </c>
      <c r="G175" s="413"/>
      <c r="H175" s="412"/>
      <c r="I175" s="439"/>
      <c r="J175" s="451"/>
      <c r="K175" s="10"/>
    </row>
    <row r="176" spans="1:14" ht="15.75" x14ac:dyDescent="0.5">
      <c r="A176" s="434"/>
      <c r="B176" s="437" t="s">
        <v>4</v>
      </c>
      <c r="C176" s="133" t="s">
        <v>5</v>
      </c>
      <c r="D176" s="14"/>
      <c r="E176" s="30"/>
      <c r="F176" s="206" t="str">
        <f>IF( E176="","",
IF( E176&gt;1.71,0, IF( E176&gt;1, ROUND(E176*'Reference Curves'!C$20+'Reference Curves'!C$21,2),
IF( D168="Transport", ROUND(IF( E176&lt;0.35,0, E176*'Reference Curves'!$B$20+'Reference Curves'!$B$21 ),2), 1 ))))</f>
        <v/>
      </c>
      <c r="G176" s="411" t="str">
        <f>IFERROR(AVERAGE(F176:F178),"")</f>
        <v/>
      </c>
      <c r="H176" s="412"/>
      <c r="I176" s="439"/>
      <c r="J176" s="451"/>
      <c r="K176" s="10"/>
      <c r="N176" s="9"/>
    </row>
    <row r="177" spans="1:14" ht="15.75" x14ac:dyDescent="0.5">
      <c r="A177" s="434"/>
      <c r="B177" s="437"/>
      <c r="C177" s="133" t="s">
        <v>6</v>
      </c>
      <c r="D177" s="14"/>
      <c r="E177" s="34"/>
      <c r="F177" s="205" t="str">
        <f>IF(E177="","",IF(OR(LEFT(B165,1)="A",LEFT(B165,1)="B"),IF(E177&lt;1.05,0,IF(E177&gt;=2.2,1,ROUND(IF(E177&lt;1.4,E177*'Reference Curves'!$B$40+'Reference Curves'!$B$41,E177*'Reference Curves'!$C$40+'Reference Curves'!$C$41),2))), IF(B165="C",IF(E177&lt;1.7,0,IF(E177&gt;=4.2,1,ROUND(IF(E177&lt;2.4,E177*'Reference Curves'!$C$25+'Reference Curves'!$C$26,E177*'Reference Curves'!$B$25+'Reference Curves'!$B$26),2))),                                                                                                                                                                                                                    IF(B165="Cb",IF(E177&lt;1.7,0,IF(E177&gt;=3.9,1,ROUND(IF(E177&lt;2.4,E177*'Reference Curves'!$C$30+'Reference Curves'!$C$31,E177*'Reference Curves'!$B$30+'Reference Curves'!$B$31),2))),
IF(LEFT(B165,1)="E",IF(E177&lt;1.7,0,IF(E177&gt;=6.7,1,ROUND(IF(E177&lt;2.4,E177*'Reference Curves'!$C$35+'Reference Curves'!$C$36,E177*'Reference Curves'!$B$35+'Reference Curves'!$B$36),2))))))))</f>
        <v/>
      </c>
      <c r="G177" s="412"/>
      <c r="H177" s="412"/>
      <c r="I177" s="439"/>
      <c r="J177" s="451"/>
      <c r="K177" s="10"/>
      <c r="N177" s="9"/>
    </row>
    <row r="178" spans="1:14" ht="15.75" customHeight="1" x14ac:dyDescent="0.5">
      <c r="A178" s="434"/>
      <c r="B178" s="437"/>
      <c r="C178" s="135" t="s">
        <v>188</v>
      </c>
      <c r="D178" s="14"/>
      <c r="E178" s="35"/>
      <c r="F178" s="207" t="str">
        <f>IF(E178="","",IF(D166="Unconfined Alluvial",IF(E178&lt;=0,0, IF(E178&gt;=100,1, ROUND(IF(E178&lt;10,E178*'Reference Curves'!$B$46+'Reference Curves'!$B$47, IF(E178&lt;50,E178*'Reference Curves'!$C$46+'Reference Curves'!$C$47,E178*'Reference Curves'!$D$46+'Reference Curves'!$D$47)),2))), IF(D166="Confined Alluvial",IF(E178&lt;=0,0,IF(E178&gt;=50,1,ROUND(IF(E178&lt;5,E178*'Reference Curves'!$E$46+'Reference Curves'!$E$47,IF(E178&lt;25,E178*'Reference Curves'!$F$46+'Reference Curves'!$F$47,E178*'Reference Curves'!$G$46+'Reference Curves'!$G$47)),2))))))</f>
        <v/>
      </c>
      <c r="G178" s="413"/>
      <c r="H178" s="413"/>
      <c r="I178" s="440"/>
      <c r="J178" s="451"/>
      <c r="K178" s="10"/>
      <c r="N178" s="9"/>
    </row>
    <row r="179" spans="1:14" ht="15.75" x14ac:dyDescent="0.5">
      <c r="A179" s="399" t="s">
        <v>20</v>
      </c>
      <c r="B179" s="399" t="s">
        <v>21</v>
      </c>
      <c r="C179" s="16" t="s">
        <v>19</v>
      </c>
      <c r="D179" s="46"/>
      <c r="E179" s="30"/>
      <c r="F179" s="208" t="str">
        <f>IF(E179="","",IF(E179&gt;=660,1,IF(E179&lt;=430,ROUND('Reference Curves'!$I$4*E179+'Reference Curves'!$I$5,2),ROUND('Reference Curves'!$J$4*E179+'Reference Curves'!$J$5,2))))</f>
        <v/>
      </c>
      <c r="G179" s="414" t="str">
        <f>IFERROR(AVERAGE(F179:F180),"")</f>
        <v/>
      </c>
      <c r="H179" s="414" t="str">
        <f>IFERROR(ROUND(AVERAGE(G179:G192),2),"")</f>
        <v/>
      </c>
      <c r="I179" s="417" t="str">
        <f>IF(H179="","",IF(H179&gt;0.69,"Functioning",IF(H179&gt;0.29,"Functioning At Risk",IF(H179&gt;-1,"Not Functioning"))))</f>
        <v/>
      </c>
      <c r="J179" s="451"/>
      <c r="K179" s="10"/>
      <c r="N179" s="9"/>
    </row>
    <row r="180" spans="1:14" ht="15.75" x14ac:dyDescent="0.5">
      <c r="A180" s="399"/>
      <c r="B180" s="399"/>
      <c r="C180" s="18" t="s">
        <v>189</v>
      </c>
      <c r="D180" s="47"/>
      <c r="E180" s="35"/>
      <c r="F180" s="209" t="str">
        <f>IF(E180="","",IF(E180&gt;=28,1,ROUND(IF(E180&lt;=13,'Reference Curves'!$I$9*E180,'Reference Curves'!$J$9*E180+'Reference Curves'!$J$10),2)))</f>
        <v/>
      </c>
      <c r="G180" s="416"/>
      <c r="H180" s="415"/>
      <c r="I180" s="418"/>
      <c r="J180" s="451"/>
      <c r="K180" s="10"/>
      <c r="N180" s="9"/>
    </row>
    <row r="181" spans="1:14" ht="15.75" x14ac:dyDescent="0.5">
      <c r="A181" s="399"/>
      <c r="B181" s="399" t="s">
        <v>114</v>
      </c>
      <c r="C181" s="16" t="s">
        <v>190</v>
      </c>
      <c r="D181" s="46"/>
      <c r="E181" s="78"/>
      <c r="F181" s="208" t="str">
        <f>IF(E181="","",ROUND(IF(E181&lt;=2,0,IF(E181&gt;=9,1, IF(E181&gt;=5,E181^2*'Reference Curves'!$I$14+E181*'Reference Curves'!$I$15+'Reference Curves'!$I$16, E181*'Reference Curves'!$J$15+'Reference Curves'!$J$16))),2))</f>
        <v/>
      </c>
      <c r="G181" s="414" t="str">
        <f>IFERROR(IF(E184&gt;=50,0,AVERAGE(F181:F184)),"")</f>
        <v/>
      </c>
      <c r="H181" s="415"/>
      <c r="I181" s="418"/>
      <c r="J181" s="451"/>
      <c r="K181" s="10"/>
      <c r="N181" s="9"/>
    </row>
    <row r="182" spans="1:14" ht="15.75" x14ac:dyDescent="0.5">
      <c r="A182" s="399"/>
      <c r="B182" s="399"/>
      <c r="C182" s="18" t="s">
        <v>42</v>
      </c>
      <c r="D182" s="67"/>
      <c r="E182" s="78"/>
      <c r="F182" s="210" t="str">
        <f>IF(E182="","",IF(OR(E182="Ex/Ex",E182="Ex/VH",E182="Ex/H",E182="Ex/M",E182="VH/Ex",E182="VH/VH", E182="H/Ex",E182="H/VH"),0, IF(OR(E182="M/Ex"),0.1,IF(OR(E182="VH/H",E182="VH/M",E182="H/H",E182="H/M", E182="M/VH"),0.2, IF(OR(E182="Ex/VL",E182="Ex/L", E182="M/H"),0.3, IF(OR(E182="VH/L",E182="H/L"),0.4, IF(OR(E182="VH/VL",E182="H/VL",E182="M/M"),0.5, IF(OR(E182="M/L",E182="L/Ex"),0.6, IF(OR(E182="M/VL",E182="L/VH", E182="L/H",E182="L/M",E182="L/L",E182="L/VL", LEFT(E182,2)="VL"),1)))))))))</f>
        <v/>
      </c>
      <c r="G182" s="415"/>
      <c r="H182" s="415"/>
      <c r="I182" s="418"/>
      <c r="J182" s="451"/>
      <c r="K182" s="10"/>
      <c r="N182" s="9"/>
    </row>
    <row r="183" spans="1:14" ht="15.75" x14ac:dyDescent="0.5">
      <c r="A183" s="399"/>
      <c r="B183" s="399"/>
      <c r="C183" s="136" t="s">
        <v>54</v>
      </c>
      <c r="D183" s="67"/>
      <c r="E183" s="78"/>
      <c r="F183" s="210" t="str">
        <f>IF(E183="","",ROUND(IF(E183&gt;=75,0,IF(E183&lt;=5,1,IF(E183&gt;10,E183*'Reference Curves'!I$20+'Reference Curves'!I$21,'Reference Curves'!$J$20*E183+'Reference Curves'!$J$21))),2))</f>
        <v/>
      </c>
      <c r="G183" s="421"/>
      <c r="H183" s="415"/>
      <c r="I183" s="418"/>
      <c r="J183" s="451"/>
      <c r="K183" s="10"/>
      <c r="N183" s="9"/>
    </row>
    <row r="184" spans="1:14" ht="15.75" x14ac:dyDescent="0.5">
      <c r="A184" s="399"/>
      <c r="B184" s="399"/>
      <c r="C184" s="137" t="s">
        <v>113</v>
      </c>
      <c r="D184" s="154"/>
      <c r="E184" s="153"/>
      <c r="F184" s="211" t="str">
        <f>IF(E184="","",IF(E184&gt;=30,0,ROUND(E184*'Reference Curves'!$I$24+'Reference Curves'!$I$25,2)))</f>
        <v/>
      </c>
      <c r="G184" s="416"/>
      <c r="H184" s="415"/>
      <c r="I184" s="418"/>
      <c r="J184" s="451"/>
      <c r="K184" s="10"/>
      <c r="N184" s="9"/>
    </row>
    <row r="185" spans="1:14" ht="15.75" x14ac:dyDescent="0.5">
      <c r="A185" s="399"/>
      <c r="B185" s="399" t="s">
        <v>44</v>
      </c>
      <c r="C185" s="16" t="s">
        <v>45</v>
      </c>
      <c r="D185" s="20"/>
      <c r="E185" s="37"/>
      <c r="F185" s="212" t="str">
        <f>IF(E185="","",IF(B165="Bc",IF(OR(E185&gt;=12,E185&lt;=0.1),0,IF(E185&lt;=3.4,1,ROUND('Reference Curves'!$I$33*E185+'Reference Curves'!$I$34,2))),
IF(OR(B165="B",B165="Ba"),IF(OR(E185&gt;=7.5,E185&lt;=0.1),0,IF(E185&lt;=3,1,ROUND(IF(E185&gt;4,'Reference Curves'!$I$29*E185+'Reference Curves'!$I$30,'Reference Curves'!$J$29*E185+'Reference Curves'!$J$30),2))),
IF(B165="Cb",IF(OR(E185&gt;=8.35,E185&lt;1.4),0,IF(AND(E185&gt;=3.7,E185&lt;=5),1,ROUND(IF(E185&lt;3.7,'Reference Curves'!$I$49*E185+'Reference Curves'!$I$50,'Reference Curves'!$J$49*E185+'Reference Curves'!$J$50),2))),
IF(B165="C",IF(OR(E185&gt;=9.3,E185&lt;=3),0,IF(AND(E185&gt;=4,E185&lt;=6),1,ROUND(IF(E185&lt;4,'Reference Curves'!$I$44*E185+'Reference Curves'!$I$45,'Reference Curves'!$J$44*E185+'Reference Curves'!$J$45),2))),
IF(B165="E",IF(OR(E185&gt;=8.3,E185&lt;1.85),0,IF(AND(E185&gt;=3.5,E185&lt;=5),1,ROUND(IF(E185&lt;3.5,'Reference Curves'!$I$38*E185+'Reference Curves'!$I$39,'Reference Curves'!$J$38*E185+'Reference Curves'!$J$39),2)))      ))))))</f>
        <v/>
      </c>
      <c r="G185" s="425" t="str">
        <f>IFERROR(AVERAGE(F185:F188),"")</f>
        <v/>
      </c>
      <c r="H185" s="415"/>
      <c r="I185" s="418"/>
      <c r="J185" s="451"/>
      <c r="K185" s="10"/>
      <c r="N185" s="9"/>
    </row>
    <row r="186" spans="1:14" ht="15.75" x14ac:dyDescent="0.5">
      <c r="A186" s="399"/>
      <c r="B186" s="399"/>
      <c r="C186" s="18" t="s">
        <v>46</v>
      </c>
      <c r="D186" s="15"/>
      <c r="E186" s="36"/>
      <c r="F186" s="213" t="str">
        <f>IF(E186="","",IF(E186&lt;=1,0,IF(E186&gt;=3.2,1,IF(E186&gt;=2.2,ROUND('Reference Curves'!$J$54*E186+'Reference Curves'!$J$55,2),(ROUND('Reference Curves'!$I$54*E186+'Reference Curves'!$I$55,2))))))</f>
        <v/>
      </c>
      <c r="G186" s="421"/>
      <c r="H186" s="415"/>
      <c r="I186" s="418"/>
      <c r="J186" s="451"/>
      <c r="K186" s="10"/>
      <c r="N186" s="9"/>
    </row>
    <row r="187" spans="1:14" ht="15.75" customHeight="1" x14ac:dyDescent="0.5">
      <c r="A187" s="399"/>
      <c r="B187" s="399"/>
      <c r="C187" s="18" t="s">
        <v>92</v>
      </c>
      <c r="D187" s="15"/>
      <c r="E187" s="36"/>
      <c r="F187" s="283" t="str">
        <f>IF(E187="","", IF(D164="","FALSE",IF(D164&lt; 3,IF( OR(E187&gt;=91,E187&lt;=13.5),0, IF(AND(E187&gt;49,E187&lt;61), 1, ROUND(IF(E187&lt;50,'Reference Curves'!$I$60*E187+'Reference Curves'!$I$61, IF(E187&gt;60,'Reference Curves'!$J$60*E187+'Reference Curves'!$J$61)),2))), IF(D164&gt;=3,IF(OR(E187&gt;94.5,E187&lt;41.5),0, IF(AND(E187 &gt;=68, E187&lt;=78),1, ROUND(IF(E187&lt;68,'Reference Curves'!$I$65*E187+'Reference Curves'!$I$66,'Reference Curves'!$J$65*E187+'Reference Curves'!$J$66),2) ))))))</f>
        <v/>
      </c>
      <c r="G187" s="421"/>
      <c r="H187" s="415"/>
      <c r="I187" s="418"/>
      <c r="J187" s="451"/>
      <c r="K187" s="10"/>
      <c r="N187" s="9"/>
    </row>
    <row r="188" spans="1:14" ht="15.75" x14ac:dyDescent="0.5">
      <c r="A188" s="399"/>
      <c r="B188" s="399"/>
      <c r="C188" s="19" t="s">
        <v>79</v>
      </c>
      <c r="D188" s="15"/>
      <c r="E188" s="38"/>
      <c r="F188" s="284" t="str">
        <f>IF(E188="","",IF(E188&gt;=1.6,0,IF(E188&lt;=1,1,ROUND('Reference Curves'!$I$74*E188^3+'Reference Curves'!$I$75*E188^2+'Reference Curves'!$I$76*E188+'Reference Curves'!$I$77,2))))</f>
        <v/>
      </c>
      <c r="G188" s="426"/>
      <c r="H188" s="415"/>
      <c r="I188" s="418"/>
      <c r="J188" s="451"/>
      <c r="K188" s="10"/>
      <c r="N188" s="9"/>
    </row>
    <row r="189" spans="1:14" ht="15.75" x14ac:dyDescent="0.5">
      <c r="A189" s="399"/>
      <c r="B189" s="399" t="s">
        <v>43</v>
      </c>
      <c r="C189" s="18" t="s">
        <v>201</v>
      </c>
      <c r="D189" s="46"/>
      <c r="E189" s="17"/>
      <c r="F189" s="214" t="str">
        <f>IF( E189="","",
IF( D166="Unconfined Alluvial", IF( E189&gt;=100,1,
ROUND('Reference Curves'!$I$82*E189+'Reference Curves'!$I$83,2) ),
IF( OR(D166="Confined Alluvial", D166="Colluvial/V-Shaped"), ( IF(E189&gt;=100,1,
IF(E189&gt;=60, ROUND('Reference Curves'!$J$82*E189+'Reference Curves'!$J$83,2), ROUND('Reference Curves'!$K$82*E189+'Reference Curves'!$K$83,2) ) ) ) ) ) )</f>
        <v/>
      </c>
      <c r="G189" s="414" t="str">
        <f>IFERROR(AVERAGE(F189:F192),"")</f>
        <v/>
      </c>
      <c r="H189" s="415"/>
      <c r="I189" s="418"/>
      <c r="J189" s="451"/>
      <c r="K189" s="10"/>
      <c r="N189" s="9"/>
    </row>
    <row r="190" spans="1:14" ht="15.75" x14ac:dyDescent="0.5">
      <c r="A190" s="399"/>
      <c r="B190" s="399"/>
      <c r="C190" s="18" t="s">
        <v>191</v>
      </c>
      <c r="D190" s="67"/>
      <c r="E190" s="79"/>
      <c r="F190" s="213" t="str">
        <f>IF( E190="","", IF(D167&lt;&gt;"Woody","FALSE", IF( OR(G166="Mountains",G166="Basins"),
IF(E190&lt;=0,0, IF(E190&gt;=122,1, IF(E190&lt;69, ROUND('Reference Curves'!$I$87*E190+'Reference Curves'!$I$88,2), ROUND('Reference Curves'!$J$87*E190+'Reference Curves'!$J$88,2) ) ) ),
IF(G166="Plains",IF(OR(E190&lt;=0,E190&gt;111),0,IF(AND(E190&gt;=69,E190&lt;=76),1,IF(E190&lt;69,ROUND(E190*'Reference Curves'!$I$92+'Reference Curves'!$I$93,2),ROUND(E190*'Reference Curves'!$J$92+'Reference Curves'!$J$93,2))))))))</f>
        <v/>
      </c>
      <c r="G190" s="415"/>
      <c r="H190" s="415"/>
      <c r="I190" s="418"/>
      <c r="J190" s="451"/>
      <c r="K190" s="10"/>
      <c r="N190" s="9"/>
    </row>
    <row r="191" spans="1:14" ht="15.75" x14ac:dyDescent="0.5">
      <c r="A191" s="399"/>
      <c r="B191" s="399"/>
      <c r="C191" s="18" t="s">
        <v>141</v>
      </c>
      <c r="D191" s="67"/>
      <c r="E191" s="79"/>
      <c r="F191" s="213" t="str">
        <f>IF(E191="","",IF(D167="Herbaceous",IF(E191&lt;=34,0,IF(E191&gt;=120,1,IF(E191&gt;73,ROUND(E191*'Reference Curves'!$J$98+'Reference Curves'!$J$99,2),ROUND(E191*'Reference Curves'!$I$98+'Reference Curves'!$I$99,2))))))</f>
        <v/>
      </c>
      <c r="G191" s="421"/>
      <c r="H191" s="415"/>
      <c r="I191" s="418"/>
      <c r="J191" s="451"/>
      <c r="K191" s="10"/>
      <c r="N191" s="9"/>
    </row>
    <row r="192" spans="1:14" ht="15.75" x14ac:dyDescent="0.5">
      <c r="A192" s="399"/>
      <c r="B192" s="399"/>
      <c r="C192" s="138" t="s">
        <v>192</v>
      </c>
      <c r="D192" s="158"/>
      <c r="E192" s="162"/>
      <c r="F192" s="283" t="str">
        <f>IF(E192="","",IF(E192&lt;=46,0,IF(E192&gt;=100,1,IF(AND(E192&lt;=100,E192&gt;91),ROUND(E192*'Reference Curves'!$J$103+'Reference Curves'!$J$104,2),ROUND(E192*'Reference Curves'!$I$103+'Reference Curves'!$I$104,2)))))</f>
        <v/>
      </c>
      <c r="G192" s="416"/>
      <c r="H192" s="416"/>
      <c r="I192" s="419"/>
      <c r="J192" s="451"/>
      <c r="K192" s="10"/>
      <c r="N192" s="9"/>
    </row>
    <row r="193" spans="1:14" ht="15.75" x14ac:dyDescent="0.5">
      <c r="A193" s="436" t="s">
        <v>47</v>
      </c>
      <c r="B193" s="441" t="s">
        <v>139</v>
      </c>
      <c r="C193" s="139" t="s">
        <v>193</v>
      </c>
      <c r="D193" s="160"/>
      <c r="E193" s="30"/>
      <c r="F193" s="215" t="str">
        <f>IF(E193="","",IF(G164="","Enter Stream Temperature",  IF(G164="CS-I (MWF)",IF(E193&gt;=21.2,0,1),  IF(G164="CS-I",IF(E193&gt;=21.7,0,1),  IF(G164="CS-II",IF(E193&gt;=23.9,0,1),  IF(G164="WS-I",IF(E193&gt;=29,0,1),  IF(G164="WS-II",IF(E193&gt;=28.6,0,1), IF(G164="WS-III",IF(E193&gt;=31.8,0,1)))))))))</f>
        <v/>
      </c>
      <c r="G193" s="422" t="str">
        <f>IFERROR(AVERAGE(F193:F194),"")</f>
        <v/>
      </c>
      <c r="H193" s="422" t="str">
        <f>IFERROR(ROUND(AVERAGE(G193:G196),2),"")</f>
        <v/>
      </c>
      <c r="I193" s="430" t="str">
        <f>IF(H193="","",IF(H193&gt;0.69,"Functioning",IF(H193&gt;0.29,"Functioning At Risk",IF(H193&gt;-1,"Not Functioning"))))</f>
        <v/>
      </c>
      <c r="J193" s="451"/>
      <c r="K193" s="10"/>
      <c r="N193" s="9"/>
    </row>
    <row r="194" spans="1:14" ht="15.75" x14ac:dyDescent="0.5">
      <c r="A194" s="436"/>
      <c r="B194" s="441"/>
      <c r="C194" s="140" t="s">
        <v>194</v>
      </c>
      <c r="D194" s="155"/>
      <c r="E194" s="35"/>
      <c r="F194" s="216" t="str">
        <f>IF(E194="","",IF(G164="","Enter Stream Temperature",  IF(G164="CS-I (MWF)",IF(E194&gt;=18.3,0,IF(E194&lt;=13.8,1,ROUND(E194*'Reference Curves'!$M$4+'Reference Curves'!$M$5,2))),  IF(G164="CS-I",IF(E194&gt;=17.6,0,IF(E194&lt;=15.7,1,ROUND(E194*'Reference Curves'!$N$4+'Reference Curves'!$N$5,2))),  IF(G164="CS-II",IF(E194&gt;=19.1,0,IF(E194&lt;=16.6,1,ROUND(E194*'Reference Curves'!$O$4+'Reference Curves'!$O$5,2))),  IF(G164="WS-I",IF(E194&gt;=25.7,0,IF(E194&lt;=20.9,1,ROUND(E194*'Reference Curves'!$P$4+'Reference Curves'!$P$5,2))),  IF(G164="WS-II",IF(E194&gt;=29.7,0,IF(E194&lt;=22.5,1,ROUND(E194*'Reference Curves'!$Q$4+'Reference Curves'!$Q$5,2))), IF(G164="WS-III",IF(E194&gt;=30,0,IF(E194&lt;=25.9,1,ROUND(E194*'Reference Curves'!$R$4+'Reference Curves'!$R$5,2)))    ))))))))</f>
        <v/>
      </c>
      <c r="G194" s="424"/>
      <c r="H194" s="423"/>
      <c r="I194" s="430"/>
      <c r="J194" s="451"/>
      <c r="K194" s="10"/>
      <c r="N194" s="9"/>
    </row>
    <row r="195" spans="1:14" ht="15.75" x14ac:dyDescent="0.5">
      <c r="A195" s="436"/>
      <c r="B195" s="192" t="s">
        <v>140</v>
      </c>
      <c r="C195" s="142" t="s">
        <v>195</v>
      </c>
      <c r="D195" s="156"/>
      <c r="E195" s="54"/>
      <c r="F195" s="216" t="str">
        <f>IF(E195="","",ROUND( IF(E195&lt;=6,0, IF(E195&gt;=10.31,1,E195*'Reference Curves'!$M$8+'Reference Curves'!$M$9)),2))</f>
        <v/>
      </c>
      <c r="G195" s="163" t="str">
        <f>IFERROR(AVERAGE(F195),"")</f>
        <v/>
      </c>
      <c r="H195" s="423"/>
      <c r="I195" s="430"/>
      <c r="J195" s="451"/>
      <c r="K195" s="10"/>
      <c r="N195" s="9"/>
    </row>
    <row r="196" spans="1:14" ht="15.75" x14ac:dyDescent="0.5">
      <c r="A196" s="436"/>
      <c r="B196" s="192" t="s">
        <v>196</v>
      </c>
      <c r="C196" s="143" t="s">
        <v>357</v>
      </c>
      <c r="D196" s="157"/>
      <c r="E196" s="54"/>
      <c r="F196" s="216" t="str">
        <f>IF(E196="","",IF(OR(G165=3),IF(E196&gt;=150,0,IF(E196&lt;=16,1,ROUND('Reference Curves'!$M$13*LN(E196)+'Reference Curves'!$M$14,2))), IF(OR(G165=1,G165=2),  IF(E196&gt;=97,0,IF(E196&lt;=12,1,ROUND('Reference Curves'!$N$13*LN(E196)+'Reference Curves'!$N$14,2))))))</f>
        <v/>
      </c>
      <c r="G196" s="163" t="str">
        <f>IFERROR(AVERAGE(F196),"")</f>
        <v/>
      </c>
      <c r="H196" s="424"/>
      <c r="I196" s="430"/>
      <c r="J196" s="451"/>
      <c r="K196" s="10"/>
      <c r="N196" s="9"/>
    </row>
    <row r="197" spans="1:14" ht="15.75" x14ac:dyDescent="0.5">
      <c r="A197" s="435" t="s">
        <v>48</v>
      </c>
      <c r="B197" s="191" t="s">
        <v>93</v>
      </c>
      <c r="C197" s="145" t="s">
        <v>197</v>
      </c>
      <c r="D197" s="28"/>
      <c r="E197" s="54"/>
      <c r="F197" s="217" t="str">
        <f>IF(E197="","",IF(G165="","Enter Biotype",IF(G165=1,IF(E197&lt;=0,0,IF(E197&gt;=57,1,ROUND(IF(E197&lt;=34,'Reference Curves'!$T$5*E197+'Reference Curves'!$T$6,  IF(E197&lt;=45, 'Reference Curves'!$U$5*E197+'Reference Curves'!$U$6,  'Reference Curves'!$V$5*E197+'Reference Curves'!$V$6)),2))),   IF(G165=2,IF(E197&lt;=0,0,IF(E197&gt;=63,1,ROUND(IF(E197&lt;=40,'Reference Curves'!$W$5*E197+'Reference Curves'!$W$6,  IF(E197&lt;=48,'Reference Curves'!$X$5*E197+'Reference Curves'!$X$6,  'Reference Curves'!$Y$5*E197+'Reference Curves'!$Y$6)),2))),   IF(OR(G165=3),IF(E197&lt;=0,0,IF(E197&gt;=52,1,ROUND(IF(E197&lt;=29,'Reference Curves'!$Z$5*E197+'Reference Curves'!$Z$6, IF(E197&lt;=42, 'Reference Curves'!$AA$5*E197+'Reference Curves'!$AA$6,  'Reference Curves'!$AB$5*E197+'Reference Curves'!$AB$6)),2))))))))</f>
        <v/>
      </c>
      <c r="G197" s="164" t="str">
        <f>IFERROR(AVERAGE(F197),"")</f>
        <v/>
      </c>
      <c r="H197" s="420" t="str">
        <f>IFERROR(ROUND(AVERAGE(G197:G200),2),"")</f>
        <v/>
      </c>
      <c r="I197" s="430" t="str">
        <f>IF(H197="","",IF(H197&gt;0.69,"Functioning",IF(H197&gt;0.29,"Functioning At Risk",IF(H197&gt;-1,"Not Functioning"))))</f>
        <v/>
      </c>
      <c r="J197" s="451"/>
      <c r="K197" s="10"/>
      <c r="N197" s="9"/>
    </row>
    <row r="198" spans="1:14" ht="15.75" x14ac:dyDescent="0.5">
      <c r="A198" s="435"/>
      <c r="B198" s="398" t="s">
        <v>51</v>
      </c>
      <c r="C198" s="146" t="s">
        <v>198</v>
      </c>
      <c r="D198" s="28"/>
      <c r="E198" s="30"/>
      <c r="F198" s="164" t="str">
        <f>IF(E198="","",IF(E198&lt;=0,0,IF(E198&gt;=100,1,ROUND(IF(E198&lt;80,E198*'Reference Curves'!$T$10+'Reference Curves'!$T$11,E198*'Reference Curves'!$U$10+'Reference Curves'!$U$11),2))))</f>
        <v/>
      </c>
      <c r="G198" s="427" t="str">
        <f>IFERROR(AVERAGE(F198:F200),"")</f>
        <v/>
      </c>
      <c r="H198" s="420"/>
      <c r="I198" s="430"/>
      <c r="J198" s="451"/>
      <c r="K198" s="10"/>
      <c r="N198" s="9"/>
    </row>
    <row r="199" spans="1:14" ht="15.75" x14ac:dyDescent="0.5">
      <c r="A199" s="435"/>
      <c r="B199" s="398"/>
      <c r="C199" s="147" t="s">
        <v>199</v>
      </c>
      <c r="D199" s="159"/>
      <c r="E199" s="34"/>
      <c r="F199" s="164" t="str">
        <f>IF(E199="","",ROUND(IF(E199&gt;=3,0,IF(E199&gt;=2,0.3,IF(E199&gt;=1,0.69,1))),2))</f>
        <v/>
      </c>
      <c r="G199" s="428"/>
      <c r="H199" s="420"/>
      <c r="I199" s="430"/>
      <c r="J199" s="451"/>
      <c r="K199" s="10"/>
      <c r="N199" s="9"/>
    </row>
    <row r="200" spans="1:14" ht="15.75" x14ac:dyDescent="0.5">
      <c r="A200" s="435"/>
      <c r="B200" s="398"/>
      <c r="C200" s="148" t="s">
        <v>200</v>
      </c>
      <c r="D200" s="161"/>
      <c r="E200" s="35"/>
      <c r="F200" s="218" t="str">
        <f>IF(E200="","",IF(G168="","Enter Stream Producitvity Rating",IF(G168="High",IF(E200&lt;5,0,IF(E200&gt;=40,1,ROUND(E200*'Reference Curves'!$T$15+'Reference Curves'!$T$16,2))),IF(G168="Moderate",IF(E200&lt;10,0,IF(E200&gt;=80,1,ROUND(E200*'Reference Curves'!$U$15+'Reference Curves'!$U$16,2))),IF(G168="Low",IF(E200&lt;15,0,IF(E200&gt;=119,1,ROUND(E200*'Reference Curves'!$V$15+'Reference Curves'!$V$16,2)))   )))))</f>
        <v/>
      </c>
      <c r="G200" s="429"/>
      <c r="H200" s="420"/>
      <c r="I200" s="430"/>
      <c r="J200" s="451"/>
      <c r="K200" s="10"/>
      <c r="N200" s="9"/>
    </row>
    <row r="201" spans="1:14" x14ac:dyDescent="0.45">
      <c r="J201" s="4"/>
      <c r="K201" s="10"/>
    </row>
    <row r="202" spans="1:14" x14ac:dyDescent="0.45">
      <c r="J202" s="4"/>
      <c r="K202" s="10"/>
    </row>
    <row r="203" spans="1:14" ht="21" customHeight="1" x14ac:dyDescent="0.45">
      <c r="A203" s="408" t="s">
        <v>349</v>
      </c>
      <c r="B203" s="409"/>
      <c r="C203" s="409"/>
      <c r="D203" s="409"/>
      <c r="E203" s="409"/>
      <c r="F203" s="409"/>
      <c r="G203" s="409"/>
      <c r="H203" s="409"/>
      <c r="I203" s="409"/>
      <c r="J203" s="410"/>
    </row>
    <row r="204" spans="1:14" ht="16.149999999999999" customHeight="1" x14ac:dyDescent="0.45">
      <c r="A204" s="223" t="str">
        <f>'Existing Conditions'!A204</f>
        <v>Reach ID:</v>
      </c>
      <c r="B204" s="282">
        <f>'Existing Conditions'!B204</f>
        <v>0</v>
      </c>
      <c r="C204" s="223" t="str">
        <f>'Existing Conditions'!C204</f>
        <v>Stream Slope (%):</v>
      </c>
      <c r="D204" s="282">
        <f>'Existing Conditions'!D204</f>
        <v>0</v>
      </c>
      <c r="E204" s="449" t="s">
        <v>245</v>
      </c>
      <c r="F204" s="450"/>
      <c r="G204" s="224">
        <f>'Existing Conditions'!G204</f>
        <v>0</v>
      </c>
      <c r="H204" s="447" t="s">
        <v>121</v>
      </c>
      <c r="I204" s="448"/>
      <c r="J204" s="224">
        <f>'Existing Conditions'!J204</f>
        <v>0</v>
      </c>
    </row>
    <row r="205" spans="1:14" ht="16.149999999999999" customHeight="1" x14ac:dyDescent="0.45">
      <c r="A205" s="223" t="str">
        <f>'Existing Conditions'!A205</f>
        <v>Reference Stream Type:</v>
      </c>
      <c r="B205" s="282">
        <f>'Existing Conditions'!B205</f>
        <v>0</v>
      </c>
      <c r="C205" s="223" t="str">
        <f>'Existing Conditions'!C205</f>
        <v>Proposed Bankfull Width (ft):</v>
      </c>
      <c r="D205" s="282">
        <f>'Existing Conditions'!D205</f>
        <v>0</v>
      </c>
      <c r="E205" s="449" t="s">
        <v>247</v>
      </c>
      <c r="F205" s="450"/>
      <c r="G205" s="224">
        <f>'Existing Conditions'!G205</f>
        <v>0</v>
      </c>
      <c r="H205" s="447" t="s">
        <v>122</v>
      </c>
      <c r="I205" s="448"/>
      <c r="J205" s="224">
        <f>'Existing Conditions'!J205</f>
        <v>0</v>
      </c>
    </row>
    <row r="206" spans="1:14" ht="16.149999999999999" customHeight="1" x14ac:dyDescent="0.65">
      <c r="A206" s="223" t="str">
        <f>'Existing Conditions'!A206</f>
        <v>Flow Permanence:</v>
      </c>
      <c r="B206" s="282">
        <f>'Existing Conditions'!B206</f>
        <v>0</v>
      </c>
      <c r="C206" s="223" t="str">
        <f>'Existing Conditions'!C206</f>
        <v>Valley Type:</v>
      </c>
      <c r="D206" s="282">
        <f>'Existing Conditions'!D206</f>
        <v>0</v>
      </c>
      <c r="E206" s="449" t="s">
        <v>261</v>
      </c>
      <c r="F206" s="450"/>
      <c r="G206" s="224">
        <f>'Existing Conditions'!G206</f>
        <v>0</v>
      </c>
      <c r="H206" s="447" t="s">
        <v>123</v>
      </c>
      <c r="I206" s="448"/>
      <c r="J206" s="224">
        <f>'Existing Conditions'!J206</f>
        <v>0</v>
      </c>
      <c r="K206" s="26"/>
    </row>
    <row r="207" spans="1:14" ht="16.149999999999999" customHeight="1" x14ac:dyDescent="0.5">
      <c r="A207" s="223" t="str">
        <f>'Existing Conditions'!A207</f>
        <v>Strahler Stream Order:</v>
      </c>
      <c r="B207" s="282">
        <f>'Existing Conditions'!B207</f>
        <v>0</v>
      </c>
      <c r="C207" s="223" t="str">
        <f>'Existing Conditions'!C207</f>
        <v>Reference Vegetation Cover:</v>
      </c>
      <c r="D207" s="282">
        <f>'Existing Conditions'!D207</f>
        <v>0</v>
      </c>
      <c r="E207" s="445" t="s">
        <v>271</v>
      </c>
      <c r="F207" s="446"/>
      <c r="G207" s="224">
        <f>'Existing Conditions'!G207</f>
        <v>0</v>
      </c>
      <c r="H207" s="447" t="s">
        <v>124</v>
      </c>
      <c r="I207" s="448"/>
      <c r="J207" s="224">
        <f>'Existing Conditions'!J207</f>
        <v>0</v>
      </c>
      <c r="K207" s="39"/>
    </row>
    <row r="208" spans="1:14" ht="18" customHeight="1" x14ac:dyDescent="0.5">
      <c r="A208" s="223" t="str">
        <f>'Existing Conditions'!A208</f>
        <v>Outstanding Water:</v>
      </c>
      <c r="B208" s="282">
        <f>'Existing Conditions'!B208</f>
        <v>0</v>
      </c>
      <c r="C208" s="223" t="str">
        <f>'Existing Conditions'!C208</f>
        <v>Sediment Regime:</v>
      </c>
      <c r="D208" s="282">
        <f>'Existing Conditions'!D208</f>
        <v>0</v>
      </c>
      <c r="E208" s="449" t="s">
        <v>248</v>
      </c>
      <c r="F208" s="450"/>
      <c r="G208" s="224">
        <f>'Existing Conditions'!G208</f>
        <v>0</v>
      </c>
      <c r="H208" s="229"/>
      <c r="I208" s="229"/>
      <c r="J208" s="230"/>
      <c r="K208" s="39"/>
    </row>
    <row r="209" spans="1:14" ht="4.5" customHeight="1" x14ac:dyDescent="0.5">
      <c r="B209" s="58"/>
      <c r="C209" s="58"/>
      <c r="D209" s="58"/>
      <c r="E209" s="58"/>
      <c r="F209" s="58"/>
      <c r="G209" s="58"/>
      <c r="H209" s="58"/>
      <c r="I209" s="56"/>
      <c r="J209" s="10"/>
      <c r="K209" s="39"/>
    </row>
    <row r="210" spans="1:14" ht="19.899999999999999" customHeight="1" x14ac:dyDescent="0.65">
      <c r="A210" s="431" t="str">
        <f>_xlfn.CONCAT("PROPOSED CONDITION ASSESSMENT for Reach ",B204)</f>
        <v>PROPOSED CONDITION ASSESSMENT for Reach 0</v>
      </c>
      <c r="B210" s="431"/>
      <c r="C210" s="431"/>
      <c r="D210" s="431"/>
      <c r="E210" s="431"/>
      <c r="F210" s="431"/>
      <c r="G210" s="431" t="s">
        <v>13</v>
      </c>
      <c r="H210" s="431"/>
      <c r="I210" s="431"/>
      <c r="J210" s="431"/>
      <c r="K210" s="10"/>
    </row>
    <row r="211" spans="1:14" ht="15.75" x14ac:dyDescent="0.5">
      <c r="A211" s="32" t="s">
        <v>1</v>
      </c>
      <c r="B211" s="32" t="s">
        <v>2</v>
      </c>
      <c r="C211" s="432" t="s">
        <v>3</v>
      </c>
      <c r="D211" s="433"/>
      <c r="E211" s="32" t="s">
        <v>11</v>
      </c>
      <c r="F211" s="31" t="s">
        <v>12</v>
      </c>
      <c r="G211" s="32" t="s">
        <v>14</v>
      </c>
      <c r="H211" s="32" t="s">
        <v>15</v>
      </c>
      <c r="I211" s="57" t="s">
        <v>15</v>
      </c>
      <c r="J211" s="32" t="s">
        <v>160</v>
      </c>
      <c r="K211" s="10"/>
    </row>
    <row r="212" spans="1:14" ht="15.75" x14ac:dyDescent="0.5">
      <c r="A212" s="434" t="s">
        <v>173</v>
      </c>
      <c r="B212" s="437" t="s">
        <v>71</v>
      </c>
      <c r="C212" s="132" t="s">
        <v>138</v>
      </c>
      <c r="D212" s="149"/>
      <c r="E212" s="30"/>
      <c r="F212" s="202" t="str">
        <f>IF(E212="","",IF(E212&gt;78,0,IF(E212&lt;=55,1,ROUND(E212*'Reference Curves'!$B$3+'Reference Curves'!$B$4,2))))</f>
        <v/>
      </c>
      <c r="G212" s="411" t="str">
        <f>IFERROR(AVERAGE(F212:F213),"")</f>
        <v/>
      </c>
      <c r="H212" s="411" t="str">
        <f>IFERROR(ROUND(AVERAGE(G212:G218),2),"")</f>
        <v/>
      </c>
      <c r="I212" s="438" t="str">
        <f>IF(H212="","",IF(H212:H218&gt;0.69,"Functioning",IF(H212&gt;0.29,"Functioning At Risk",IF(H212&gt;-1,"Not Functioning"))))</f>
        <v/>
      </c>
      <c r="J212" s="451" t="str">
        <f>IF(AND(H212="",H219="",H233="",H237=""),"",ROUND((IF(H212="",0,H212)*0.3)+(IF(H219="",0,H219)*0.3)+(IF(H233="",0,H233)*0.2)+(IF(H237="",0,H237)*0.2),2))</f>
        <v/>
      </c>
      <c r="K212" s="10"/>
    </row>
    <row r="213" spans="1:14" ht="15.75" x14ac:dyDescent="0.5">
      <c r="A213" s="434"/>
      <c r="B213" s="437"/>
      <c r="C213" s="133" t="s">
        <v>184</v>
      </c>
      <c r="D213" s="150"/>
      <c r="E213" s="35"/>
      <c r="F213" s="203" t="str">
        <f>IF(E213="","",   IF(E213&gt;3.2,0, IF(E213&lt;0, "", ROUND('Reference Curves'!$B$8*E213+'Reference Curves'!$B$9,2))))</f>
        <v/>
      </c>
      <c r="G213" s="412"/>
      <c r="H213" s="412"/>
      <c r="I213" s="439"/>
      <c r="J213" s="451"/>
      <c r="K213" s="10"/>
    </row>
    <row r="214" spans="1:14" ht="15.75" x14ac:dyDescent="0.5">
      <c r="A214" s="434"/>
      <c r="B214" s="400" t="s">
        <v>185</v>
      </c>
      <c r="C214" s="134" t="s">
        <v>186</v>
      </c>
      <c r="D214" s="149"/>
      <c r="E214" s="34"/>
      <c r="F214" s="204" t="s">
        <v>285</v>
      </c>
      <c r="G214" s="411" t="str">
        <f>IFERROR(IF(AND(ISNUMBER(E214),E214&lt;1),0,AVERAGE(F214:F215)),"")</f>
        <v/>
      </c>
      <c r="H214" s="412"/>
      <c r="I214" s="439"/>
      <c r="J214" s="451"/>
      <c r="K214" s="10"/>
    </row>
    <row r="215" spans="1:14" ht="15.75" x14ac:dyDescent="0.5">
      <c r="A215" s="434"/>
      <c r="B215" s="401"/>
      <c r="C215" s="151" t="s">
        <v>187</v>
      </c>
      <c r="D215" s="152"/>
      <c r="E215" s="34"/>
      <c r="F215" s="205" t="str">
        <f>IF(E215="","",IF(G204= "CS-II", ROUND(IF(E215&lt;=0.6,0, IF(E215&gt;=2.3,1,E215*'Reference Curves'!$D$14+'Reference Curves'!$D$15)),2),IF(AND(D205&lt;20,LEFT(G204,2)="CS"), ROUND(IF(E215&lt;=0.2,0, IF(E215&gt;=1,1,E215*'Reference Curves'!$B$14+'Reference Curves'!$B$15)),2), IF(AND(D205&gt;=20,LEFT(G204,2)= "CS"), ROUND(IF(E215&lt;=0.4,0, IF(E215&gt;=1.5,1,E215*'Reference Curves'!$C$14+'Reference Curves'!$C$15)),2),"FALSE"))))</f>
        <v/>
      </c>
      <c r="G215" s="413"/>
      <c r="H215" s="412"/>
      <c r="I215" s="439"/>
      <c r="J215" s="451"/>
      <c r="K215" s="10"/>
    </row>
    <row r="216" spans="1:14" ht="15.75" x14ac:dyDescent="0.5">
      <c r="A216" s="434"/>
      <c r="B216" s="437" t="s">
        <v>4</v>
      </c>
      <c r="C216" s="133" t="s">
        <v>5</v>
      </c>
      <c r="D216" s="14"/>
      <c r="E216" s="30"/>
      <c r="F216" s="206" t="str">
        <f>IF( E216="","",
IF( E216&gt;1.71,0, IF( E216&gt;1, ROUND(E216*'Reference Curves'!C$20+'Reference Curves'!C$21,2),
IF( D208="Transport", ROUND(IF( E216&lt;0.35,0, E216*'Reference Curves'!$B$20+'Reference Curves'!$B$21 ),2), 1 ))))</f>
        <v/>
      </c>
      <c r="G216" s="411" t="str">
        <f>IFERROR(AVERAGE(F216:F218),"")</f>
        <v/>
      </c>
      <c r="H216" s="412"/>
      <c r="I216" s="439"/>
      <c r="J216" s="451"/>
      <c r="K216" s="10"/>
      <c r="N216" s="9"/>
    </row>
    <row r="217" spans="1:14" ht="15.75" x14ac:dyDescent="0.5">
      <c r="A217" s="434"/>
      <c r="B217" s="437"/>
      <c r="C217" s="133" t="s">
        <v>6</v>
      </c>
      <c r="D217" s="14"/>
      <c r="E217" s="34"/>
      <c r="F217" s="205" t="str">
        <f>IF(E217="","",IF(OR(LEFT(B205,1)="A",LEFT(B205,1)="B"),IF(E217&lt;1.05,0,IF(E217&gt;=2.2,1,ROUND(IF(E217&lt;1.4,E217*'Reference Curves'!$B$40+'Reference Curves'!$B$41,E217*'Reference Curves'!$C$40+'Reference Curves'!$C$41),2))), IF(B205="C",IF(E217&lt;1.7,0,IF(E217&gt;=4.2,1,ROUND(IF(E217&lt;2.4,E217*'Reference Curves'!$C$25+'Reference Curves'!$C$26,E217*'Reference Curves'!$B$25+'Reference Curves'!$B$26),2))),                                                                                                                                                                                                                    IF(B205="Cb",IF(E217&lt;1.7,0,IF(E217&gt;=3.9,1,ROUND(IF(E217&lt;2.4,E217*'Reference Curves'!$C$30+'Reference Curves'!$C$31,E217*'Reference Curves'!$B$30+'Reference Curves'!$B$31),2))),
IF(LEFT(B205,1)="E",IF(E217&lt;1.7,0,IF(E217&gt;=6.7,1,ROUND(IF(E217&lt;2.4,E217*'Reference Curves'!$C$35+'Reference Curves'!$C$36,E217*'Reference Curves'!$B$35+'Reference Curves'!$B$36),2))))))))</f>
        <v/>
      </c>
      <c r="G217" s="412"/>
      <c r="H217" s="412"/>
      <c r="I217" s="439"/>
      <c r="J217" s="451"/>
      <c r="K217" s="10"/>
      <c r="N217" s="9"/>
    </row>
    <row r="218" spans="1:14" ht="15.75" customHeight="1" x14ac:dyDescent="0.5">
      <c r="A218" s="434"/>
      <c r="B218" s="437"/>
      <c r="C218" s="135" t="s">
        <v>188</v>
      </c>
      <c r="D218" s="14"/>
      <c r="E218" s="35"/>
      <c r="F218" s="207" t="str">
        <f>IF(E218="","",IF(D206="Unconfined Alluvial",IF(E218&lt;=0,0, IF(E218&gt;=100,1, ROUND(IF(E218&lt;10,E218*'Reference Curves'!$B$46+'Reference Curves'!$B$47, IF(E218&lt;50,E218*'Reference Curves'!$C$46+'Reference Curves'!$C$47,E218*'Reference Curves'!$D$46+'Reference Curves'!$D$47)),2))), IF(D206="Confined Alluvial",IF(E218&lt;=0,0,IF(E218&gt;=50,1,ROUND(IF(E218&lt;5,E218*'Reference Curves'!$E$46+'Reference Curves'!$E$47,IF(E218&lt;25,E218*'Reference Curves'!$F$46+'Reference Curves'!$F$47,E218*'Reference Curves'!$G$46+'Reference Curves'!$G$47)),2))))))</f>
        <v/>
      </c>
      <c r="G218" s="413"/>
      <c r="H218" s="413"/>
      <c r="I218" s="440"/>
      <c r="J218" s="451"/>
      <c r="K218" s="10"/>
      <c r="N218" s="9"/>
    </row>
    <row r="219" spans="1:14" ht="15.75" x14ac:dyDescent="0.5">
      <c r="A219" s="399" t="s">
        <v>20</v>
      </c>
      <c r="B219" s="399" t="s">
        <v>21</v>
      </c>
      <c r="C219" s="16" t="s">
        <v>19</v>
      </c>
      <c r="D219" s="46"/>
      <c r="E219" s="30"/>
      <c r="F219" s="208" t="str">
        <f>IF(E219="","",IF(E219&gt;=660,1,IF(E219&lt;=430,ROUND('Reference Curves'!$I$4*E219+'Reference Curves'!$I$5,2),ROUND('Reference Curves'!$J$4*E219+'Reference Curves'!$J$5,2))))</f>
        <v/>
      </c>
      <c r="G219" s="414" t="str">
        <f>IFERROR(AVERAGE(F219:F220),"")</f>
        <v/>
      </c>
      <c r="H219" s="414" t="str">
        <f>IFERROR(ROUND(AVERAGE(G219:G232),2),"")</f>
        <v/>
      </c>
      <c r="I219" s="417" t="str">
        <f>IF(H219="","",IF(H219&gt;0.69,"Functioning",IF(H219&gt;0.29,"Functioning At Risk",IF(H219&gt;-1,"Not Functioning"))))</f>
        <v/>
      </c>
      <c r="J219" s="451"/>
      <c r="K219" s="10"/>
      <c r="N219" s="9"/>
    </row>
    <row r="220" spans="1:14" ht="15.75" x14ac:dyDescent="0.5">
      <c r="A220" s="399"/>
      <c r="B220" s="399"/>
      <c r="C220" s="18" t="s">
        <v>189</v>
      </c>
      <c r="D220" s="47"/>
      <c r="E220" s="35"/>
      <c r="F220" s="209" t="str">
        <f>IF(E220="","",IF(E220&gt;=28,1,ROUND(IF(E220&lt;=13,'Reference Curves'!$I$9*E220,'Reference Curves'!$J$9*E220+'Reference Curves'!$J$10),2)))</f>
        <v/>
      </c>
      <c r="G220" s="416"/>
      <c r="H220" s="415"/>
      <c r="I220" s="418"/>
      <c r="J220" s="451"/>
      <c r="K220" s="10"/>
      <c r="N220" s="9"/>
    </row>
    <row r="221" spans="1:14" ht="15.75" x14ac:dyDescent="0.5">
      <c r="A221" s="399"/>
      <c r="B221" s="399" t="s">
        <v>114</v>
      </c>
      <c r="C221" s="16" t="s">
        <v>190</v>
      </c>
      <c r="D221" s="46"/>
      <c r="E221" s="78"/>
      <c r="F221" s="208" t="str">
        <f>IF(E221="","",ROUND(IF(E221&lt;=2,0,IF(E221&gt;=9,1, IF(E221&gt;=5,E221^2*'Reference Curves'!$I$14+E221*'Reference Curves'!$I$15+'Reference Curves'!$I$16, E221*'Reference Curves'!$J$15+'Reference Curves'!$J$16))),2))</f>
        <v/>
      </c>
      <c r="G221" s="414" t="str">
        <f>IFERROR(IF(E224&gt;=50,0,AVERAGE(F221:F224)),"")</f>
        <v/>
      </c>
      <c r="H221" s="415"/>
      <c r="I221" s="418"/>
      <c r="J221" s="451"/>
      <c r="K221" s="10"/>
      <c r="N221" s="9"/>
    </row>
    <row r="222" spans="1:14" ht="15.75" x14ac:dyDescent="0.5">
      <c r="A222" s="399"/>
      <c r="B222" s="399"/>
      <c r="C222" s="18" t="s">
        <v>42</v>
      </c>
      <c r="D222" s="67"/>
      <c r="E222" s="78"/>
      <c r="F222" s="210" t="str">
        <f>IF(E222="","",IF(OR(E222="Ex/Ex",E222="Ex/VH",E222="Ex/H",E222="Ex/M",E222="VH/Ex",E222="VH/VH", E222="H/Ex",E222="H/VH"),0, IF(OR(E222="M/Ex"),0.1,IF(OR(E222="VH/H",E222="VH/M",E222="H/H",E222="H/M", E222="M/VH"),0.2, IF(OR(E222="Ex/VL",E222="Ex/L", E222="M/H"),0.3, IF(OR(E222="VH/L",E222="H/L"),0.4, IF(OR(E222="VH/VL",E222="H/VL",E222="M/M"),0.5, IF(OR(E222="M/L",E222="L/Ex"),0.6, IF(OR(E222="M/VL",E222="L/VH", E222="L/H",E222="L/M",E222="L/L",E222="L/VL", LEFT(E222,2)="VL"),1)))))))))</f>
        <v/>
      </c>
      <c r="G222" s="415"/>
      <c r="H222" s="415"/>
      <c r="I222" s="418"/>
      <c r="J222" s="451"/>
      <c r="K222" s="10"/>
      <c r="N222" s="9"/>
    </row>
    <row r="223" spans="1:14" ht="15.75" x14ac:dyDescent="0.5">
      <c r="A223" s="399"/>
      <c r="B223" s="399"/>
      <c r="C223" s="136" t="s">
        <v>54</v>
      </c>
      <c r="D223" s="67"/>
      <c r="E223" s="78"/>
      <c r="F223" s="210" t="str">
        <f>IF(E223="","",ROUND(IF(E223&gt;=75,0,IF(E223&lt;=5,1,IF(E223&gt;10,E223*'Reference Curves'!I$20+'Reference Curves'!I$21,'Reference Curves'!$J$20*E223+'Reference Curves'!$J$21))),2))</f>
        <v/>
      </c>
      <c r="G223" s="421"/>
      <c r="H223" s="415"/>
      <c r="I223" s="418"/>
      <c r="J223" s="451"/>
      <c r="K223" s="10"/>
      <c r="N223" s="9"/>
    </row>
    <row r="224" spans="1:14" ht="15.75" x14ac:dyDescent="0.5">
      <c r="A224" s="399"/>
      <c r="B224" s="399"/>
      <c r="C224" s="137" t="s">
        <v>113</v>
      </c>
      <c r="D224" s="154"/>
      <c r="E224" s="153"/>
      <c r="F224" s="211" t="str">
        <f>IF(E224="","",IF(E224&gt;=30,0,ROUND(E224*'Reference Curves'!$I$24+'Reference Curves'!$I$25,2)))</f>
        <v/>
      </c>
      <c r="G224" s="416"/>
      <c r="H224" s="415"/>
      <c r="I224" s="418"/>
      <c r="J224" s="451"/>
      <c r="K224" s="10"/>
      <c r="N224" s="9"/>
    </row>
    <row r="225" spans="1:14" ht="15.75" x14ac:dyDescent="0.5">
      <c r="A225" s="399"/>
      <c r="B225" s="399" t="s">
        <v>44</v>
      </c>
      <c r="C225" s="16" t="s">
        <v>45</v>
      </c>
      <c r="D225" s="20"/>
      <c r="E225" s="37"/>
      <c r="F225" s="212" t="str">
        <f>IF(E225="","",IF(B205="Bc",IF(OR(E225&gt;=12,E225&lt;=0.1),0,IF(E225&lt;=3.4,1,ROUND('Reference Curves'!$I$33*E225+'Reference Curves'!$I$34,2))),
IF(OR(B205="B",B205="Ba"),IF(OR(E225&gt;=7.5,E225&lt;=0.1),0,IF(E225&lt;=3,1,ROUND(IF(E225&gt;4,'Reference Curves'!$I$29*E225+'Reference Curves'!$I$30,'Reference Curves'!$J$29*E225+'Reference Curves'!$J$30),2))),
IF(B205="Cb",IF(OR(E225&gt;=8.35,E225&lt;1.4),0,IF(AND(E225&gt;=3.7,E225&lt;=5),1,ROUND(IF(E225&lt;3.7,'Reference Curves'!$I$49*E225+'Reference Curves'!$I$50,'Reference Curves'!$J$49*E225+'Reference Curves'!$J$50),2))),
IF(B205="C",IF(OR(E225&gt;=9.3,E225&lt;=3),0,IF(AND(E225&gt;=4,E225&lt;=6),1,ROUND(IF(E225&lt;4,'Reference Curves'!$I$44*E225+'Reference Curves'!$I$45,'Reference Curves'!$J$44*E225+'Reference Curves'!$J$45),2))),
IF(B205="E",IF(OR(E225&gt;=8.3,E225&lt;1.85),0,IF(AND(E225&gt;=3.5,E225&lt;=5),1,ROUND(IF(E225&lt;3.5,'Reference Curves'!$I$38*E225+'Reference Curves'!$I$39,'Reference Curves'!$J$38*E225+'Reference Curves'!$J$39),2)))      ))))))</f>
        <v/>
      </c>
      <c r="G225" s="425" t="str">
        <f>IFERROR(AVERAGE(F225:F228),"")</f>
        <v/>
      </c>
      <c r="H225" s="415"/>
      <c r="I225" s="418"/>
      <c r="J225" s="451"/>
      <c r="K225" s="10"/>
      <c r="N225" s="9"/>
    </row>
    <row r="226" spans="1:14" ht="15.75" x14ac:dyDescent="0.5">
      <c r="A226" s="399"/>
      <c r="B226" s="399"/>
      <c r="C226" s="18" t="s">
        <v>46</v>
      </c>
      <c r="D226" s="15"/>
      <c r="E226" s="36"/>
      <c r="F226" s="213" t="str">
        <f>IF(E226="","",IF(E226&lt;=1,0,IF(E226&gt;=3.2,1,IF(E226&gt;=2.2,ROUND('Reference Curves'!$J$54*E226+'Reference Curves'!$J$55,2),(ROUND('Reference Curves'!$I$54*E226+'Reference Curves'!$I$55,2))))))</f>
        <v/>
      </c>
      <c r="G226" s="421"/>
      <c r="H226" s="415"/>
      <c r="I226" s="418"/>
      <c r="J226" s="451"/>
      <c r="K226" s="10"/>
      <c r="N226" s="9"/>
    </row>
    <row r="227" spans="1:14" ht="15.75" customHeight="1" x14ac:dyDescent="0.5">
      <c r="A227" s="399"/>
      <c r="B227" s="399"/>
      <c r="C227" s="18" t="s">
        <v>92</v>
      </c>
      <c r="D227" s="15"/>
      <c r="E227" s="36"/>
      <c r="F227" s="283" t="str">
        <f>IF(E227="","", IF(D204="","FALSE",IF(D204&lt; 3,IF( OR(E227&gt;=91,E227&lt;=13.5),0, IF(AND(E227&gt;49,E227&lt;61), 1, ROUND(IF(E227&lt;50,'Reference Curves'!$I$60*E227+'Reference Curves'!$I$61, IF(E227&gt;60,'Reference Curves'!$J$60*E227+'Reference Curves'!$J$61)),2))), IF(D204&gt;=3,IF(OR(E227&gt;94.5,E227&lt;41.5),0, IF(AND(E227 &gt;=68, E227&lt;=78),1, ROUND(IF(E227&lt;68,'Reference Curves'!$I$65*E227+'Reference Curves'!$I$66,'Reference Curves'!$J$65*E227+'Reference Curves'!$J$66),2) ))))))</f>
        <v/>
      </c>
      <c r="G227" s="421"/>
      <c r="H227" s="415"/>
      <c r="I227" s="418"/>
      <c r="J227" s="451"/>
      <c r="K227" s="10"/>
      <c r="N227" s="9"/>
    </row>
    <row r="228" spans="1:14" ht="15.75" x14ac:dyDescent="0.5">
      <c r="A228" s="399"/>
      <c r="B228" s="399"/>
      <c r="C228" s="19" t="s">
        <v>79</v>
      </c>
      <c r="D228" s="15"/>
      <c r="E228" s="38"/>
      <c r="F228" s="284" t="str">
        <f>IF(E228="","",IF(E228&gt;=1.6,0,IF(E228&lt;=1,1,ROUND('Reference Curves'!$I$74*E228^3+'Reference Curves'!$I$75*E228^2+'Reference Curves'!$I$76*E228+'Reference Curves'!$I$77,2))))</f>
        <v/>
      </c>
      <c r="G228" s="426"/>
      <c r="H228" s="415"/>
      <c r="I228" s="418"/>
      <c r="J228" s="451"/>
      <c r="K228" s="10"/>
      <c r="N228" s="9"/>
    </row>
    <row r="229" spans="1:14" ht="15.75" x14ac:dyDescent="0.5">
      <c r="A229" s="399"/>
      <c r="B229" s="399" t="s">
        <v>43</v>
      </c>
      <c r="C229" s="18" t="s">
        <v>201</v>
      </c>
      <c r="D229" s="46"/>
      <c r="E229" s="17"/>
      <c r="F229" s="214" t="str">
        <f>IF( E229="","",
IF( D206="Unconfined Alluvial", IF( E229&gt;=100,1,
ROUND('Reference Curves'!$I$82*E229+'Reference Curves'!$I$83,2) ),
IF( OR(D206="Confined Alluvial", D206="Colluvial/V-Shaped"), ( IF(E229&gt;=100,1,
IF(E229&gt;=60, ROUND('Reference Curves'!$J$82*E229+'Reference Curves'!$J$83,2), ROUND('Reference Curves'!$K$82*E229+'Reference Curves'!$K$83,2) ) ) ) ) ) )</f>
        <v/>
      </c>
      <c r="G229" s="414" t="str">
        <f>IFERROR(AVERAGE(F229:F232),"")</f>
        <v/>
      </c>
      <c r="H229" s="415"/>
      <c r="I229" s="418"/>
      <c r="J229" s="451"/>
      <c r="K229" s="10"/>
      <c r="N229" s="9"/>
    </row>
    <row r="230" spans="1:14" ht="15.75" x14ac:dyDescent="0.5">
      <c r="A230" s="399"/>
      <c r="B230" s="399"/>
      <c r="C230" s="18" t="s">
        <v>191</v>
      </c>
      <c r="D230" s="67"/>
      <c r="E230" s="79"/>
      <c r="F230" s="213" t="str">
        <f>IF( E230="","", IF(D207&lt;&gt;"Woody","FALSE", IF( OR(G206="Mountains",G206="Basins"),
IF(E230&lt;=0,0, IF(E230&gt;=122,1, IF(E230&lt;69, ROUND('Reference Curves'!$I$87*E230+'Reference Curves'!$I$88,2), ROUND('Reference Curves'!$J$87*E230+'Reference Curves'!$J$88,2) ) ) ),
IF(G206="Plains",IF(OR(E230&lt;=0,E230&gt;111),0,IF(AND(E230&gt;=69,E230&lt;=76),1,IF(E230&lt;69,ROUND(E230*'Reference Curves'!$I$92+'Reference Curves'!$I$93,2),ROUND(E230*'Reference Curves'!$J$92+'Reference Curves'!$J$93,2))))))))</f>
        <v/>
      </c>
      <c r="G230" s="415"/>
      <c r="H230" s="415"/>
      <c r="I230" s="418"/>
      <c r="J230" s="451"/>
      <c r="K230" s="10"/>
      <c r="N230" s="9"/>
    </row>
    <row r="231" spans="1:14" ht="15.75" x14ac:dyDescent="0.5">
      <c r="A231" s="399"/>
      <c r="B231" s="399"/>
      <c r="C231" s="18" t="s">
        <v>141</v>
      </c>
      <c r="D231" s="67"/>
      <c r="E231" s="79"/>
      <c r="F231" s="213" t="str">
        <f>IF(E231="","",IF(D207="Herbaceous",IF(E231&lt;=34,0,IF(E231&gt;=120,1,IF(E231&gt;73,ROUND(E231*'Reference Curves'!$J$98+'Reference Curves'!$J$99,2),ROUND(E231*'Reference Curves'!$I$98+'Reference Curves'!$I$99,2))))))</f>
        <v/>
      </c>
      <c r="G231" s="421"/>
      <c r="H231" s="415"/>
      <c r="I231" s="418"/>
      <c r="J231" s="451"/>
      <c r="K231" s="10"/>
      <c r="N231" s="9"/>
    </row>
    <row r="232" spans="1:14" ht="15.75" x14ac:dyDescent="0.5">
      <c r="A232" s="399"/>
      <c r="B232" s="399"/>
      <c r="C232" s="138" t="s">
        <v>192</v>
      </c>
      <c r="D232" s="158"/>
      <c r="E232" s="162"/>
      <c r="F232" s="283" t="str">
        <f>IF(E232="","",IF(E232&lt;=46,0,IF(E232&gt;=100,1,IF(AND(E232&lt;=100,E232&gt;91),ROUND(E232*'Reference Curves'!$J$103+'Reference Curves'!$J$104,2),ROUND(E232*'Reference Curves'!$I$103+'Reference Curves'!$I$104,2)))))</f>
        <v/>
      </c>
      <c r="G232" s="416"/>
      <c r="H232" s="416"/>
      <c r="I232" s="419"/>
      <c r="J232" s="451"/>
      <c r="K232" s="10"/>
      <c r="N232" s="9"/>
    </row>
    <row r="233" spans="1:14" ht="15.75" x14ac:dyDescent="0.5">
      <c r="A233" s="436" t="s">
        <v>47</v>
      </c>
      <c r="B233" s="441" t="s">
        <v>139</v>
      </c>
      <c r="C233" s="139" t="s">
        <v>193</v>
      </c>
      <c r="D233" s="160"/>
      <c r="E233" s="30"/>
      <c r="F233" s="215" t="str">
        <f>IF(E233="","",IF(G204="","Enter Stream Temperature",  IF(G204="CS-I (MWF)",IF(E233&gt;=21.2,0,1),  IF(G204="CS-I",IF(E233&gt;=21.7,0,1),  IF(G204="CS-II",IF(E233&gt;=23.9,0,1),  IF(G204="WS-I",IF(E233&gt;=29,0,1),  IF(G204="WS-II",IF(E233&gt;=28.6,0,1), IF(G204="WS-III",IF(E233&gt;=31.8,0,1)))))))))</f>
        <v/>
      </c>
      <c r="G233" s="422" t="str">
        <f>IFERROR(AVERAGE(F233:F234),"")</f>
        <v/>
      </c>
      <c r="H233" s="422" t="str">
        <f>IFERROR(ROUND(AVERAGE(G233:G236),2),"")</f>
        <v/>
      </c>
      <c r="I233" s="430" t="str">
        <f>IF(H233="","",IF(H233&gt;0.69,"Functioning",IF(H233&gt;0.29,"Functioning At Risk",IF(H233&gt;-1,"Not Functioning"))))</f>
        <v/>
      </c>
      <c r="J233" s="451"/>
      <c r="K233" s="10"/>
      <c r="N233" s="9"/>
    </row>
    <row r="234" spans="1:14" ht="15.75" x14ac:dyDescent="0.5">
      <c r="A234" s="436"/>
      <c r="B234" s="441"/>
      <c r="C234" s="140" t="s">
        <v>194</v>
      </c>
      <c r="D234" s="155"/>
      <c r="E234" s="35"/>
      <c r="F234" s="216" t="str">
        <f>IF(E234="","",IF(G204="","Enter Stream Temperature",  IF(G204="CS-I (MWF)",IF(E234&gt;=18.3,0,IF(E234&lt;=13.8,1,ROUND(E234*'Reference Curves'!$M$4+'Reference Curves'!$M$5,2))),  IF(G204="CS-I",IF(E234&gt;=17.6,0,IF(E234&lt;=15.7,1,ROUND(E234*'Reference Curves'!$N$4+'Reference Curves'!$N$5,2))),  IF(G204="CS-II",IF(E234&gt;=19.1,0,IF(E234&lt;=16.6,1,ROUND(E234*'Reference Curves'!$O$4+'Reference Curves'!$O$5,2))),  IF(G204="WS-I",IF(E234&gt;=25.7,0,IF(E234&lt;=20.9,1,ROUND(E234*'Reference Curves'!$P$4+'Reference Curves'!$P$5,2))),  IF(G204="WS-II",IF(E234&gt;=29.7,0,IF(E234&lt;=22.5,1,ROUND(E234*'Reference Curves'!$Q$4+'Reference Curves'!$Q$5,2))), IF(G204="WS-III",IF(E234&gt;=30,0,IF(E234&lt;=25.9,1,ROUND(E234*'Reference Curves'!$R$4+'Reference Curves'!$R$5,2)))    ))))))))</f>
        <v/>
      </c>
      <c r="G234" s="424"/>
      <c r="H234" s="423"/>
      <c r="I234" s="430"/>
      <c r="J234" s="451"/>
      <c r="K234" s="10"/>
      <c r="N234" s="9"/>
    </row>
    <row r="235" spans="1:14" ht="15.75" x14ac:dyDescent="0.5">
      <c r="A235" s="436"/>
      <c r="B235" s="192" t="s">
        <v>140</v>
      </c>
      <c r="C235" s="142" t="s">
        <v>195</v>
      </c>
      <c r="D235" s="156"/>
      <c r="E235" s="54"/>
      <c r="F235" s="216" t="str">
        <f>IF(E235="","",ROUND( IF(E235&lt;=6,0, IF(E235&gt;=10.31,1,E235*'Reference Curves'!$M$8+'Reference Curves'!$M$9)),2))</f>
        <v/>
      </c>
      <c r="G235" s="163" t="str">
        <f>IFERROR(AVERAGE(F235),"")</f>
        <v/>
      </c>
      <c r="H235" s="423"/>
      <c r="I235" s="430"/>
      <c r="J235" s="451"/>
      <c r="K235" s="10"/>
      <c r="N235" s="9"/>
    </row>
    <row r="236" spans="1:14" ht="15.75" x14ac:dyDescent="0.5">
      <c r="A236" s="436"/>
      <c r="B236" s="192" t="s">
        <v>196</v>
      </c>
      <c r="C236" s="143" t="s">
        <v>357</v>
      </c>
      <c r="D236" s="157"/>
      <c r="E236" s="54"/>
      <c r="F236" s="216" t="str">
        <f>IF(E236="","",IF(OR(G205=3),IF(E236&gt;=150,0,IF(E236&lt;=16,1,ROUND('Reference Curves'!$M$13*LN(E236)+'Reference Curves'!$M$14,2))), IF(OR(G205=1,G205=2),  IF(E236&gt;=97,0,IF(E236&lt;=12,1,ROUND('Reference Curves'!$N$13*LN(E236)+'Reference Curves'!$N$14,2))))))</f>
        <v/>
      </c>
      <c r="G236" s="163" t="str">
        <f>IFERROR(AVERAGE(F236),"")</f>
        <v/>
      </c>
      <c r="H236" s="424"/>
      <c r="I236" s="430"/>
      <c r="J236" s="451"/>
      <c r="K236" s="10"/>
      <c r="N236" s="9"/>
    </row>
    <row r="237" spans="1:14" ht="15.75" x14ac:dyDescent="0.5">
      <c r="A237" s="435" t="s">
        <v>48</v>
      </c>
      <c r="B237" s="191" t="s">
        <v>93</v>
      </c>
      <c r="C237" s="145" t="s">
        <v>197</v>
      </c>
      <c r="D237" s="28"/>
      <c r="E237" s="54"/>
      <c r="F237" s="217" t="str">
        <f>IF(E237="","",IF(G205="","Enter Biotype",IF(G205=1,IF(E237&lt;=0,0,IF(E237&gt;=57,1,ROUND(IF(E237&lt;=34,'Reference Curves'!$T$5*E237+'Reference Curves'!$T$6,  IF(E237&lt;=45, 'Reference Curves'!$U$5*E237+'Reference Curves'!$U$6,  'Reference Curves'!$V$5*E237+'Reference Curves'!$V$6)),2))),   IF(G205=2,IF(E237&lt;=0,0,IF(E237&gt;=63,1,ROUND(IF(E237&lt;=40,'Reference Curves'!$W$5*E237+'Reference Curves'!$W$6,  IF(E237&lt;=48,'Reference Curves'!$X$5*E237+'Reference Curves'!$X$6,  'Reference Curves'!$Y$5*E237+'Reference Curves'!$Y$6)),2))),   IF(OR(G205=3),IF(E237&lt;=0,0,IF(E237&gt;=52,1,ROUND(IF(E237&lt;=29,'Reference Curves'!$Z$5*E237+'Reference Curves'!$Z$6, IF(E237&lt;=42, 'Reference Curves'!$AA$5*E237+'Reference Curves'!$AA$6,  'Reference Curves'!$AB$5*E237+'Reference Curves'!$AB$6)),2))))))))</f>
        <v/>
      </c>
      <c r="G237" s="164" t="str">
        <f>IFERROR(AVERAGE(F237),"")</f>
        <v/>
      </c>
      <c r="H237" s="420" t="str">
        <f>IFERROR(ROUND(AVERAGE(G237:G240),2),"")</f>
        <v/>
      </c>
      <c r="I237" s="430" t="str">
        <f>IF(H237="","",IF(H237&gt;0.69,"Functioning",IF(H237&gt;0.29,"Functioning At Risk",IF(H237&gt;-1,"Not Functioning"))))</f>
        <v/>
      </c>
      <c r="J237" s="451"/>
      <c r="K237" s="10"/>
      <c r="N237" s="9"/>
    </row>
    <row r="238" spans="1:14" ht="15.75" x14ac:dyDescent="0.5">
      <c r="A238" s="435"/>
      <c r="B238" s="398" t="s">
        <v>51</v>
      </c>
      <c r="C238" s="146" t="s">
        <v>198</v>
      </c>
      <c r="D238" s="28"/>
      <c r="E238" s="30"/>
      <c r="F238" s="164" t="str">
        <f>IF(E238="","",IF(E238&lt;=0,0,IF(E238&gt;=100,1,ROUND(IF(E238&lt;80,E238*'Reference Curves'!$T$10+'Reference Curves'!$T$11,E238*'Reference Curves'!$U$10+'Reference Curves'!$U$11),2))))</f>
        <v/>
      </c>
      <c r="G238" s="427" t="str">
        <f>IFERROR(AVERAGE(F238:F240),"")</f>
        <v/>
      </c>
      <c r="H238" s="420"/>
      <c r="I238" s="430"/>
      <c r="J238" s="451"/>
      <c r="K238" s="10"/>
      <c r="N238" s="9"/>
    </row>
    <row r="239" spans="1:14" ht="15.75" x14ac:dyDescent="0.5">
      <c r="A239" s="435"/>
      <c r="B239" s="398"/>
      <c r="C239" s="147" t="s">
        <v>199</v>
      </c>
      <c r="D239" s="159"/>
      <c r="E239" s="34"/>
      <c r="F239" s="164" t="str">
        <f>IF(E239="","",ROUND(IF(E239&gt;=3,0,IF(E239&gt;=2,0.3,IF(E239&gt;=1,0.69,1))),2))</f>
        <v/>
      </c>
      <c r="G239" s="428"/>
      <c r="H239" s="420"/>
      <c r="I239" s="430"/>
      <c r="J239" s="451"/>
      <c r="K239" s="10"/>
      <c r="N239" s="9"/>
    </row>
    <row r="240" spans="1:14" ht="15.75" x14ac:dyDescent="0.5">
      <c r="A240" s="435"/>
      <c r="B240" s="398"/>
      <c r="C240" s="148" t="s">
        <v>200</v>
      </c>
      <c r="D240" s="161"/>
      <c r="E240" s="35"/>
      <c r="F240" s="218" t="str">
        <f>IF(E240="","",IF(G208="","Enter Stream Producitvity Rating",IF(G208="High",IF(E240&lt;5,0,IF(E240&gt;=40,1,ROUND(E240*'Reference Curves'!$T$15+'Reference Curves'!$T$16,2))),IF(G208="Moderate",IF(E240&lt;10,0,IF(E240&gt;=80,1,ROUND(E240*'Reference Curves'!$U$15+'Reference Curves'!$U$16,2))),IF(G208="Low",IF(E240&lt;15,0,IF(E240&gt;=119,1,ROUND(E240*'Reference Curves'!$V$15+'Reference Curves'!$V$16,2)))   )))))</f>
        <v/>
      </c>
      <c r="G240" s="429"/>
      <c r="H240" s="420"/>
      <c r="I240" s="430"/>
      <c r="J240" s="451"/>
      <c r="K240" s="10"/>
      <c r="N240" s="9"/>
    </row>
    <row r="241" spans="1:14" x14ac:dyDescent="0.45">
      <c r="J241" s="4"/>
      <c r="K241" s="10"/>
    </row>
    <row r="242" spans="1:14" x14ac:dyDescent="0.45">
      <c r="J242" s="4"/>
      <c r="K242" s="10"/>
    </row>
    <row r="243" spans="1:14" ht="21" customHeight="1" x14ac:dyDescent="0.45">
      <c r="A243" s="408" t="s">
        <v>349</v>
      </c>
      <c r="B243" s="409"/>
      <c r="C243" s="409"/>
      <c r="D243" s="409"/>
      <c r="E243" s="409"/>
      <c r="F243" s="409"/>
      <c r="G243" s="409"/>
      <c r="H243" s="409"/>
      <c r="I243" s="409"/>
      <c r="J243" s="410"/>
    </row>
    <row r="244" spans="1:14" ht="16.149999999999999" customHeight="1" x14ac:dyDescent="0.45">
      <c r="A244" s="223" t="str">
        <f>'Existing Conditions'!A244</f>
        <v>Reach ID:</v>
      </c>
      <c r="B244" s="282">
        <f>'Existing Conditions'!B244</f>
        <v>0</v>
      </c>
      <c r="C244" s="223" t="str">
        <f>'Existing Conditions'!C244</f>
        <v>Stream Slope (%):</v>
      </c>
      <c r="D244" s="282">
        <f>'Existing Conditions'!D244</f>
        <v>0</v>
      </c>
      <c r="E244" s="449" t="s">
        <v>245</v>
      </c>
      <c r="F244" s="450"/>
      <c r="G244" s="224">
        <f>'Existing Conditions'!G244</f>
        <v>0</v>
      </c>
      <c r="H244" s="447" t="s">
        <v>121</v>
      </c>
      <c r="I244" s="448"/>
      <c r="J244" s="224">
        <f>'Existing Conditions'!J244</f>
        <v>0</v>
      </c>
    </row>
    <row r="245" spans="1:14" ht="16.149999999999999" customHeight="1" x14ac:dyDescent="0.45">
      <c r="A245" s="223" t="str">
        <f>'Existing Conditions'!A245</f>
        <v>Reference Stream Type:</v>
      </c>
      <c r="B245" s="282">
        <f>'Existing Conditions'!B245</f>
        <v>0</v>
      </c>
      <c r="C245" s="223" t="str">
        <f>'Existing Conditions'!C245</f>
        <v>Proposed Bankfull Width (ft):</v>
      </c>
      <c r="D245" s="282">
        <f>'Existing Conditions'!D245</f>
        <v>0</v>
      </c>
      <c r="E245" s="449" t="s">
        <v>247</v>
      </c>
      <c r="F245" s="450"/>
      <c r="G245" s="224">
        <f>'Existing Conditions'!G245</f>
        <v>0</v>
      </c>
      <c r="H245" s="447" t="s">
        <v>122</v>
      </c>
      <c r="I245" s="448"/>
      <c r="J245" s="224">
        <f>'Existing Conditions'!J245</f>
        <v>0</v>
      </c>
    </row>
    <row r="246" spans="1:14" ht="16.149999999999999" customHeight="1" x14ac:dyDescent="0.65">
      <c r="A246" s="223" t="str">
        <f>'Existing Conditions'!A246</f>
        <v>Flow Permanence:</v>
      </c>
      <c r="B246" s="282">
        <f>'Existing Conditions'!B246</f>
        <v>0</v>
      </c>
      <c r="C246" s="223" t="str">
        <f>'Existing Conditions'!C246</f>
        <v>Valley Type:</v>
      </c>
      <c r="D246" s="282">
        <f>'Existing Conditions'!D246</f>
        <v>0</v>
      </c>
      <c r="E246" s="449" t="s">
        <v>261</v>
      </c>
      <c r="F246" s="450"/>
      <c r="G246" s="224">
        <f>'Existing Conditions'!G246</f>
        <v>0</v>
      </c>
      <c r="H246" s="447" t="s">
        <v>123</v>
      </c>
      <c r="I246" s="448"/>
      <c r="J246" s="224">
        <f>'Existing Conditions'!J246</f>
        <v>0</v>
      </c>
      <c r="K246" s="26"/>
    </row>
    <row r="247" spans="1:14" ht="16.149999999999999" customHeight="1" x14ac:dyDescent="0.5">
      <c r="A247" s="223" t="str">
        <f>'Existing Conditions'!A247</f>
        <v>Strahler Stream Order:</v>
      </c>
      <c r="B247" s="282">
        <f>'Existing Conditions'!B247</f>
        <v>0</v>
      </c>
      <c r="C247" s="223" t="str">
        <f>'Existing Conditions'!C247</f>
        <v>Reference Vegetation Cover:</v>
      </c>
      <c r="D247" s="282">
        <f>'Existing Conditions'!D247</f>
        <v>0</v>
      </c>
      <c r="E247" s="445" t="s">
        <v>271</v>
      </c>
      <c r="F247" s="446"/>
      <c r="G247" s="224">
        <f>'Existing Conditions'!G247</f>
        <v>0</v>
      </c>
      <c r="H247" s="447" t="s">
        <v>124</v>
      </c>
      <c r="I247" s="448"/>
      <c r="J247" s="224">
        <f>'Existing Conditions'!J247</f>
        <v>0</v>
      </c>
      <c r="K247" s="39"/>
    </row>
    <row r="248" spans="1:14" ht="18" customHeight="1" x14ac:dyDescent="0.5">
      <c r="A248" s="223" t="str">
        <f>'Existing Conditions'!A248</f>
        <v>Outstanding Water:</v>
      </c>
      <c r="B248" s="282">
        <f>'Existing Conditions'!B248</f>
        <v>0</v>
      </c>
      <c r="C248" s="223" t="str">
        <f>'Existing Conditions'!C248</f>
        <v>Sediment Regime:</v>
      </c>
      <c r="D248" s="282">
        <f>'Existing Conditions'!D248</f>
        <v>0</v>
      </c>
      <c r="E248" s="449" t="s">
        <v>248</v>
      </c>
      <c r="F248" s="450"/>
      <c r="G248" s="224">
        <f>'Existing Conditions'!G248</f>
        <v>0</v>
      </c>
      <c r="H248" s="229"/>
      <c r="I248" s="229"/>
      <c r="J248" s="230"/>
      <c r="K248" s="39"/>
    </row>
    <row r="249" spans="1:14" ht="4.5" customHeight="1" x14ac:dyDescent="0.5">
      <c r="B249" s="58"/>
      <c r="C249" s="58"/>
      <c r="D249" s="58"/>
      <c r="E249" s="58"/>
      <c r="F249" s="58"/>
      <c r="G249" s="58"/>
      <c r="H249" s="58"/>
      <c r="I249" s="56"/>
      <c r="J249" s="10"/>
      <c r="K249" s="39"/>
    </row>
    <row r="250" spans="1:14" ht="19.899999999999999" customHeight="1" x14ac:dyDescent="0.65">
      <c r="A250" s="431" t="str">
        <f>_xlfn.CONCAT("PROPOSED CONDITION ASSESSMENT for Reach ",B244)</f>
        <v>PROPOSED CONDITION ASSESSMENT for Reach 0</v>
      </c>
      <c r="B250" s="431"/>
      <c r="C250" s="431"/>
      <c r="D250" s="431"/>
      <c r="E250" s="431"/>
      <c r="F250" s="431"/>
      <c r="G250" s="431" t="s">
        <v>13</v>
      </c>
      <c r="H250" s="431"/>
      <c r="I250" s="431"/>
      <c r="J250" s="431"/>
      <c r="K250" s="10"/>
    </row>
    <row r="251" spans="1:14" ht="15.75" x14ac:dyDescent="0.5">
      <c r="A251" s="32" t="s">
        <v>1</v>
      </c>
      <c r="B251" s="32" t="s">
        <v>2</v>
      </c>
      <c r="C251" s="432" t="s">
        <v>3</v>
      </c>
      <c r="D251" s="433"/>
      <c r="E251" s="32" t="s">
        <v>11</v>
      </c>
      <c r="F251" s="31" t="s">
        <v>12</v>
      </c>
      <c r="G251" s="32" t="s">
        <v>14</v>
      </c>
      <c r="H251" s="32" t="s">
        <v>15</v>
      </c>
      <c r="I251" s="57" t="s">
        <v>15</v>
      </c>
      <c r="J251" s="32" t="s">
        <v>160</v>
      </c>
      <c r="K251" s="10"/>
    </row>
    <row r="252" spans="1:14" ht="15.75" x14ac:dyDescent="0.5">
      <c r="A252" s="434" t="s">
        <v>173</v>
      </c>
      <c r="B252" s="437" t="s">
        <v>71</v>
      </c>
      <c r="C252" s="132" t="s">
        <v>138</v>
      </c>
      <c r="D252" s="149"/>
      <c r="E252" s="30"/>
      <c r="F252" s="202" t="str">
        <f>IF(E252="","",IF(E252&gt;78,0,IF(E252&lt;=55,1,ROUND(E252*'Reference Curves'!$B$3+'Reference Curves'!$B$4,2))))</f>
        <v/>
      </c>
      <c r="G252" s="411" t="str">
        <f>IFERROR(AVERAGE(F252:F253),"")</f>
        <v/>
      </c>
      <c r="H252" s="411" t="str">
        <f>IFERROR(ROUND(AVERAGE(G252:G258),2),"")</f>
        <v/>
      </c>
      <c r="I252" s="438" t="str">
        <f>IF(H252="","",IF(H252:H258&gt;0.69,"Functioning",IF(H252&gt;0.29,"Functioning At Risk",IF(H252&gt;-1,"Not Functioning"))))</f>
        <v/>
      </c>
      <c r="J252" s="451" t="str">
        <f>IF(AND(H252="",H259="",H273="",H277=""),"",ROUND((IF(H252="",0,H252)*0.3)+(IF(H259="",0,H259)*0.3)+(IF(H273="",0,H273)*0.2)+(IF(H277="",0,H277)*0.2),2))</f>
        <v/>
      </c>
      <c r="K252" s="10"/>
    </row>
    <row r="253" spans="1:14" ht="15.75" x14ac:dyDescent="0.5">
      <c r="A253" s="434"/>
      <c r="B253" s="437"/>
      <c r="C253" s="133" t="s">
        <v>184</v>
      </c>
      <c r="D253" s="150"/>
      <c r="E253" s="35"/>
      <c r="F253" s="203" t="str">
        <f>IF(E253="","",   IF(E253&gt;3.2,0, IF(E253&lt;0, "", ROUND('Reference Curves'!$B$8*E253+'Reference Curves'!$B$9,2))))</f>
        <v/>
      </c>
      <c r="G253" s="412"/>
      <c r="H253" s="412"/>
      <c r="I253" s="439"/>
      <c r="J253" s="451"/>
      <c r="K253" s="10"/>
    </row>
    <row r="254" spans="1:14" ht="15.75" x14ac:dyDescent="0.5">
      <c r="A254" s="434"/>
      <c r="B254" s="400" t="s">
        <v>185</v>
      </c>
      <c r="C254" s="134" t="s">
        <v>186</v>
      </c>
      <c r="D254" s="149"/>
      <c r="E254" s="34"/>
      <c r="F254" s="204" t="s">
        <v>285</v>
      </c>
      <c r="G254" s="411" t="str">
        <f>IFERROR(IF(AND(ISNUMBER(E254),E254&lt;1),0,AVERAGE(F254:F255)),"")</f>
        <v/>
      </c>
      <c r="H254" s="412"/>
      <c r="I254" s="439"/>
      <c r="J254" s="451"/>
      <c r="K254" s="10"/>
    </row>
    <row r="255" spans="1:14" ht="15.75" x14ac:dyDescent="0.5">
      <c r="A255" s="434"/>
      <c r="B255" s="401"/>
      <c r="C255" s="151" t="s">
        <v>187</v>
      </c>
      <c r="D255" s="152"/>
      <c r="E255" s="34"/>
      <c r="F255" s="205" t="str">
        <f>IF(E255="","",IF(G244= "CS-II", ROUND(IF(E255&lt;=0.6,0, IF(E255&gt;=2.3,1,E255*'Reference Curves'!$D$14+'Reference Curves'!$D$15)),2),IF(AND(D245&lt;20,LEFT(G244,2)="CS"), ROUND(IF(E255&lt;=0.2,0, IF(E255&gt;=1,1,E255*'Reference Curves'!$B$14+'Reference Curves'!$B$15)),2), IF(AND(D245&gt;=20,LEFT(G244,2)= "CS"), ROUND(IF(E255&lt;=0.4,0, IF(E255&gt;=1.5,1,E255*'Reference Curves'!$C$14+'Reference Curves'!$C$15)),2),"FALSE"))))</f>
        <v/>
      </c>
      <c r="G255" s="413"/>
      <c r="H255" s="412"/>
      <c r="I255" s="439"/>
      <c r="J255" s="451"/>
      <c r="K255" s="10"/>
    </row>
    <row r="256" spans="1:14" ht="15.75" x14ac:dyDescent="0.5">
      <c r="A256" s="434"/>
      <c r="B256" s="437" t="s">
        <v>4</v>
      </c>
      <c r="C256" s="133" t="s">
        <v>5</v>
      </c>
      <c r="D256" s="14"/>
      <c r="E256" s="30"/>
      <c r="F256" s="206" t="str">
        <f>IF( E256="","",
IF( E256&gt;1.71,0, IF( E256&gt;1, ROUND(E256*'Reference Curves'!C$20+'Reference Curves'!C$21,2),
IF( D248="Transport", ROUND(IF( E256&lt;0.35,0, E256*'Reference Curves'!$B$20+'Reference Curves'!$B$21 ),2), 1 ))))</f>
        <v/>
      </c>
      <c r="G256" s="411" t="str">
        <f>IFERROR(AVERAGE(F256:F258),"")</f>
        <v/>
      </c>
      <c r="H256" s="412"/>
      <c r="I256" s="439"/>
      <c r="J256" s="451"/>
      <c r="K256" s="10"/>
      <c r="N256" s="9"/>
    </row>
    <row r="257" spans="1:14" ht="15.75" x14ac:dyDescent="0.5">
      <c r="A257" s="434"/>
      <c r="B257" s="437"/>
      <c r="C257" s="133" t="s">
        <v>6</v>
      </c>
      <c r="D257" s="14"/>
      <c r="E257" s="34"/>
      <c r="F257" s="205" t="str">
        <f>IF(E257="","",IF(OR(LEFT(B245,1)="A",LEFT(B245,1)="B"),IF(E257&lt;1.05,0,IF(E257&gt;=2.2,1,ROUND(IF(E257&lt;1.4,E257*'Reference Curves'!$B$40+'Reference Curves'!$B$41,E257*'Reference Curves'!$C$40+'Reference Curves'!$C$41),2))), IF(B245="C",IF(E257&lt;1.7,0,IF(E257&gt;=4.2,1,ROUND(IF(E257&lt;2.4,E257*'Reference Curves'!$C$25+'Reference Curves'!$C$26,E257*'Reference Curves'!$B$25+'Reference Curves'!$B$26),2))),                                                                                                                                                                                                                    IF(B245="Cb",IF(E257&lt;1.7,0,IF(E257&gt;=3.9,1,ROUND(IF(E257&lt;2.4,E257*'Reference Curves'!$C$30+'Reference Curves'!$C$31,E257*'Reference Curves'!$B$30+'Reference Curves'!$B$31),2))),
IF(LEFT(B245,1)="E",IF(E257&lt;1.7,0,IF(E257&gt;=6.7,1,ROUND(IF(E257&lt;2.4,E257*'Reference Curves'!$C$35+'Reference Curves'!$C$36,E257*'Reference Curves'!$B$35+'Reference Curves'!$B$36),2))))))))</f>
        <v/>
      </c>
      <c r="G257" s="412"/>
      <c r="H257" s="412"/>
      <c r="I257" s="439"/>
      <c r="J257" s="451"/>
      <c r="K257" s="10"/>
      <c r="N257" s="9"/>
    </row>
    <row r="258" spans="1:14" ht="15.75" customHeight="1" x14ac:dyDescent="0.5">
      <c r="A258" s="434"/>
      <c r="B258" s="437"/>
      <c r="C258" s="135" t="s">
        <v>188</v>
      </c>
      <c r="D258" s="14"/>
      <c r="E258" s="35"/>
      <c r="F258" s="207" t="str">
        <f>IF(E258="","",IF(D246="Unconfined Alluvial",IF(E258&lt;=0,0, IF(E258&gt;=100,1, ROUND(IF(E258&lt;10,E258*'Reference Curves'!$B$46+'Reference Curves'!$B$47, IF(E258&lt;50,E258*'Reference Curves'!$C$46+'Reference Curves'!$C$47,E258*'Reference Curves'!$D$46+'Reference Curves'!$D$47)),2))), IF(D246="Confined Alluvial",IF(E258&lt;=0,0,IF(E258&gt;=50,1,ROUND(IF(E258&lt;5,E258*'Reference Curves'!$E$46+'Reference Curves'!$E$47,IF(E258&lt;25,E258*'Reference Curves'!$F$46+'Reference Curves'!$F$47,E258*'Reference Curves'!$G$46+'Reference Curves'!$G$47)),2))))))</f>
        <v/>
      </c>
      <c r="G258" s="413"/>
      <c r="H258" s="413"/>
      <c r="I258" s="440"/>
      <c r="J258" s="451"/>
      <c r="K258" s="10"/>
      <c r="N258" s="9"/>
    </row>
    <row r="259" spans="1:14" ht="15.75" x14ac:dyDescent="0.5">
      <c r="A259" s="399" t="s">
        <v>20</v>
      </c>
      <c r="B259" s="399" t="s">
        <v>21</v>
      </c>
      <c r="C259" s="16" t="s">
        <v>19</v>
      </c>
      <c r="D259" s="46"/>
      <c r="E259" s="30"/>
      <c r="F259" s="208" t="str">
        <f>IF(E259="","",IF(E259&gt;=660,1,IF(E259&lt;=430,ROUND('Reference Curves'!$I$4*E259+'Reference Curves'!$I$5,2),ROUND('Reference Curves'!$J$4*E259+'Reference Curves'!$J$5,2))))</f>
        <v/>
      </c>
      <c r="G259" s="414" t="str">
        <f>IFERROR(AVERAGE(F259:F260),"")</f>
        <v/>
      </c>
      <c r="H259" s="414" t="str">
        <f>IFERROR(ROUND(AVERAGE(G259:G272),2),"")</f>
        <v/>
      </c>
      <c r="I259" s="417" t="str">
        <f>IF(H259="","",IF(H259&gt;0.69,"Functioning",IF(H259&gt;0.29,"Functioning At Risk",IF(H259&gt;-1,"Not Functioning"))))</f>
        <v/>
      </c>
      <c r="J259" s="451"/>
      <c r="K259" s="10"/>
      <c r="N259" s="9"/>
    </row>
    <row r="260" spans="1:14" ht="15.75" x14ac:dyDescent="0.5">
      <c r="A260" s="399"/>
      <c r="B260" s="399"/>
      <c r="C260" s="18" t="s">
        <v>189</v>
      </c>
      <c r="D260" s="47"/>
      <c r="E260" s="35"/>
      <c r="F260" s="209" t="str">
        <f>IF(E260="","",IF(E260&gt;=28,1,ROUND(IF(E260&lt;=13,'Reference Curves'!$I$9*E260,'Reference Curves'!$J$9*E260+'Reference Curves'!$J$10),2)))</f>
        <v/>
      </c>
      <c r="G260" s="416"/>
      <c r="H260" s="415"/>
      <c r="I260" s="418"/>
      <c r="J260" s="451"/>
      <c r="K260" s="10"/>
      <c r="N260" s="9"/>
    </row>
    <row r="261" spans="1:14" ht="15.75" x14ac:dyDescent="0.5">
      <c r="A261" s="399"/>
      <c r="B261" s="399" t="s">
        <v>114</v>
      </c>
      <c r="C261" s="16" t="s">
        <v>190</v>
      </c>
      <c r="D261" s="46"/>
      <c r="E261" s="78"/>
      <c r="F261" s="208" t="str">
        <f>IF(E261="","",ROUND(IF(E261&lt;=2,0,IF(E261&gt;=9,1, IF(E261&gt;=5,E261^2*'Reference Curves'!$I$14+E261*'Reference Curves'!$I$15+'Reference Curves'!$I$16, E261*'Reference Curves'!$J$15+'Reference Curves'!$J$16))),2))</f>
        <v/>
      </c>
      <c r="G261" s="414" t="str">
        <f>IFERROR(IF(E264&gt;=50,0,AVERAGE(F261:F264)),"")</f>
        <v/>
      </c>
      <c r="H261" s="415"/>
      <c r="I261" s="418"/>
      <c r="J261" s="451"/>
      <c r="K261" s="10"/>
      <c r="N261" s="9"/>
    </row>
    <row r="262" spans="1:14" ht="15.75" x14ac:dyDescent="0.5">
      <c r="A262" s="399"/>
      <c r="B262" s="399"/>
      <c r="C262" s="18" t="s">
        <v>42</v>
      </c>
      <c r="D262" s="67"/>
      <c r="E262" s="78"/>
      <c r="F262" s="210" t="str">
        <f>IF(E262="","",IF(OR(E262="Ex/Ex",E262="Ex/VH",E262="Ex/H",E262="Ex/M",E262="VH/Ex",E262="VH/VH", E262="H/Ex",E262="H/VH"),0, IF(OR(E262="M/Ex"),0.1,IF(OR(E262="VH/H",E262="VH/M",E262="H/H",E262="H/M", E262="M/VH"),0.2, IF(OR(E262="Ex/VL",E262="Ex/L", E262="M/H"),0.3, IF(OR(E262="VH/L",E262="H/L"),0.4, IF(OR(E262="VH/VL",E262="H/VL",E262="M/M"),0.5, IF(OR(E262="M/L",E262="L/Ex"),0.6, IF(OR(E262="M/VL",E262="L/VH", E262="L/H",E262="L/M",E262="L/L",E262="L/VL", LEFT(E262,2)="VL"),1)))))))))</f>
        <v/>
      </c>
      <c r="G262" s="415"/>
      <c r="H262" s="415"/>
      <c r="I262" s="418"/>
      <c r="J262" s="451"/>
      <c r="K262" s="10"/>
      <c r="N262" s="9"/>
    </row>
    <row r="263" spans="1:14" ht="15.75" x14ac:dyDescent="0.5">
      <c r="A263" s="399"/>
      <c r="B263" s="399"/>
      <c r="C263" s="136" t="s">
        <v>54</v>
      </c>
      <c r="D263" s="67"/>
      <c r="E263" s="78"/>
      <c r="F263" s="210" t="str">
        <f>IF(E263="","",ROUND(IF(E263&gt;=75,0,IF(E263&lt;=5,1,IF(E263&gt;10,E263*'Reference Curves'!I$20+'Reference Curves'!I$21,'Reference Curves'!$J$20*E263+'Reference Curves'!$J$21))),2))</f>
        <v/>
      </c>
      <c r="G263" s="421"/>
      <c r="H263" s="415"/>
      <c r="I263" s="418"/>
      <c r="J263" s="451"/>
      <c r="K263" s="10"/>
      <c r="N263" s="9"/>
    </row>
    <row r="264" spans="1:14" ht="15.75" x14ac:dyDescent="0.5">
      <c r="A264" s="399"/>
      <c r="B264" s="399"/>
      <c r="C264" s="137" t="s">
        <v>113</v>
      </c>
      <c r="D264" s="154"/>
      <c r="E264" s="153"/>
      <c r="F264" s="211" t="str">
        <f>IF(E264="","",IF(E264&gt;=30,0,ROUND(E264*'Reference Curves'!$I$24+'Reference Curves'!$I$25,2)))</f>
        <v/>
      </c>
      <c r="G264" s="416"/>
      <c r="H264" s="415"/>
      <c r="I264" s="418"/>
      <c r="J264" s="451"/>
      <c r="K264" s="10"/>
      <c r="N264" s="9"/>
    </row>
    <row r="265" spans="1:14" ht="15.75" x14ac:dyDescent="0.5">
      <c r="A265" s="399"/>
      <c r="B265" s="399" t="s">
        <v>44</v>
      </c>
      <c r="C265" s="16" t="s">
        <v>45</v>
      </c>
      <c r="D265" s="20"/>
      <c r="E265" s="37"/>
      <c r="F265" s="212" t="str">
        <f>IF(E265="","",IF(B245="Bc",IF(OR(E265&gt;=12,E265&lt;=0.1),0,IF(E265&lt;=3.4,1,ROUND('Reference Curves'!$I$33*E265+'Reference Curves'!$I$34,2))),
IF(OR(B245="B",B245="Ba"),IF(OR(E265&gt;=7.5,E265&lt;=0.1),0,IF(E265&lt;=3,1,ROUND(IF(E265&gt;4,'Reference Curves'!$I$29*E265+'Reference Curves'!$I$30,'Reference Curves'!$J$29*E265+'Reference Curves'!$J$30),2))),
IF(B245="Cb",IF(OR(E265&gt;=8.35,E265&lt;1.4),0,IF(AND(E265&gt;=3.7,E265&lt;=5),1,ROUND(IF(E265&lt;3.7,'Reference Curves'!$I$49*E265+'Reference Curves'!$I$50,'Reference Curves'!$J$49*E265+'Reference Curves'!$J$50),2))),
IF(B245="C",IF(OR(E265&gt;=9.3,E265&lt;=3),0,IF(AND(E265&gt;=4,E265&lt;=6),1,ROUND(IF(E265&lt;4,'Reference Curves'!$I$44*E265+'Reference Curves'!$I$45,'Reference Curves'!$J$44*E265+'Reference Curves'!$J$45),2))),
IF(B245="E",IF(OR(E265&gt;=8.3,E265&lt;1.85),0,IF(AND(E265&gt;=3.5,E265&lt;=5),1,ROUND(IF(E265&lt;3.5,'Reference Curves'!$I$38*E265+'Reference Curves'!$I$39,'Reference Curves'!$J$38*E265+'Reference Curves'!$J$39),2)))      ))))))</f>
        <v/>
      </c>
      <c r="G265" s="425" t="str">
        <f>IFERROR(AVERAGE(F265:F268),"")</f>
        <v/>
      </c>
      <c r="H265" s="415"/>
      <c r="I265" s="418"/>
      <c r="J265" s="451"/>
      <c r="K265" s="10"/>
      <c r="N265" s="9"/>
    </row>
    <row r="266" spans="1:14" ht="15.75" x14ac:dyDescent="0.5">
      <c r="A266" s="399"/>
      <c r="B266" s="399"/>
      <c r="C266" s="18" t="s">
        <v>46</v>
      </c>
      <c r="D266" s="15"/>
      <c r="E266" s="36"/>
      <c r="F266" s="213" t="str">
        <f>IF(E266="","",IF(E266&lt;=1,0,IF(E266&gt;=3.2,1,IF(E266&gt;=2.2,ROUND('Reference Curves'!$J$54*E266+'Reference Curves'!$J$55,2),(ROUND('Reference Curves'!$I$54*E266+'Reference Curves'!$I$55,2))))))</f>
        <v/>
      </c>
      <c r="G266" s="421"/>
      <c r="H266" s="415"/>
      <c r="I266" s="418"/>
      <c r="J266" s="451"/>
      <c r="K266" s="10"/>
      <c r="N266" s="9"/>
    </row>
    <row r="267" spans="1:14" ht="15.75" customHeight="1" x14ac:dyDescent="0.5">
      <c r="A267" s="399"/>
      <c r="B267" s="399"/>
      <c r="C267" s="18" t="s">
        <v>92</v>
      </c>
      <c r="D267" s="15"/>
      <c r="E267" s="36"/>
      <c r="F267" s="283" t="str">
        <f>IF(E267="","", IF(D244="","FALSE",IF(D244&lt; 3,IF( OR(E267&gt;=91,E267&lt;=13.5),0, IF(AND(E267&gt;49,E267&lt;61), 1, ROUND(IF(E267&lt;50,'Reference Curves'!$I$60*E267+'Reference Curves'!$I$61, IF(E267&gt;60,'Reference Curves'!$J$60*E267+'Reference Curves'!$J$61)),2))), IF(D244&gt;=3,IF(OR(E267&gt;94.5,E267&lt;41.5),0, IF(AND(E267 &gt;=68, E267&lt;=78),1, ROUND(IF(E267&lt;68,'Reference Curves'!$I$65*E267+'Reference Curves'!$I$66,'Reference Curves'!$J$65*E267+'Reference Curves'!$J$66),2) ))))))</f>
        <v/>
      </c>
      <c r="G267" s="421"/>
      <c r="H267" s="415"/>
      <c r="I267" s="418"/>
      <c r="J267" s="451"/>
      <c r="K267" s="10"/>
      <c r="N267" s="9"/>
    </row>
    <row r="268" spans="1:14" ht="15.75" x14ac:dyDescent="0.5">
      <c r="A268" s="399"/>
      <c r="B268" s="399"/>
      <c r="C268" s="19" t="s">
        <v>79</v>
      </c>
      <c r="D268" s="15"/>
      <c r="E268" s="38"/>
      <c r="F268" s="284" t="str">
        <f>IF(E268="","",IF(E268&gt;=1.6,0,IF(E268&lt;=1,1,ROUND('Reference Curves'!$I$74*E268^3+'Reference Curves'!$I$75*E268^2+'Reference Curves'!$I$76*E268+'Reference Curves'!$I$77,2))))</f>
        <v/>
      </c>
      <c r="G268" s="426"/>
      <c r="H268" s="415"/>
      <c r="I268" s="418"/>
      <c r="J268" s="451"/>
      <c r="K268" s="10"/>
      <c r="N268" s="9"/>
    </row>
    <row r="269" spans="1:14" ht="15.75" x14ac:dyDescent="0.5">
      <c r="A269" s="399"/>
      <c r="B269" s="399" t="s">
        <v>43</v>
      </c>
      <c r="C269" s="18" t="s">
        <v>201</v>
      </c>
      <c r="D269" s="46"/>
      <c r="E269" s="17"/>
      <c r="F269" s="214" t="str">
        <f>IF( E269="","",
IF( D246="Unconfined Alluvial", IF( E269&gt;=100,1,
ROUND('Reference Curves'!$I$82*E269+'Reference Curves'!$I$83,2) ),
IF( OR(D246="Confined Alluvial", D246="Colluvial/V-Shaped"), ( IF(E269&gt;=100,1,
IF(E269&gt;=60, ROUND('Reference Curves'!$J$82*E269+'Reference Curves'!$J$83,2), ROUND('Reference Curves'!$K$82*E269+'Reference Curves'!$K$83,2) ) ) ) ) ) )</f>
        <v/>
      </c>
      <c r="G269" s="414" t="str">
        <f>IFERROR(AVERAGE(F269:F272),"")</f>
        <v/>
      </c>
      <c r="H269" s="415"/>
      <c r="I269" s="418"/>
      <c r="J269" s="451"/>
      <c r="K269" s="10"/>
      <c r="N269" s="9"/>
    </row>
    <row r="270" spans="1:14" ht="15.75" x14ac:dyDescent="0.5">
      <c r="A270" s="399"/>
      <c r="B270" s="399"/>
      <c r="C270" s="18" t="s">
        <v>191</v>
      </c>
      <c r="D270" s="67"/>
      <c r="E270" s="79"/>
      <c r="F270" s="213" t="str">
        <f>IF( E270="","", IF(D247&lt;&gt;"Woody","FALSE", IF( OR(G246="Mountains",G246="Basins"),
IF(E270&lt;=0,0, IF(E270&gt;=122,1, IF(E270&lt;69, ROUND('Reference Curves'!$I$87*E270+'Reference Curves'!$I$88,2), ROUND('Reference Curves'!$J$87*E270+'Reference Curves'!$J$88,2) ) ) ),
IF(G246="Plains",IF(OR(E270&lt;=0,E270&gt;111),0,IF(AND(E270&gt;=69,E270&lt;=76),1,IF(E270&lt;69,ROUND(E270*'Reference Curves'!$I$92+'Reference Curves'!$I$93,2),ROUND(E270*'Reference Curves'!$J$92+'Reference Curves'!$J$93,2))))))))</f>
        <v/>
      </c>
      <c r="G270" s="415"/>
      <c r="H270" s="415"/>
      <c r="I270" s="418"/>
      <c r="J270" s="451"/>
      <c r="K270" s="10"/>
      <c r="N270" s="9"/>
    </row>
    <row r="271" spans="1:14" ht="15.75" x14ac:dyDescent="0.5">
      <c r="A271" s="399"/>
      <c r="B271" s="399"/>
      <c r="C271" s="18" t="s">
        <v>141</v>
      </c>
      <c r="D271" s="67"/>
      <c r="E271" s="79"/>
      <c r="F271" s="213" t="str">
        <f>IF(E271="","",IF(D247="Herbaceous",IF(E271&lt;=34,0,IF(E271&gt;=120,1,IF(E271&gt;73,ROUND(E271*'Reference Curves'!$J$98+'Reference Curves'!$J$99,2),ROUND(E271*'Reference Curves'!$I$98+'Reference Curves'!$I$99,2))))))</f>
        <v/>
      </c>
      <c r="G271" s="421"/>
      <c r="H271" s="415"/>
      <c r="I271" s="418"/>
      <c r="J271" s="451"/>
      <c r="K271" s="10"/>
      <c r="N271" s="9"/>
    </row>
    <row r="272" spans="1:14" ht="15.75" x14ac:dyDescent="0.5">
      <c r="A272" s="399"/>
      <c r="B272" s="399"/>
      <c r="C272" s="138" t="s">
        <v>192</v>
      </c>
      <c r="D272" s="158"/>
      <c r="E272" s="162"/>
      <c r="F272" s="283" t="str">
        <f>IF(E272="","",IF(E272&lt;=46,0,IF(E272&gt;=100,1,IF(AND(E272&lt;=100,E272&gt;91),ROUND(E272*'Reference Curves'!$J$103+'Reference Curves'!$J$104,2),ROUND(E272*'Reference Curves'!$I$103+'Reference Curves'!$I$104,2)))))</f>
        <v/>
      </c>
      <c r="G272" s="416"/>
      <c r="H272" s="416"/>
      <c r="I272" s="419"/>
      <c r="J272" s="451"/>
      <c r="K272" s="10"/>
      <c r="N272" s="9"/>
    </row>
    <row r="273" spans="1:14" ht="15.75" x14ac:dyDescent="0.5">
      <c r="A273" s="436" t="s">
        <v>47</v>
      </c>
      <c r="B273" s="441" t="s">
        <v>139</v>
      </c>
      <c r="C273" s="139" t="s">
        <v>193</v>
      </c>
      <c r="D273" s="160"/>
      <c r="E273" s="30"/>
      <c r="F273" s="215" t="str">
        <f>IF(E273="","",IF(G244="","Enter Stream Temperature",  IF(G244="CS-I (MWF)",IF(E273&gt;=21.2,0,1),  IF(G244="CS-I",IF(E273&gt;=21.7,0,1),  IF(G244="CS-II",IF(E273&gt;=23.9,0,1),  IF(G244="WS-I",IF(E273&gt;=29,0,1),  IF(G244="WS-II",IF(E273&gt;=28.6,0,1), IF(G244="WS-III",IF(E273&gt;=31.8,0,1)))))))))</f>
        <v/>
      </c>
      <c r="G273" s="422" t="str">
        <f>IFERROR(AVERAGE(F273:F274),"")</f>
        <v/>
      </c>
      <c r="H273" s="422" t="str">
        <f>IFERROR(ROUND(AVERAGE(G273:G276),2),"")</f>
        <v/>
      </c>
      <c r="I273" s="430" t="str">
        <f>IF(H273="","",IF(H273&gt;0.69,"Functioning",IF(H273&gt;0.29,"Functioning At Risk",IF(H273&gt;-1,"Not Functioning"))))</f>
        <v/>
      </c>
      <c r="J273" s="451"/>
      <c r="K273" s="10"/>
      <c r="N273" s="9"/>
    </row>
    <row r="274" spans="1:14" ht="15.75" x14ac:dyDescent="0.5">
      <c r="A274" s="436"/>
      <c r="B274" s="441"/>
      <c r="C274" s="140" t="s">
        <v>194</v>
      </c>
      <c r="D274" s="155"/>
      <c r="E274" s="35"/>
      <c r="F274" s="216" t="str">
        <f>IF(E274="","",IF(G244="","Enter Stream Temperature",  IF(G244="CS-I (MWF)",IF(E274&gt;=18.3,0,IF(E274&lt;=13.8,1,ROUND(E274*'Reference Curves'!$M$4+'Reference Curves'!$M$5,2))),  IF(G244="CS-I",IF(E274&gt;=17.6,0,IF(E274&lt;=15.7,1,ROUND(E274*'Reference Curves'!$N$4+'Reference Curves'!$N$5,2))),  IF(G244="CS-II",IF(E274&gt;=19.1,0,IF(E274&lt;=16.6,1,ROUND(E274*'Reference Curves'!$O$4+'Reference Curves'!$O$5,2))),  IF(G244="WS-I",IF(E274&gt;=25.7,0,IF(E274&lt;=20.9,1,ROUND(E274*'Reference Curves'!$P$4+'Reference Curves'!$P$5,2))),  IF(G244="WS-II",IF(E274&gt;=29.7,0,IF(E274&lt;=22.5,1,ROUND(E274*'Reference Curves'!$Q$4+'Reference Curves'!$Q$5,2))), IF(G244="WS-III",IF(E274&gt;=30,0,IF(E274&lt;=25.9,1,ROUND(E274*'Reference Curves'!$R$4+'Reference Curves'!$R$5,2)))    ))))))))</f>
        <v/>
      </c>
      <c r="G274" s="424"/>
      <c r="H274" s="423"/>
      <c r="I274" s="430"/>
      <c r="J274" s="451"/>
      <c r="K274" s="10"/>
      <c r="N274" s="9"/>
    </row>
    <row r="275" spans="1:14" ht="15.75" x14ac:dyDescent="0.5">
      <c r="A275" s="436"/>
      <c r="B275" s="192" t="s">
        <v>140</v>
      </c>
      <c r="C275" s="142" t="s">
        <v>195</v>
      </c>
      <c r="D275" s="156"/>
      <c r="E275" s="54"/>
      <c r="F275" s="216" t="str">
        <f>IF(E275="","",ROUND( IF(E275&lt;=6,0, IF(E275&gt;=10.31,1,E275*'Reference Curves'!$M$8+'Reference Curves'!$M$9)),2))</f>
        <v/>
      </c>
      <c r="G275" s="163" t="str">
        <f>IFERROR(AVERAGE(F275),"")</f>
        <v/>
      </c>
      <c r="H275" s="423"/>
      <c r="I275" s="430"/>
      <c r="J275" s="451"/>
      <c r="K275" s="10"/>
      <c r="N275" s="9"/>
    </row>
    <row r="276" spans="1:14" ht="15.75" x14ac:dyDescent="0.5">
      <c r="A276" s="436"/>
      <c r="B276" s="192" t="s">
        <v>196</v>
      </c>
      <c r="C276" s="143" t="s">
        <v>357</v>
      </c>
      <c r="D276" s="157"/>
      <c r="E276" s="54"/>
      <c r="F276" s="216" t="str">
        <f>IF(E276="","",IF(OR(G245=3),IF(E276&gt;=150,0,IF(E276&lt;=16,1,ROUND('Reference Curves'!$M$13*LN(E276)+'Reference Curves'!$M$14,2))), IF(OR(G245=1,G245=2),  IF(E276&gt;=97,0,IF(E276&lt;=12,1,ROUND('Reference Curves'!$N$13*LN(E276)+'Reference Curves'!$N$14,2))))))</f>
        <v/>
      </c>
      <c r="G276" s="163" t="str">
        <f>IFERROR(AVERAGE(F276),"")</f>
        <v/>
      </c>
      <c r="H276" s="424"/>
      <c r="I276" s="430"/>
      <c r="J276" s="451"/>
      <c r="K276" s="10"/>
      <c r="N276" s="9"/>
    </row>
    <row r="277" spans="1:14" ht="15.75" x14ac:dyDescent="0.5">
      <c r="A277" s="435" t="s">
        <v>48</v>
      </c>
      <c r="B277" s="191" t="s">
        <v>93</v>
      </c>
      <c r="C277" s="145" t="s">
        <v>197</v>
      </c>
      <c r="D277" s="28"/>
      <c r="E277" s="54"/>
      <c r="F277" s="217" t="str">
        <f>IF(E277="","",IF(G245="","Enter Biotype",IF(G245=1,IF(E277&lt;=0,0,IF(E277&gt;=57,1,ROUND(IF(E277&lt;=34,'Reference Curves'!$T$5*E277+'Reference Curves'!$T$6,  IF(E277&lt;=45, 'Reference Curves'!$U$5*E277+'Reference Curves'!$U$6,  'Reference Curves'!$V$5*E277+'Reference Curves'!$V$6)),2))),   IF(G245=2,IF(E277&lt;=0,0,IF(E277&gt;=63,1,ROUND(IF(E277&lt;=40,'Reference Curves'!$W$5*E277+'Reference Curves'!$W$6,  IF(E277&lt;=48,'Reference Curves'!$X$5*E277+'Reference Curves'!$X$6,  'Reference Curves'!$Y$5*E277+'Reference Curves'!$Y$6)),2))),   IF(OR(G245=3),IF(E277&lt;=0,0,IF(E277&gt;=52,1,ROUND(IF(E277&lt;=29,'Reference Curves'!$Z$5*E277+'Reference Curves'!$Z$6, IF(E277&lt;=42, 'Reference Curves'!$AA$5*E277+'Reference Curves'!$AA$6,  'Reference Curves'!$AB$5*E277+'Reference Curves'!$AB$6)),2))))))))</f>
        <v/>
      </c>
      <c r="G277" s="164" t="str">
        <f>IFERROR(AVERAGE(F277),"")</f>
        <v/>
      </c>
      <c r="H277" s="420" t="str">
        <f>IFERROR(ROUND(AVERAGE(G277:G280),2),"")</f>
        <v/>
      </c>
      <c r="I277" s="430" t="str">
        <f>IF(H277="","",IF(H277&gt;0.69,"Functioning",IF(H277&gt;0.29,"Functioning At Risk",IF(H277&gt;-1,"Not Functioning"))))</f>
        <v/>
      </c>
      <c r="J277" s="451"/>
      <c r="K277" s="10"/>
      <c r="N277" s="9"/>
    </row>
    <row r="278" spans="1:14" ht="15.75" x14ac:dyDescent="0.5">
      <c r="A278" s="435"/>
      <c r="B278" s="398" t="s">
        <v>51</v>
      </c>
      <c r="C278" s="146" t="s">
        <v>198</v>
      </c>
      <c r="D278" s="28"/>
      <c r="E278" s="30"/>
      <c r="F278" s="164" t="str">
        <f>IF(E278="","",IF(E278&lt;=0,0,IF(E278&gt;=100,1,ROUND(IF(E278&lt;80,E278*'Reference Curves'!$T$10+'Reference Curves'!$T$11,E278*'Reference Curves'!$U$10+'Reference Curves'!$U$11),2))))</f>
        <v/>
      </c>
      <c r="G278" s="427" t="str">
        <f>IFERROR(AVERAGE(F278:F280),"")</f>
        <v/>
      </c>
      <c r="H278" s="420"/>
      <c r="I278" s="430"/>
      <c r="J278" s="451"/>
      <c r="K278" s="10"/>
      <c r="N278" s="9"/>
    </row>
    <row r="279" spans="1:14" ht="15.75" x14ac:dyDescent="0.5">
      <c r="A279" s="435"/>
      <c r="B279" s="398"/>
      <c r="C279" s="147" t="s">
        <v>199</v>
      </c>
      <c r="D279" s="159"/>
      <c r="E279" s="34"/>
      <c r="F279" s="164" t="str">
        <f>IF(E279="","",ROUND(IF(E279&gt;=3,0,IF(E279&gt;=2,0.3,IF(E279&gt;=1,0.69,1))),2))</f>
        <v/>
      </c>
      <c r="G279" s="428"/>
      <c r="H279" s="420"/>
      <c r="I279" s="430"/>
      <c r="J279" s="451"/>
      <c r="K279" s="10"/>
      <c r="N279" s="9"/>
    </row>
    <row r="280" spans="1:14" ht="15.75" x14ac:dyDescent="0.5">
      <c r="A280" s="435"/>
      <c r="B280" s="398"/>
      <c r="C280" s="148" t="s">
        <v>200</v>
      </c>
      <c r="D280" s="161"/>
      <c r="E280" s="35"/>
      <c r="F280" s="218" t="str">
        <f>IF(E280="","",IF(G248="","Enter Stream Producitvity Rating",IF(G248="High",IF(E280&lt;5,0,IF(E280&gt;=40,1,ROUND(E280*'Reference Curves'!$T$15+'Reference Curves'!$T$16,2))),IF(G248="Moderate",IF(E280&lt;10,0,IF(E280&gt;=80,1,ROUND(E280*'Reference Curves'!$U$15+'Reference Curves'!$U$16,2))),IF(G248="Low",IF(E280&lt;15,0,IF(E280&gt;=119,1,ROUND(E280*'Reference Curves'!$V$15+'Reference Curves'!$V$16,2)))   )))))</f>
        <v/>
      </c>
      <c r="G280" s="429"/>
      <c r="H280" s="420"/>
      <c r="I280" s="430"/>
      <c r="J280" s="451"/>
      <c r="K280" s="10"/>
      <c r="N280" s="9"/>
    </row>
    <row r="281" spans="1:14" x14ac:dyDescent="0.45">
      <c r="J281" s="4"/>
      <c r="K281" s="10"/>
    </row>
    <row r="282" spans="1:14" x14ac:dyDescent="0.45">
      <c r="K282" s="10"/>
    </row>
    <row r="283" spans="1:14" ht="21" customHeight="1" x14ac:dyDescent="0.45">
      <c r="A283" s="408" t="s">
        <v>349</v>
      </c>
      <c r="B283" s="409"/>
      <c r="C283" s="409"/>
      <c r="D283" s="409"/>
      <c r="E283" s="409"/>
      <c r="F283" s="409"/>
      <c r="G283" s="409"/>
      <c r="H283" s="409"/>
      <c r="I283" s="409"/>
      <c r="J283" s="410"/>
    </row>
    <row r="284" spans="1:14" ht="16.149999999999999" customHeight="1" x14ac:dyDescent="0.45">
      <c r="A284" s="223" t="str">
        <f>'Existing Conditions'!A284</f>
        <v>Reach ID:</v>
      </c>
      <c r="B284" s="282">
        <f>'Existing Conditions'!B284</f>
        <v>0</v>
      </c>
      <c r="C284" s="223" t="str">
        <f>'Existing Conditions'!C284</f>
        <v>Stream Slope (%):</v>
      </c>
      <c r="D284" s="282">
        <f>'Existing Conditions'!D284</f>
        <v>0</v>
      </c>
      <c r="E284" s="449" t="s">
        <v>245</v>
      </c>
      <c r="F284" s="450"/>
      <c r="G284" s="224">
        <f>'Existing Conditions'!G284</f>
        <v>0</v>
      </c>
      <c r="H284" s="447" t="s">
        <v>121</v>
      </c>
      <c r="I284" s="448"/>
      <c r="J284" s="224">
        <f>'Existing Conditions'!J284</f>
        <v>0</v>
      </c>
    </row>
    <row r="285" spans="1:14" ht="16.149999999999999" customHeight="1" x14ac:dyDescent="0.45">
      <c r="A285" s="223" t="str">
        <f>'Existing Conditions'!A285</f>
        <v>Reference Stream Type:</v>
      </c>
      <c r="B285" s="282">
        <f>'Existing Conditions'!B285</f>
        <v>0</v>
      </c>
      <c r="C285" s="223" t="str">
        <f>'Existing Conditions'!C285</f>
        <v>Proposed Bankfull Width (ft):</v>
      </c>
      <c r="D285" s="282">
        <f>'Existing Conditions'!D285</f>
        <v>0</v>
      </c>
      <c r="E285" s="449" t="s">
        <v>247</v>
      </c>
      <c r="F285" s="450"/>
      <c r="G285" s="224">
        <f>'Existing Conditions'!G285</f>
        <v>0</v>
      </c>
      <c r="H285" s="447" t="s">
        <v>122</v>
      </c>
      <c r="I285" s="448"/>
      <c r="J285" s="224">
        <f>'Existing Conditions'!J285</f>
        <v>0</v>
      </c>
    </row>
    <row r="286" spans="1:14" ht="16.149999999999999" customHeight="1" x14ac:dyDescent="0.65">
      <c r="A286" s="223" t="str">
        <f>'Existing Conditions'!A286</f>
        <v>Flow Permanence:</v>
      </c>
      <c r="B286" s="282">
        <f>'Existing Conditions'!B286</f>
        <v>0</v>
      </c>
      <c r="C286" s="223" t="str">
        <f>'Existing Conditions'!C286</f>
        <v>Valley Type:</v>
      </c>
      <c r="D286" s="282">
        <f>'Existing Conditions'!D286</f>
        <v>0</v>
      </c>
      <c r="E286" s="449" t="s">
        <v>261</v>
      </c>
      <c r="F286" s="450"/>
      <c r="G286" s="224">
        <f>'Existing Conditions'!G286</f>
        <v>0</v>
      </c>
      <c r="H286" s="447" t="s">
        <v>123</v>
      </c>
      <c r="I286" s="448"/>
      <c r="J286" s="224">
        <f>'Existing Conditions'!J286</f>
        <v>0</v>
      </c>
      <c r="K286" s="26"/>
    </row>
    <row r="287" spans="1:14" ht="16.149999999999999" customHeight="1" x14ac:dyDescent="0.5">
      <c r="A287" s="223" t="str">
        <f>'Existing Conditions'!A287</f>
        <v>Strahler Stream Order:</v>
      </c>
      <c r="B287" s="282">
        <f>'Existing Conditions'!B287</f>
        <v>0</v>
      </c>
      <c r="C287" s="223" t="str">
        <f>'Existing Conditions'!C287</f>
        <v>Reference Vegetation Cover:</v>
      </c>
      <c r="D287" s="282">
        <f>'Existing Conditions'!D287</f>
        <v>0</v>
      </c>
      <c r="E287" s="445" t="s">
        <v>271</v>
      </c>
      <c r="F287" s="446"/>
      <c r="G287" s="224">
        <f>'Existing Conditions'!G287</f>
        <v>0</v>
      </c>
      <c r="H287" s="447" t="s">
        <v>124</v>
      </c>
      <c r="I287" s="448"/>
      <c r="J287" s="224">
        <f>'Existing Conditions'!J287</f>
        <v>0</v>
      </c>
      <c r="K287" s="39"/>
    </row>
    <row r="288" spans="1:14" ht="18" customHeight="1" x14ac:dyDescent="0.5">
      <c r="A288" s="223" t="str">
        <f>'Existing Conditions'!A288</f>
        <v>Outstanding Water:</v>
      </c>
      <c r="B288" s="282">
        <f>'Existing Conditions'!B288</f>
        <v>0</v>
      </c>
      <c r="C288" s="223" t="str">
        <f>'Existing Conditions'!C288</f>
        <v>Sediment Regime:</v>
      </c>
      <c r="D288" s="282">
        <f>'Existing Conditions'!D288</f>
        <v>0</v>
      </c>
      <c r="E288" s="449" t="s">
        <v>248</v>
      </c>
      <c r="F288" s="450"/>
      <c r="G288" s="224">
        <f>'Existing Conditions'!G288</f>
        <v>0</v>
      </c>
      <c r="H288" s="229"/>
      <c r="I288" s="229"/>
      <c r="J288" s="230"/>
      <c r="K288" s="39"/>
    </row>
    <row r="289" spans="1:14" ht="4.5" customHeight="1" x14ac:dyDescent="0.5">
      <c r="B289" s="58"/>
      <c r="C289" s="58"/>
      <c r="D289" s="58"/>
      <c r="E289" s="58"/>
      <c r="F289" s="58"/>
      <c r="G289" s="58"/>
      <c r="H289" s="58"/>
      <c r="I289" s="56"/>
      <c r="J289" s="10"/>
      <c r="K289" s="39"/>
    </row>
    <row r="290" spans="1:14" ht="19.899999999999999" customHeight="1" x14ac:dyDescent="0.65">
      <c r="A290" s="431" t="str">
        <f>_xlfn.CONCAT("PROPOSED CONDITION ASSESSMENT for Reach ",B284)</f>
        <v>PROPOSED CONDITION ASSESSMENT for Reach 0</v>
      </c>
      <c r="B290" s="431"/>
      <c r="C290" s="431"/>
      <c r="D290" s="431"/>
      <c r="E290" s="431"/>
      <c r="F290" s="431"/>
      <c r="G290" s="431" t="s">
        <v>13</v>
      </c>
      <c r="H290" s="431"/>
      <c r="I290" s="431"/>
      <c r="J290" s="431"/>
      <c r="K290" s="10"/>
    </row>
    <row r="291" spans="1:14" ht="15.75" x14ac:dyDescent="0.5">
      <c r="A291" s="32" t="s">
        <v>1</v>
      </c>
      <c r="B291" s="32" t="s">
        <v>2</v>
      </c>
      <c r="C291" s="432" t="s">
        <v>3</v>
      </c>
      <c r="D291" s="433"/>
      <c r="E291" s="32" t="s">
        <v>11</v>
      </c>
      <c r="F291" s="31" t="s">
        <v>12</v>
      </c>
      <c r="G291" s="32" t="s">
        <v>14</v>
      </c>
      <c r="H291" s="32" t="s">
        <v>15</v>
      </c>
      <c r="I291" s="57" t="s">
        <v>15</v>
      </c>
      <c r="J291" s="32" t="s">
        <v>160</v>
      </c>
      <c r="K291" s="10"/>
    </row>
    <row r="292" spans="1:14" ht="15.75" x14ac:dyDescent="0.5">
      <c r="A292" s="434" t="s">
        <v>173</v>
      </c>
      <c r="B292" s="437" t="s">
        <v>71</v>
      </c>
      <c r="C292" s="132" t="s">
        <v>138</v>
      </c>
      <c r="D292" s="149"/>
      <c r="E292" s="30"/>
      <c r="F292" s="202" t="str">
        <f>IF(E292="","",IF(E292&gt;78,0,IF(E292&lt;=55,1,ROUND(E292*'Reference Curves'!$B$3+'Reference Curves'!$B$4,2))))</f>
        <v/>
      </c>
      <c r="G292" s="411" t="str">
        <f>IFERROR(AVERAGE(F292:F293),"")</f>
        <v/>
      </c>
      <c r="H292" s="411" t="str">
        <f>IFERROR(ROUND(AVERAGE(G292:G298),2),"")</f>
        <v/>
      </c>
      <c r="I292" s="438" t="str">
        <f>IF(H292="","",IF(H292:H298&gt;0.69,"Functioning",IF(H292&gt;0.29,"Functioning At Risk",IF(H292&gt;-1,"Not Functioning"))))</f>
        <v/>
      </c>
      <c r="J292" s="451" t="str">
        <f>IF(AND(H292="",H299="",H313="",H317=""),"",ROUND((IF(H292="",0,H292)*0.3)+(IF(H299="",0,H299)*0.3)+(IF(H313="",0,H313)*0.2)+(IF(H317="",0,H317)*0.2),2))</f>
        <v/>
      </c>
      <c r="K292" s="10"/>
    </row>
    <row r="293" spans="1:14" ht="15.75" x14ac:dyDescent="0.5">
      <c r="A293" s="434"/>
      <c r="B293" s="437"/>
      <c r="C293" s="133" t="s">
        <v>184</v>
      </c>
      <c r="D293" s="150"/>
      <c r="E293" s="35"/>
      <c r="F293" s="203" t="str">
        <f>IF(E293="","",   IF(E293&gt;3.2,0, IF(E293&lt;0, "", ROUND('Reference Curves'!$B$8*E293+'Reference Curves'!$B$9,2))))</f>
        <v/>
      </c>
      <c r="G293" s="412"/>
      <c r="H293" s="412"/>
      <c r="I293" s="439"/>
      <c r="J293" s="451"/>
      <c r="K293" s="10"/>
    </row>
    <row r="294" spans="1:14" ht="15.75" x14ac:dyDescent="0.5">
      <c r="A294" s="434"/>
      <c r="B294" s="400" t="s">
        <v>185</v>
      </c>
      <c r="C294" s="134" t="s">
        <v>186</v>
      </c>
      <c r="D294" s="149"/>
      <c r="E294" s="34"/>
      <c r="F294" s="204" t="s">
        <v>285</v>
      </c>
      <c r="G294" s="411" t="str">
        <f>IFERROR(IF(AND(ISNUMBER(E294),E294&lt;1),0,AVERAGE(F294:F295)),"")</f>
        <v/>
      </c>
      <c r="H294" s="412"/>
      <c r="I294" s="439"/>
      <c r="J294" s="451"/>
      <c r="K294" s="10"/>
    </row>
    <row r="295" spans="1:14" ht="15.75" x14ac:dyDescent="0.5">
      <c r="A295" s="434"/>
      <c r="B295" s="401"/>
      <c r="C295" s="151" t="s">
        <v>187</v>
      </c>
      <c r="D295" s="152"/>
      <c r="E295" s="34"/>
      <c r="F295" s="205" t="str">
        <f>IF(E295="","",IF(G284= "CS-II", ROUND(IF(E295&lt;=0.6,0, IF(E295&gt;=2.3,1,E295*'Reference Curves'!$D$14+'Reference Curves'!$D$15)),2),IF(AND(D285&lt;20,LEFT(G284,2)="CS"), ROUND(IF(E295&lt;=0.2,0, IF(E295&gt;=1,1,E295*'Reference Curves'!$B$14+'Reference Curves'!$B$15)),2), IF(AND(D285&gt;=20,LEFT(G284,2)= "CS"), ROUND(IF(E295&lt;=0.4,0, IF(E295&gt;=1.5,1,E295*'Reference Curves'!$C$14+'Reference Curves'!$C$15)),2),"FALSE"))))</f>
        <v/>
      </c>
      <c r="G295" s="413"/>
      <c r="H295" s="412"/>
      <c r="I295" s="439"/>
      <c r="J295" s="451"/>
      <c r="K295" s="10"/>
    </row>
    <row r="296" spans="1:14" ht="15.75" x14ac:dyDescent="0.5">
      <c r="A296" s="434"/>
      <c r="B296" s="437" t="s">
        <v>4</v>
      </c>
      <c r="C296" s="133" t="s">
        <v>5</v>
      </c>
      <c r="D296" s="14"/>
      <c r="E296" s="30"/>
      <c r="F296" s="206" t="str">
        <f>IF( E296="","",
IF( E296&gt;1.71,0, IF( E296&gt;1, ROUND(E296*'Reference Curves'!C$20+'Reference Curves'!C$21,2),
IF( D288="Transport", ROUND(IF( E296&lt;0.35,0, E296*'Reference Curves'!$B$20+'Reference Curves'!$B$21 ),2), 1 ))))</f>
        <v/>
      </c>
      <c r="G296" s="411" t="str">
        <f>IFERROR(AVERAGE(F296:F298),"")</f>
        <v/>
      </c>
      <c r="H296" s="412"/>
      <c r="I296" s="439"/>
      <c r="J296" s="451"/>
      <c r="K296" s="10"/>
      <c r="N296" s="9"/>
    </row>
    <row r="297" spans="1:14" ht="15.75" x14ac:dyDescent="0.5">
      <c r="A297" s="434"/>
      <c r="B297" s="437"/>
      <c r="C297" s="133" t="s">
        <v>6</v>
      </c>
      <c r="D297" s="14"/>
      <c r="E297" s="34"/>
      <c r="F297" s="205" t="str">
        <f>IF(E297="","",IF(OR(LEFT(B285,1)="A",LEFT(B285,1)="B"),IF(E297&lt;1.05,0,IF(E297&gt;=2.2,1,ROUND(IF(E297&lt;1.4,E297*'Reference Curves'!$B$40+'Reference Curves'!$B$41,E297*'Reference Curves'!$C$40+'Reference Curves'!$C$41),2))), IF(B285="C",IF(E297&lt;1.7,0,IF(E297&gt;=4.2,1,ROUND(IF(E297&lt;2.4,E297*'Reference Curves'!$C$25+'Reference Curves'!$C$26,E297*'Reference Curves'!$B$25+'Reference Curves'!$B$26),2))),                                                                                                                                                                                                                    IF(B285="Cb",IF(E297&lt;1.7,0,IF(E297&gt;=3.9,1,ROUND(IF(E297&lt;2.4,E297*'Reference Curves'!$C$30+'Reference Curves'!$C$31,E297*'Reference Curves'!$B$30+'Reference Curves'!$B$31),2))),
IF(LEFT(B285,1)="E",IF(E297&lt;1.7,0,IF(E297&gt;=6.7,1,ROUND(IF(E297&lt;2.4,E297*'Reference Curves'!$C$35+'Reference Curves'!$C$36,E297*'Reference Curves'!$B$35+'Reference Curves'!$B$36),2))))))))</f>
        <v/>
      </c>
      <c r="G297" s="412"/>
      <c r="H297" s="412"/>
      <c r="I297" s="439"/>
      <c r="J297" s="451"/>
      <c r="K297" s="10"/>
      <c r="N297" s="9"/>
    </row>
    <row r="298" spans="1:14" ht="15.75" customHeight="1" x14ac:dyDescent="0.5">
      <c r="A298" s="434"/>
      <c r="B298" s="437"/>
      <c r="C298" s="135" t="s">
        <v>188</v>
      </c>
      <c r="D298" s="14"/>
      <c r="E298" s="35"/>
      <c r="F298" s="207" t="str">
        <f>IF(E298="","",IF(D286="Unconfined Alluvial",IF(E298&lt;=0,0, IF(E298&gt;=100,1, ROUND(IF(E298&lt;10,E298*'Reference Curves'!$B$46+'Reference Curves'!$B$47, IF(E298&lt;50,E298*'Reference Curves'!$C$46+'Reference Curves'!$C$47,E298*'Reference Curves'!$D$46+'Reference Curves'!$D$47)),2))), IF(D286="Confined Alluvial",IF(E298&lt;=0,0,IF(E298&gt;=50,1,ROUND(IF(E298&lt;5,E298*'Reference Curves'!$E$46+'Reference Curves'!$E$47,IF(E298&lt;25,E298*'Reference Curves'!$F$46+'Reference Curves'!$F$47,E298*'Reference Curves'!$G$46+'Reference Curves'!$G$47)),2))))))</f>
        <v/>
      </c>
      <c r="G298" s="413"/>
      <c r="H298" s="413"/>
      <c r="I298" s="440"/>
      <c r="J298" s="451"/>
      <c r="K298" s="10"/>
      <c r="N298" s="9"/>
    </row>
    <row r="299" spans="1:14" ht="15.75" x14ac:dyDescent="0.5">
      <c r="A299" s="399" t="s">
        <v>20</v>
      </c>
      <c r="B299" s="399" t="s">
        <v>21</v>
      </c>
      <c r="C299" s="16" t="s">
        <v>19</v>
      </c>
      <c r="D299" s="46"/>
      <c r="E299" s="30"/>
      <c r="F299" s="208" t="str">
        <f>IF(E299="","",IF(E299&gt;=660,1,IF(E299&lt;=430,ROUND('Reference Curves'!$I$4*E299+'Reference Curves'!$I$5,2),ROUND('Reference Curves'!$J$4*E299+'Reference Curves'!$J$5,2))))</f>
        <v/>
      </c>
      <c r="G299" s="414" t="str">
        <f>IFERROR(AVERAGE(F299:F300),"")</f>
        <v/>
      </c>
      <c r="H299" s="414" t="str">
        <f>IFERROR(ROUND(AVERAGE(G299:G312),2),"")</f>
        <v/>
      </c>
      <c r="I299" s="417" t="str">
        <f>IF(H299="","",IF(H299&gt;0.69,"Functioning",IF(H299&gt;0.29,"Functioning At Risk",IF(H299&gt;-1,"Not Functioning"))))</f>
        <v/>
      </c>
      <c r="J299" s="451"/>
      <c r="K299" s="10"/>
      <c r="N299" s="9"/>
    </row>
    <row r="300" spans="1:14" ht="15.75" x14ac:dyDescent="0.5">
      <c r="A300" s="399"/>
      <c r="B300" s="399"/>
      <c r="C300" s="18" t="s">
        <v>189</v>
      </c>
      <c r="D300" s="47"/>
      <c r="E300" s="35"/>
      <c r="F300" s="209" t="str">
        <f>IF(E300="","",IF(E300&gt;=28,1,ROUND(IF(E300&lt;=13,'Reference Curves'!$I$9*E300,'Reference Curves'!$J$9*E300+'Reference Curves'!$J$10),2)))</f>
        <v/>
      </c>
      <c r="G300" s="416"/>
      <c r="H300" s="415"/>
      <c r="I300" s="418"/>
      <c r="J300" s="451"/>
      <c r="K300" s="10"/>
      <c r="N300" s="9"/>
    </row>
    <row r="301" spans="1:14" ht="15.75" x14ac:dyDescent="0.5">
      <c r="A301" s="399"/>
      <c r="B301" s="399" t="s">
        <v>114</v>
      </c>
      <c r="C301" s="16" t="s">
        <v>190</v>
      </c>
      <c r="D301" s="46"/>
      <c r="E301" s="78"/>
      <c r="F301" s="208" t="str">
        <f>IF(E301="","",ROUND(IF(E301&lt;=2,0,IF(E301&gt;=9,1, IF(E301&gt;=5,E301^2*'Reference Curves'!$I$14+E301*'Reference Curves'!$I$15+'Reference Curves'!$I$16, E301*'Reference Curves'!$J$15+'Reference Curves'!$J$16))),2))</f>
        <v/>
      </c>
      <c r="G301" s="414" t="str">
        <f>IFERROR(IF(E304&gt;=50,0,AVERAGE(F301:F304)),"")</f>
        <v/>
      </c>
      <c r="H301" s="415"/>
      <c r="I301" s="418"/>
      <c r="J301" s="451"/>
      <c r="K301" s="10"/>
      <c r="N301" s="9"/>
    </row>
    <row r="302" spans="1:14" ht="15.75" x14ac:dyDescent="0.5">
      <c r="A302" s="399"/>
      <c r="B302" s="399"/>
      <c r="C302" s="18" t="s">
        <v>42</v>
      </c>
      <c r="D302" s="67"/>
      <c r="E302" s="78"/>
      <c r="F302" s="210" t="str">
        <f>IF(E302="","",IF(OR(E302="Ex/Ex",E302="Ex/VH",E302="Ex/H",E302="Ex/M",E302="VH/Ex",E302="VH/VH", E302="H/Ex",E302="H/VH"),0, IF(OR(E302="M/Ex"),0.1,IF(OR(E302="VH/H",E302="VH/M",E302="H/H",E302="H/M", E302="M/VH"),0.2, IF(OR(E302="Ex/VL",E302="Ex/L", E302="M/H"),0.3, IF(OR(E302="VH/L",E302="H/L"),0.4, IF(OR(E302="VH/VL",E302="H/VL",E302="M/M"),0.5, IF(OR(E302="M/L",E302="L/Ex"),0.6, IF(OR(E302="M/VL",E302="L/VH", E302="L/H",E302="L/M",E302="L/L",E302="L/VL", LEFT(E302,2)="VL"),1)))))))))</f>
        <v/>
      </c>
      <c r="G302" s="415"/>
      <c r="H302" s="415"/>
      <c r="I302" s="418"/>
      <c r="J302" s="451"/>
      <c r="K302" s="10"/>
      <c r="N302" s="9"/>
    </row>
    <row r="303" spans="1:14" ht="15.75" x14ac:dyDescent="0.5">
      <c r="A303" s="399"/>
      <c r="B303" s="399"/>
      <c r="C303" s="136" t="s">
        <v>54</v>
      </c>
      <c r="D303" s="67"/>
      <c r="E303" s="78"/>
      <c r="F303" s="210" t="str">
        <f>IF(E303="","",ROUND(IF(E303&gt;=75,0,IF(E303&lt;=5,1,IF(E303&gt;10,E303*'Reference Curves'!I$20+'Reference Curves'!I$21,'Reference Curves'!$J$20*E303+'Reference Curves'!$J$21))),2))</f>
        <v/>
      </c>
      <c r="G303" s="421"/>
      <c r="H303" s="415"/>
      <c r="I303" s="418"/>
      <c r="J303" s="451"/>
      <c r="K303" s="10"/>
      <c r="N303" s="9"/>
    </row>
    <row r="304" spans="1:14" ht="15.75" x14ac:dyDescent="0.5">
      <c r="A304" s="399"/>
      <c r="B304" s="399"/>
      <c r="C304" s="137" t="s">
        <v>113</v>
      </c>
      <c r="D304" s="154"/>
      <c r="E304" s="153"/>
      <c r="F304" s="211" t="str">
        <f>IF(E304="","",IF(E304&gt;=30,0,ROUND(E304*'Reference Curves'!$I$24+'Reference Curves'!$I$25,2)))</f>
        <v/>
      </c>
      <c r="G304" s="416"/>
      <c r="H304" s="415"/>
      <c r="I304" s="418"/>
      <c r="J304" s="451"/>
      <c r="K304" s="10"/>
      <c r="N304" s="9"/>
    </row>
    <row r="305" spans="1:14" ht="15.75" x14ac:dyDescent="0.5">
      <c r="A305" s="399"/>
      <c r="B305" s="399" t="s">
        <v>44</v>
      </c>
      <c r="C305" s="16" t="s">
        <v>45</v>
      </c>
      <c r="D305" s="20"/>
      <c r="E305" s="37"/>
      <c r="F305" s="212" t="str">
        <f>IF(E305="","",IF(B285="Bc",IF(OR(E305&gt;=12,E305&lt;=0.1),0,IF(E305&lt;=3.4,1,ROUND('Reference Curves'!$I$33*E305+'Reference Curves'!$I$34,2))),
IF(OR(B285="B",B285="Ba"),IF(OR(E305&gt;=7.5,E305&lt;=0.1),0,IF(E305&lt;=3,1,ROUND(IF(E305&gt;4,'Reference Curves'!$I$29*E305+'Reference Curves'!$I$30,'Reference Curves'!$J$29*E305+'Reference Curves'!$J$30),2))),
IF(B285="Cb",IF(OR(E305&gt;=8.35,E305&lt;1.4),0,IF(AND(E305&gt;=3.7,E305&lt;=5),1,ROUND(IF(E305&lt;3.7,'Reference Curves'!$I$49*E305+'Reference Curves'!$I$50,'Reference Curves'!$J$49*E305+'Reference Curves'!$J$50),2))),
IF(B285="C",IF(OR(E305&gt;=9.3,E305&lt;=3),0,IF(AND(E305&gt;=4,E305&lt;=6),1,ROUND(IF(E305&lt;4,'Reference Curves'!$I$44*E305+'Reference Curves'!$I$45,'Reference Curves'!$J$44*E305+'Reference Curves'!$J$45),2))),
IF(B285="E",IF(OR(E305&gt;=8.3,E305&lt;1.85),0,IF(AND(E305&gt;=3.5,E305&lt;=5),1,ROUND(IF(E305&lt;3.5,'Reference Curves'!$I$38*E305+'Reference Curves'!$I$39,'Reference Curves'!$J$38*E305+'Reference Curves'!$J$39),2)))      ))))))</f>
        <v/>
      </c>
      <c r="G305" s="425" t="str">
        <f>IFERROR(AVERAGE(F305:F308),"")</f>
        <v/>
      </c>
      <c r="H305" s="415"/>
      <c r="I305" s="418"/>
      <c r="J305" s="451"/>
      <c r="K305" s="10"/>
      <c r="N305" s="9"/>
    </row>
    <row r="306" spans="1:14" ht="15.75" x14ac:dyDescent="0.5">
      <c r="A306" s="399"/>
      <c r="B306" s="399"/>
      <c r="C306" s="18" t="s">
        <v>46</v>
      </c>
      <c r="D306" s="15"/>
      <c r="E306" s="36"/>
      <c r="F306" s="213" t="str">
        <f>IF(E306="","",IF(E306&lt;=1,0,IF(E306&gt;=3.2,1,IF(E306&gt;=2.2,ROUND('Reference Curves'!$J$54*E306+'Reference Curves'!$J$55,2),(ROUND('Reference Curves'!$I$54*E306+'Reference Curves'!$I$55,2))))))</f>
        <v/>
      </c>
      <c r="G306" s="421"/>
      <c r="H306" s="415"/>
      <c r="I306" s="418"/>
      <c r="J306" s="451"/>
      <c r="K306" s="10"/>
      <c r="N306" s="9"/>
    </row>
    <row r="307" spans="1:14" ht="15.75" customHeight="1" x14ac:dyDescent="0.5">
      <c r="A307" s="399"/>
      <c r="B307" s="399"/>
      <c r="C307" s="18" t="s">
        <v>92</v>
      </c>
      <c r="D307" s="15"/>
      <c r="E307" s="36"/>
      <c r="F307" s="283" t="str">
        <f>IF(E307="","", IF(D284="","FALSE",IF(D284&lt; 3,IF( OR(E307&gt;=91,E307&lt;=13.5),0, IF(AND(E307&gt;49,E307&lt;61), 1, ROUND(IF(E307&lt;50,'Reference Curves'!$I$60*E307+'Reference Curves'!$I$61, IF(E307&gt;60,'Reference Curves'!$J$60*E307+'Reference Curves'!$J$61)),2))), IF(D284&gt;=3,IF(OR(E307&gt;94.5,E307&lt;41.5),0, IF(AND(E307 &gt;=68, E307&lt;=78),1, ROUND(IF(E307&lt;68,'Reference Curves'!$I$65*E307+'Reference Curves'!$I$66,'Reference Curves'!$J$65*E307+'Reference Curves'!$J$66),2) ))))))</f>
        <v/>
      </c>
      <c r="G307" s="421"/>
      <c r="H307" s="415"/>
      <c r="I307" s="418"/>
      <c r="J307" s="451"/>
      <c r="K307" s="10"/>
      <c r="N307" s="9"/>
    </row>
    <row r="308" spans="1:14" ht="15.75" x14ac:dyDescent="0.5">
      <c r="A308" s="399"/>
      <c r="B308" s="399"/>
      <c r="C308" s="19" t="s">
        <v>79</v>
      </c>
      <c r="D308" s="15"/>
      <c r="E308" s="38"/>
      <c r="F308" s="284" t="str">
        <f>IF(E308="","",IF(E308&gt;=1.6,0,IF(E308&lt;=1,1,ROUND('Reference Curves'!$I$74*E308^3+'Reference Curves'!$I$75*E308^2+'Reference Curves'!$I$76*E308+'Reference Curves'!$I$77,2))))</f>
        <v/>
      </c>
      <c r="G308" s="426"/>
      <c r="H308" s="415"/>
      <c r="I308" s="418"/>
      <c r="J308" s="451"/>
      <c r="K308" s="10"/>
      <c r="N308" s="9"/>
    </row>
    <row r="309" spans="1:14" ht="15.75" x14ac:dyDescent="0.5">
      <c r="A309" s="399"/>
      <c r="B309" s="399" t="s">
        <v>43</v>
      </c>
      <c r="C309" s="18" t="s">
        <v>201</v>
      </c>
      <c r="D309" s="46"/>
      <c r="E309" s="17"/>
      <c r="F309" s="214" t="str">
        <f>IF( E309="","",
IF( D286="Unconfined Alluvial", IF( E309&gt;=100,1,
ROUND('Reference Curves'!$I$82*E309+'Reference Curves'!$I$83,2) ),
IF( OR(D286="Confined Alluvial", D286="Colluvial/V-Shaped"), ( IF(E309&gt;=100,1,
IF(E309&gt;=60, ROUND('Reference Curves'!$J$82*E309+'Reference Curves'!$J$83,2), ROUND('Reference Curves'!$K$82*E309+'Reference Curves'!$K$83,2) ) ) ) ) ) )</f>
        <v/>
      </c>
      <c r="G309" s="414" t="str">
        <f>IFERROR(AVERAGE(F309:F312),"")</f>
        <v/>
      </c>
      <c r="H309" s="415"/>
      <c r="I309" s="418"/>
      <c r="J309" s="451"/>
      <c r="K309" s="10"/>
      <c r="N309" s="9"/>
    </row>
    <row r="310" spans="1:14" ht="15.75" x14ac:dyDescent="0.5">
      <c r="A310" s="399"/>
      <c r="B310" s="399"/>
      <c r="C310" s="18" t="s">
        <v>191</v>
      </c>
      <c r="D310" s="67"/>
      <c r="E310" s="79"/>
      <c r="F310" s="213" t="str">
        <f>IF( E310="","", IF(D287&lt;&gt;"Woody","FALSE", IF( OR(G286="Mountains",G286="Basins"),
IF(E310&lt;=0,0, IF(E310&gt;=122,1, IF(E310&lt;69, ROUND('Reference Curves'!$I$87*E310+'Reference Curves'!$I$88,2), ROUND('Reference Curves'!$J$87*E310+'Reference Curves'!$J$88,2) ) ) ),
IF(G286="Plains",IF(OR(E310&lt;=0,E310&gt;111),0,IF(AND(E310&gt;=69,E310&lt;=76),1,IF(E310&lt;69,ROUND(E310*'Reference Curves'!$I$92+'Reference Curves'!$I$93,2),ROUND(E310*'Reference Curves'!$J$92+'Reference Curves'!$J$93,2))))))))</f>
        <v/>
      </c>
      <c r="G310" s="415"/>
      <c r="H310" s="415"/>
      <c r="I310" s="418"/>
      <c r="J310" s="451"/>
      <c r="K310" s="10"/>
      <c r="N310" s="9"/>
    </row>
    <row r="311" spans="1:14" ht="15.75" x14ac:dyDescent="0.5">
      <c r="A311" s="399"/>
      <c r="B311" s="399"/>
      <c r="C311" s="18" t="s">
        <v>141</v>
      </c>
      <c r="D311" s="67"/>
      <c r="E311" s="79"/>
      <c r="F311" s="213" t="str">
        <f>IF(E311="","",IF(D287="Herbaceous",IF(E311&lt;=34,0,IF(E311&gt;=120,1,IF(E311&gt;73,ROUND(E311*'Reference Curves'!$J$98+'Reference Curves'!$J$99,2),ROUND(E311*'Reference Curves'!$I$98+'Reference Curves'!$I$99,2))))))</f>
        <v/>
      </c>
      <c r="G311" s="421"/>
      <c r="H311" s="415"/>
      <c r="I311" s="418"/>
      <c r="J311" s="451"/>
      <c r="K311" s="10"/>
      <c r="N311" s="9"/>
    </row>
    <row r="312" spans="1:14" ht="15.75" x14ac:dyDescent="0.5">
      <c r="A312" s="399"/>
      <c r="B312" s="399"/>
      <c r="C312" s="138" t="s">
        <v>192</v>
      </c>
      <c r="D312" s="158"/>
      <c r="E312" s="162"/>
      <c r="F312" s="283" t="str">
        <f>IF(E312="","",IF(E312&lt;=46,0,IF(E312&gt;=100,1,IF(AND(E312&lt;=100,E312&gt;91),ROUND(E312*'Reference Curves'!$J$103+'Reference Curves'!$J$104,2),ROUND(E312*'Reference Curves'!$I$103+'Reference Curves'!$I$104,2)))))</f>
        <v/>
      </c>
      <c r="G312" s="416"/>
      <c r="H312" s="416"/>
      <c r="I312" s="419"/>
      <c r="J312" s="451"/>
      <c r="K312" s="10"/>
      <c r="N312" s="9"/>
    </row>
    <row r="313" spans="1:14" ht="15.75" x14ac:dyDescent="0.5">
      <c r="A313" s="436" t="s">
        <v>47</v>
      </c>
      <c r="B313" s="441" t="s">
        <v>139</v>
      </c>
      <c r="C313" s="139" t="s">
        <v>193</v>
      </c>
      <c r="D313" s="160"/>
      <c r="E313" s="30"/>
      <c r="F313" s="215" t="str">
        <f>IF(E313="","",IF(G284="","Enter Stream Temperature",  IF(G284="CS-I (MWF)",IF(E313&gt;=21.2,0,1),  IF(G284="CS-I",IF(E313&gt;=21.7,0,1),  IF(G284="CS-II",IF(E313&gt;=23.9,0,1),  IF(G284="WS-I",IF(E313&gt;=29,0,1),  IF(G284="WS-II",IF(E313&gt;=28.6,0,1), IF(G284="WS-III",IF(E313&gt;=31.8,0,1)))))))))</f>
        <v/>
      </c>
      <c r="G313" s="422" t="str">
        <f>IFERROR(AVERAGE(F313:F314),"")</f>
        <v/>
      </c>
      <c r="H313" s="422" t="str">
        <f>IFERROR(ROUND(AVERAGE(G313:G316),2),"")</f>
        <v/>
      </c>
      <c r="I313" s="430" t="str">
        <f>IF(H313="","",IF(H313&gt;0.69,"Functioning",IF(H313&gt;0.29,"Functioning At Risk",IF(H313&gt;-1,"Not Functioning"))))</f>
        <v/>
      </c>
      <c r="J313" s="451"/>
      <c r="K313" s="10"/>
      <c r="N313" s="9"/>
    </row>
    <row r="314" spans="1:14" ht="15.75" x14ac:dyDescent="0.5">
      <c r="A314" s="436"/>
      <c r="B314" s="441"/>
      <c r="C314" s="140" t="s">
        <v>194</v>
      </c>
      <c r="D314" s="155"/>
      <c r="E314" s="35"/>
      <c r="F314" s="216" t="str">
        <f>IF(E314="","",IF(G284="","Enter Stream Temperature",  IF(G284="CS-I (MWF)",IF(E314&gt;=18.3,0,IF(E314&lt;=13.8,1,ROUND(E314*'Reference Curves'!$M$4+'Reference Curves'!$M$5,2))),  IF(G284="CS-I",IF(E314&gt;=17.6,0,IF(E314&lt;=15.7,1,ROUND(E314*'Reference Curves'!$N$4+'Reference Curves'!$N$5,2))),  IF(G284="CS-II",IF(E314&gt;=19.1,0,IF(E314&lt;=16.6,1,ROUND(E314*'Reference Curves'!$O$4+'Reference Curves'!$O$5,2))),  IF(G284="WS-I",IF(E314&gt;=25.7,0,IF(E314&lt;=20.9,1,ROUND(E314*'Reference Curves'!$P$4+'Reference Curves'!$P$5,2))),  IF(G284="WS-II",IF(E314&gt;=29.7,0,IF(E314&lt;=22.5,1,ROUND(E314*'Reference Curves'!$Q$4+'Reference Curves'!$Q$5,2))), IF(G284="WS-III",IF(E314&gt;=30,0,IF(E314&lt;=25.9,1,ROUND(E314*'Reference Curves'!$R$4+'Reference Curves'!$R$5,2)))    ))))))))</f>
        <v/>
      </c>
      <c r="G314" s="424"/>
      <c r="H314" s="423"/>
      <c r="I314" s="430"/>
      <c r="J314" s="451"/>
      <c r="K314" s="10"/>
      <c r="N314" s="9"/>
    </row>
    <row r="315" spans="1:14" ht="15.75" x14ac:dyDescent="0.5">
      <c r="A315" s="436"/>
      <c r="B315" s="192" t="s">
        <v>140</v>
      </c>
      <c r="C315" s="142" t="s">
        <v>195</v>
      </c>
      <c r="D315" s="156"/>
      <c r="E315" s="54"/>
      <c r="F315" s="216" t="str">
        <f>IF(E315="","",ROUND( IF(E315&lt;=6,0, IF(E315&gt;=10.31,1,E315*'Reference Curves'!$M$8+'Reference Curves'!$M$9)),2))</f>
        <v/>
      </c>
      <c r="G315" s="163" t="str">
        <f>IFERROR(AVERAGE(F315),"")</f>
        <v/>
      </c>
      <c r="H315" s="423"/>
      <c r="I315" s="430"/>
      <c r="J315" s="451"/>
      <c r="K315" s="10"/>
      <c r="N315" s="9"/>
    </row>
    <row r="316" spans="1:14" ht="15.75" x14ac:dyDescent="0.5">
      <c r="A316" s="436"/>
      <c r="B316" s="192" t="s">
        <v>196</v>
      </c>
      <c r="C316" s="143" t="s">
        <v>357</v>
      </c>
      <c r="D316" s="157"/>
      <c r="E316" s="54"/>
      <c r="F316" s="216" t="str">
        <f>IF(E316="","",IF(OR(G285=3),IF(E316&gt;=150,0,IF(E316&lt;=16,1,ROUND('Reference Curves'!$M$13*LN(E316)+'Reference Curves'!$M$14,2))), IF(OR(G285=1,G285=2),  IF(E316&gt;=97,0,IF(E316&lt;=12,1,ROUND('Reference Curves'!$N$13*LN(E316)+'Reference Curves'!$N$14,2))))))</f>
        <v/>
      </c>
      <c r="G316" s="163" t="str">
        <f>IFERROR(AVERAGE(F316),"")</f>
        <v/>
      </c>
      <c r="H316" s="424"/>
      <c r="I316" s="430"/>
      <c r="J316" s="451"/>
      <c r="K316" s="10"/>
      <c r="N316" s="9"/>
    </row>
    <row r="317" spans="1:14" ht="15.75" x14ac:dyDescent="0.5">
      <c r="A317" s="435" t="s">
        <v>48</v>
      </c>
      <c r="B317" s="191" t="s">
        <v>93</v>
      </c>
      <c r="C317" s="145" t="s">
        <v>197</v>
      </c>
      <c r="D317" s="28"/>
      <c r="E317" s="54"/>
      <c r="F317" s="217" t="str">
        <f>IF(E317="","",IF(G285="","Enter Biotype",IF(G285=1,IF(E317&lt;=0,0,IF(E317&gt;=57,1,ROUND(IF(E317&lt;=34,'Reference Curves'!$T$5*E317+'Reference Curves'!$T$6,  IF(E317&lt;=45, 'Reference Curves'!$U$5*E317+'Reference Curves'!$U$6,  'Reference Curves'!$V$5*E317+'Reference Curves'!$V$6)),2))),   IF(G285=2,IF(E317&lt;=0,0,IF(E317&gt;=63,1,ROUND(IF(E317&lt;=40,'Reference Curves'!$W$5*E317+'Reference Curves'!$W$6,  IF(E317&lt;=48,'Reference Curves'!$X$5*E317+'Reference Curves'!$X$6,  'Reference Curves'!$Y$5*E317+'Reference Curves'!$Y$6)),2))),   IF(OR(G285=3),IF(E317&lt;=0,0,IF(E317&gt;=52,1,ROUND(IF(E317&lt;=29,'Reference Curves'!$Z$5*E317+'Reference Curves'!$Z$6, IF(E317&lt;=42, 'Reference Curves'!$AA$5*E317+'Reference Curves'!$AA$6,  'Reference Curves'!$AB$5*E317+'Reference Curves'!$AB$6)),2))))))))</f>
        <v/>
      </c>
      <c r="G317" s="164" t="str">
        <f>IFERROR(AVERAGE(F317),"")</f>
        <v/>
      </c>
      <c r="H317" s="420" t="str">
        <f>IFERROR(ROUND(AVERAGE(G317:G320),2),"")</f>
        <v/>
      </c>
      <c r="I317" s="430" t="str">
        <f>IF(H317="","",IF(H317&gt;0.69,"Functioning",IF(H317&gt;0.29,"Functioning At Risk",IF(H317&gt;-1,"Not Functioning"))))</f>
        <v/>
      </c>
      <c r="J317" s="451"/>
      <c r="K317" s="10"/>
      <c r="N317" s="9"/>
    </row>
    <row r="318" spans="1:14" ht="15.75" x14ac:dyDescent="0.5">
      <c r="A318" s="435"/>
      <c r="B318" s="398" t="s">
        <v>51</v>
      </c>
      <c r="C318" s="146" t="s">
        <v>198</v>
      </c>
      <c r="D318" s="28"/>
      <c r="E318" s="30"/>
      <c r="F318" s="164" t="str">
        <f>IF(E318="","",IF(E318&lt;=0,0,IF(E318&gt;=100,1,ROUND(IF(E318&lt;80,E318*'Reference Curves'!$T$10+'Reference Curves'!$T$11,E318*'Reference Curves'!$U$10+'Reference Curves'!$U$11),2))))</f>
        <v/>
      </c>
      <c r="G318" s="427" t="str">
        <f>IFERROR(AVERAGE(F318:F320),"")</f>
        <v/>
      </c>
      <c r="H318" s="420"/>
      <c r="I318" s="430"/>
      <c r="J318" s="451"/>
      <c r="K318" s="10"/>
      <c r="N318" s="9"/>
    </row>
    <row r="319" spans="1:14" ht="15.75" x14ac:dyDescent="0.5">
      <c r="A319" s="435"/>
      <c r="B319" s="398"/>
      <c r="C319" s="147" t="s">
        <v>199</v>
      </c>
      <c r="D319" s="159"/>
      <c r="E319" s="34"/>
      <c r="F319" s="164" t="str">
        <f>IF(E319="","",ROUND(IF(E319&gt;=3,0,IF(E319&gt;=2,0.3,IF(E319&gt;=1,0.69,1))),2))</f>
        <v/>
      </c>
      <c r="G319" s="428"/>
      <c r="H319" s="420"/>
      <c r="I319" s="430"/>
      <c r="J319" s="451"/>
      <c r="K319" s="10"/>
      <c r="N319" s="9"/>
    </row>
    <row r="320" spans="1:14" ht="15.75" x14ac:dyDescent="0.5">
      <c r="A320" s="435"/>
      <c r="B320" s="398"/>
      <c r="C320" s="148" t="s">
        <v>200</v>
      </c>
      <c r="D320" s="161"/>
      <c r="E320" s="35"/>
      <c r="F320" s="218" t="str">
        <f>IF(E320="","",IF(G288="","Enter Stream Producitvity Rating",IF(G288="High",IF(E320&lt;5,0,IF(E320&gt;=40,1,ROUND(E320*'Reference Curves'!$T$15+'Reference Curves'!$T$16,2))),IF(G288="Moderate",IF(E320&lt;10,0,IF(E320&gt;=80,1,ROUND(E320*'Reference Curves'!$U$15+'Reference Curves'!$U$16,2))),IF(G288="Low",IF(E320&lt;15,0,IF(E320&gt;=119,1,ROUND(E320*'Reference Curves'!$V$15+'Reference Curves'!$V$16,2)))   )))))</f>
        <v/>
      </c>
      <c r="G320" s="429"/>
      <c r="H320" s="420"/>
      <c r="I320" s="430"/>
      <c r="J320" s="451"/>
      <c r="K320" s="10"/>
      <c r="N320" s="9"/>
    </row>
    <row r="321" spans="1:14" x14ac:dyDescent="0.45">
      <c r="J321" s="4"/>
      <c r="K321" s="10"/>
    </row>
    <row r="323" spans="1:14" ht="21" customHeight="1" x14ac:dyDescent="0.45">
      <c r="A323" s="408" t="s">
        <v>349</v>
      </c>
      <c r="B323" s="409"/>
      <c r="C323" s="409"/>
      <c r="D323" s="409"/>
      <c r="E323" s="409"/>
      <c r="F323" s="409"/>
      <c r="G323" s="409"/>
      <c r="H323" s="409"/>
      <c r="I323" s="409"/>
      <c r="J323" s="410"/>
    </row>
    <row r="324" spans="1:14" ht="16.149999999999999" customHeight="1" x14ac:dyDescent="0.45">
      <c r="A324" s="223" t="str">
        <f>'Existing Conditions'!A324</f>
        <v>Reach ID:</v>
      </c>
      <c r="B324" s="282">
        <f>'Existing Conditions'!B324</f>
        <v>0</v>
      </c>
      <c r="C324" s="223" t="str">
        <f>'Existing Conditions'!C324</f>
        <v>Stream Slope (%):</v>
      </c>
      <c r="D324" s="282">
        <f>'Existing Conditions'!D324</f>
        <v>0</v>
      </c>
      <c r="E324" s="449" t="s">
        <v>245</v>
      </c>
      <c r="F324" s="450"/>
      <c r="G324" s="224">
        <f>'Existing Conditions'!G324</f>
        <v>0</v>
      </c>
      <c r="H324" s="447" t="s">
        <v>121</v>
      </c>
      <c r="I324" s="448"/>
      <c r="J324" s="224">
        <f>'Existing Conditions'!J324</f>
        <v>0</v>
      </c>
    </row>
    <row r="325" spans="1:14" ht="16.149999999999999" customHeight="1" x14ac:dyDescent="0.45">
      <c r="A325" s="223" t="str">
        <f>'Existing Conditions'!A325</f>
        <v>Reference Stream Type:</v>
      </c>
      <c r="B325" s="282">
        <f>'Existing Conditions'!B325</f>
        <v>0</v>
      </c>
      <c r="C325" s="223" t="str">
        <f>'Existing Conditions'!C325</f>
        <v>Proposed Bankfull Width (ft):</v>
      </c>
      <c r="D325" s="282">
        <f>'Existing Conditions'!D325</f>
        <v>0</v>
      </c>
      <c r="E325" s="449" t="s">
        <v>247</v>
      </c>
      <c r="F325" s="450"/>
      <c r="G325" s="224">
        <f>'Existing Conditions'!G325</f>
        <v>0</v>
      </c>
      <c r="H325" s="447" t="s">
        <v>122</v>
      </c>
      <c r="I325" s="448"/>
      <c r="J325" s="224">
        <f>'Existing Conditions'!J325</f>
        <v>0</v>
      </c>
    </row>
    <row r="326" spans="1:14" ht="16.149999999999999" customHeight="1" x14ac:dyDescent="0.65">
      <c r="A326" s="223" t="str">
        <f>'Existing Conditions'!A326</f>
        <v>Flow Permanence:</v>
      </c>
      <c r="B326" s="282">
        <f>'Existing Conditions'!B326</f>
        <v>0</v>
      </c>
      <c r="C326" s="223" t="str">
        <f>'Existing Conditions'!C326</f>
        <v>Valley Type:</v>
      </c>
      <c r="D326" s="282">
        <f>'Existing Conditions'!D326</f>
        <v>0</v>
      </c>
      <c r="E326" s="449" t="s">
        <v>261</v>
      </c>
      <c r="F326" s="450"/>
      <c r="G326" s="224">
        <f>'Existing Conditions'!G326</f>
        <v>0</v>
      </c>
      <c r="H326" s="447" t="s">
        <v>123</v>
      </c>
      <c r="I326" s="448"/>
      <c r="J326" s="224">
        <f>'Existing Conditions'!J326</f>
        <v>0</v>
      </c>
      <c r="K326" s="26"/>
    </row>
    <row r="327" spans="1:14" ht="16.149999999999999" customHeight="1" x14ac:dyDescent="0.5">
      <c r="A327" s="223" t="str">
        <f>'Existing Conditions'!A327</f>
        <v>Strahler Stream Order:</v>
      </c>
      <c r="B327" s="282">
        <f>'Existing Conditions'!B327</f>
        <v>0</v>
      </c>
      <c r="C327" s="223" t="str">
        <f>'Existing Conditions'!C327</f>
        <v>Reference Vegetation Cover:</v>
      </c>
      <c r="D327" s="282">
        <f>'Existing Conditions'!D327</f>
        <v>0</v>
      </c>
      <c r="E327" s="445" t="s">
        <v>271</v>
      </c>
      <c r="F327" s="446"/>
      <c r="G327" s="224">
        <f>'Existing Conditions'!G327</f>
        <v>0</v>
      </c>
      <c r="H327" s="447" t="s">
        <v>124</v>
      </c>
      <c r="I327" s="448"/>
      <c r="J327" s="224">
        <f>'Existing Conditions'!J327</f>
        <v>0</v>
      </c>
      <c r="K327" s="39"/>
    </row>
    <row r="328" spans="1:14" ht="18" customHeight="1" x14ac:dyDescent="0.5">
      <c r="A328" s="223" t="str">
        <f>'Existing Conditions'!A328</f>
        <v>Outstanding Water:</v>
      </c>
      <c r="B328" s="282">
        <f>'Existing Conditions'!B328</f>
        <v>0</v>
      </c>
      <c r="C328" s="223" t="str">
        <f>'Existing Conditions'!C328</f>
        <v>Sediment Regime:</v>
      </c>
      <c r="D328" s="282">
        <f>'Existing Conditions'!D328</f>
        <v>0</v>
      </c>
      <c r="E328" s="449" t="s">
        <v>248</v>
      </c>
      <c r="F328" s="450"/>
      <c r="G328" s="224">
        <f>'Existing Conditions'!G328</f>
        <v>0</v>
      </c>
      <c r="H328" s="229"/>
      <c r="I328" s="229"/>
      <c r="J328" s="230"/>
      <c r="K328" s="39"/>
    </row>
    <row r="329" spans="1:14" ht="4.5" customHeight="1" x14ac:dyDescent="0.5">
      <c r="B329" s="58"/>
      <c r="C329" s="58"/>
      <c r="D329" s="58"/>
      <c r="E329" s="58"/>
      <c r="F329" s="58"/>
      <c r="G329" s="58"/>
      <c r="H329" s="58"/>
      <c r="I329" s="56"/>
      <c r="J329" s="10"/>
      <c r="K329" s="39"/>
    </row>
    <row r="330" spans="1:14" ht="19.899999999999999" customHeight="1" x14ac:dyDescent="0.65">
      <c r="A330" s="431" t="str">
        <f>_xlfn.CONCAT("PROPOSED CONDITION ASSESSMENT for Reach ",B324)</f>
        <v>PROPOSED CONDITION ASSESSMENT for Reach 0</v>
      </c>
      <c r="B330" s="431"/>
      <c r="C330" s="431"/>
      <c r="D330" s="431"/>
      <c r="E330" s="431"/>
      <c r="F330" s="431"/>
      <c r="G330" s="431" t="s">
        <v>13</v>
      </c>
      <c r="H330" s="431"/>
      <c r="I330" s="431"/>
      <c r="J330" s="431"/>
      <c r="K330" s="10"/>
    </row>
    <row r="331" spans="1:14" ht="15.75" x14ac:dyDescent="0.5">
      <c r="A331" s="32" t="s">
        <v>1</v>
      </c>
      <c r="B331" s="32" t="s">
        <v>2</v>
      </c>
      <c r="C331" s="432" t="s">
        <v>3</v>
      </c>
      <c r="D331" s="433"/>
      <c r="E331" s="32" t="s">
        <v>11</v>
      </c>
      <c r="F331" s="31" t="s">
        <v>12</v>
      </c>
      <c r="G331" s="32" t="s">
        <v>14</v>
      </c>
      <c r="H331" s="32" t="s">
        <v>15</v>
      </c>
      <c r="I331" s="57" t="s">
        <v>15</v>
      </c>
      <c r="J331" s="32" t="s">
        <v>160</v>
      </c>
      <c r="K331" s="10"/>
    </row>
    <row r="332" spans="1:14" ht="15.75" x14ac:dyDescent="0.5">
      <c r="A332" s="434" t="s">
        <v>173</v>
      </c>
      <c r="B332" s="437" t="s">
        <v>71</v>
      </c>
      <c r="C332" s="132" t="s">
        <v>138</v>
      </c>
      <c r="D332" s="149"/>
      <c r="E332" s="30"/>
      <c r="F332" s="202" t="str">
        <f>IF(E332="","",IF(E332&gt;78,0,IF(E332&lt;=55,1,ROUND(E332*'Reference Curves'!$B$3+'Reference Curves'!$B$4,2))))</f>
        <v/>
      </c>
      <c r="G332" s="411" t="str">
        <f>IFERROR(AVERAGE(F332:F333),"")</f>
        <v/>
      </c>
      <c r="H332" s="411" t="str">
        <f>IFERROR(ROUND(AVERAGE(G332:G338),2),"")</f>
        <v/>
      </c>
      <c r="I332" s="438" t="str">
        <f>IF(H332="","",IF(H332:H338&gt;0.69,"Functioning",IF(H332&gt;0.29,"Functioning At Risk",IF(H332&gt;-1,"Not Functioning"))))</f>
        <v/>
      </c>
      <c r="J332" s="451" t="str">
        <f>IF(AND(H332="",H339="",H353="",H357=""),"",ROUND((IF(H332="",0,H332)*0.3)+(IF(H339="",0,H339)*0.3)+(IF(H353="",0,H353)*0.2)+(IF(H357="",0,H357)*0.2),2))</f>
        <v/>
      </c>
      <c r="K332" s="10"/>
    </row>
    <row r="333" spans="1:14" ht="15.75" x14ac:dyDescent="0.5">
      <c r="A333" s="434"/>
      <c r="B333" s="437"/>
      <c r="C333" s="133" t="s">
        <v>184</v>
      </c>
      <c r="D333" s="150"/>
      <c r="E333" s="35"/>
      <c r="F333" s="203" t="str">
        <f>IF(E333="","",   IF(E333&gt;3.2,0, IF(E333&lt;0, "", ROUND('Reference Curves'!$B$8*E333+'Reference Curves'!$B$9,2))))</f>
        <v/>
      </c>
      <c r="G333" s="412"/>
      <c r="H333" s="412"/>
      <c r="I333" s="439"/>
      <c r="J333" s="451"/>
      <c r="K333" s="10"/>
    </row>
    <row r="334" spans="1:14" ht="15.75" x14ac:dyDescent="0.5">
      <c r="A334" s="434"/>
      <c r="B334" s="400" t="s">
        <v>185</v>
      </c>
      <c r="C334" s="134" t="s">
        <v>186</v>
      </c>
      <c r="D334" s="149"/>
      <c r="E334" s="34"/>
      <c r="F334" s="204" t="s">
        <v>285</v>
      </c>
      <c r="G334" s="411" t="str">
        <f>IFERROR(IF(AND(ISNUMBER(E334),E334&lt;1),0,AVERAGE(F334:F335)),"")</f>
        <v/>
      </c>
      <c r="H334" s="412"/>
      <c r="I334" s="439"/>
      <c r="J334" s="451"/>
      <c r="K334" s="10"/>
    </row>
    <row r="335" spans="1:14" ht="15.75" x14ac:dyDescent="0.5">
      <c r="A335" s="434"/>
      <c r="B335" s="401"/>
      <c r="C335" s="151" t="s">
        <v>187</v>
      </c>
      <c r="D335" s="152"/>
      <c r="E335" s="34"/>
      <c r="F335" s="205" t="str">
        <f>IF(E335="","",IF(G324= "CS-II", ROUND(IF(E335&lt;=0.6,0, IF(E335&gt;=2.3,1,E335*'Reference Curves'!$D$14+'Reference Curves'!$D$15)),2),IF(AND(D325&lt;20,LEFT(G324,2)="CS"), ROUND(IF(E335&lt;=0.2,0, IF(E335&gt;=1,1,E335*'Reference Curves'!$B$14+'Reference Curves'!$B$15)),2), IF(AND(D325&gt;=20,LEFT(G324,2)= "CS"), ROUND(IF(E335&lt;=0.4,0, IF(E335&gt;=1.5,1,E335*'Reference Curves'!$C$14+'Reference Curves'!$C$15)),2),"FALSE"))))</f>
        <v/>
      </c>
      <c r="G335" s="413"/>
      <c r="H335" s="412"/>
      <c r="I335" s="439"/>
      <c r="J335" s="451"/>
      <c r="K335" s="10"/>
    </row>
    <row r="336" spans="1:14" ht="15.75" x14ac:dyDescent="0.5">
      <c r="A336" s="434"/>
      <c r="B336" s="437" t="s">
        <v>4</v>
      </c>
      <c r="C336" s="133" t="s">
        <v>5</v>
      </c>
      <c r="D336" s="14"/>
      <c r="E336" s="30"/>
      <c r="F336" s="206" t="str">
        <f>IF( E336="","",
IF( E336&gt;1.71,0, IF( E336&gt;1, ROUND(E336*'Reference Curves'!C$20+'Reference Curves'!C$21,2),
IF( D328="Transport", ROUND(IF( E336&lt;0.35,0, E336*'Reference Curves'!$B$20+'Reference Curves'!$B$21 ),2), 1 ))))</f>
        <v/>
      </c>
      <c r="G336" s="411" t="str">
        <f>IFERROR(AVERAGE(F336:F338),"")</f>
        <v/>
      </c>
      <c r="H336" s="412"/>
      <c r="I336" s="439"/>
      <c r="J336" s="451"/>
      <c r="K336" s="10"/>
      <c r="N336" s="9"/>
    </row>
    <row r="337" spans="1:14" ht="15.75" x14ac:dyDescent="0.5">
      <c r="A337" s="434"/>
      <c r="B337" s="437"/>
      <c r="C337" s="133" t="s">
        <v>6</v>
      </c>
      <c r="D337" s="14"/>
      <c r="E337" s="34"/>
      <c r="F337" s="205" t="str">
        <f>IF(E337="","",IF(OR(LEFT(B325,1)="A",LEFT(B325,1)="B"),IF(E337&lt;1.05,0,IF(E337&gt;=2.2,1,ROUND(IF(E337&lt;1.4,E337*'Reference Curves'!$B$40+'Reference Curves'!$B$41,E337*'Reference Curves'!$C$40+'Reference Curves'!$C$41),2))), IF(B325="C",IF(E337&lt;1.7,0,IF(E337&gt;=4.2,1,ROUND(IF(E337&lt;2.4,E337*'Reference Curves'!$C$25+'Reference Curves'!$C$26,E337*'Reference Curves'!$B$25+'Reference Curves'!$B$26),2))),                                                                                                                                                                                                                    IF(B325="Cb",IF(E337&lt;1.7,0,IF(E337&gt;=3.9,1,ROUND(IF(E337&lt;2.4,E337*'Reference Curves'!$C$30+'Reference Curves'!$C$31,E337*'Reference Curves'!$B$30+'Reference Curves'!$B$31),2))),
IF(LEFT(B325,1)="E",IF(E337&lt;1.7,0,IF(E337&gt;=6.7,1,ROUND(IF(E337&lt;2.4,E337*'Reference Curves'!$C$35+'Reference Curves'!$C$36,E337*'Reference Curves'!$B$35+'Reference Curves'!$B$36),2))))))))</f>
        <v/>
      </c>
      <c r="G337" s="412"/>
      <c r="H337" s="412"/>
      <c r="I337" s="439"/>
      <c r="J337" s="451"/>
      <c r="K337" s="10"/>
      <c r="N337" s="9"/>
    </row>
    <row r="338" spans="1:14" ht="15.75" customHeight="1" x14ac:dyDescent="0.5">
      <c r="A338" s="434"/>
      <c r="B338" s="437"/>
      <c r="C338" s="135" t="s">
        <v>188</v>
      </c>
      <c r="D338" s="14"/>
      <c r="E338" s="35"/>
      <c r="F338" s="207" t="str">
        <f>IF(E338="","",IF(D326="Unconfined Alluvial",IF(E338&lt;=0,0, IF(E338&gt;=100,1, ROUND(IF(E338&lt;10,E338*'Reference Curves'!$B$46+'Reference Curves'!$B$47, IF(E338&lt;50,E338*'Reference Curves'!$C$46+'Reference Curves'!$C$47,E338*'Reference Curves'!$D$46+'Reference Curves'!$D$47)),2))), IF(D326="Confined Alluvial",IF(E338&lt;=0,0,IF(E338&gt;=50,1,ROUND(IF(E338&lt;5,E338*'Reference Curves'!$E$46+'Reference Curves'!$E$47,IF(E338&lt;25,E338*'Reference Curves'!$F$46+'Reference Curves'!$F$47,E338*'Reference Curves'!$G$46+'Reference Curves'!$G$47)),2))))))</f>
        <v/>
      </c>
      <c r="G338" s="413"/>
      <c r="H338" s="413"/>
      <c r="I338" s="440"/>
      <c r="J338" s="451"/>
      <c r="K338" s="10"/>
      <c r="N338" s="9"/>
    </row>
    <row r="339" spans="1:14" ht="15.75" x14ac:dyDescent="0.5">
      <c r="A339" s="399" t="s">
        <v>20</v>
      </c>
      <c r="B339" s="399" t="s">
        <v>21</v>
      </c>
      <c r="C339" s="16" t="s">
        <v>19</v>
      </c>
      <c r="D339" s="46"/>
      <c r="E339" s="30"/>
      <c r="F339" s="208" t="str">
        <f>IF(E339="","",IF(E339&gt;=660,1,IF(E339&lt;=430,ROUND('Reference Curves'!$I$4*E339+'Reference Curves'!$I$5,2),ROUND('Reference Curves'!$J$4*E339+'Reference Curves'!$J$5,2))))</f>
        <v/>
      </c>
      <c r="G339" s="414" t="str">
        <f>IFERROR(AVERAGE(F339:F340),"")</f>
        <v/>
      </c>
      <c r="H339" s="414" t="str">
        <f>IFERROR(ROUND(AVERAGE(G339:G352),2),"")</f>
        <v/>
      </c>
      <c r="I339" s="417" t="str">
        <f>IF(H339="","",IF(H339&gt;0.69,"Functioning",IF(H339&gt;0.29,"Functioning At Risk",IF(H339&gt;-1,"Not Functioning"))))</f>
        <v/>
      </c>
      <c r="J339" s="451"/>
      <c r="K339" s="10"/>
      <c r="N339" s="9"/>
    </row>
    <row r="340" spans="1:14" ht="15.75" x14ac:dyDescent="0.5">
      <c r="A340" s="399"/>
      <c r="B340" s="399"/>
      <c r="C340" s="18" t="s">
        <v>189</v>
      </c>
      <c r="D340" s="47"/>
      <c r="E340" s="35"/>
      <c r="F340" s="209" t="str">
        <f>IF(E340="","",IF(E340&gt;=28,1,ROUND(IF(E340&lt;=13,'Reference Curves'!$I$9*E340,'Reference Curves'!$J$9*E340+'Reference Curves'!$J$10),2)))</f>
        <v/>
      </c>
      <c r="G340" s="416"/>
      <c r="H340" s="415"/>
      <c r="I340" s="418"/>
      <c r="J340" s="451"/>
      <c r="K340" s="10"/>
      <c r="N340" s="9"/>
    </row>
    <row r="341" spans="1:14" ht="15.75" x14ac:dyDescent="0.5">
      <c r="A341" s="399"/>
      <c r="B341" s="399" t="s">
        <v>114</v>
      </c>
      <c r="C341" s="16" t="s">
        <v>190</v>
      </c>
      <c r="D341" s="46"/>
      <c r="E341" s="78"/>
      <c r="F341" s="208" t="str">
        <f>IF(E341="","",ROUND(IF(E341&lt;=2,0,IF(E341&gt;=9,1, IF(E341&gt;=5,E341^2*'Reference Curves'!$I$14+E341*'Reference Curves'!$I$15+'Reference Curves'!$I$16, E341*'Reference Curves'!$J$15+'Reference Curves'!$J$16))),2))</f>
        <v/>
      </c>
      <c r="G341" s="414" t="str">
        <f>IFERROR(IF(E344&gt;=50,0,AVERAGE(F341:F344)),"")</f>
        <v/>
      </c>
      <c r="H341" s="415"/>
      <c r="I341" s="418"/>
      <c r="J341" s="451"/>
      <c r="K341" s="10"/>
      <c r="N341" s="9"/>
    </row>
    <row r="342" spans="1:14" ht="15.75" x14ac:dyDescent="0.5">
      <c r="A342" s="399"/>
      <c r="B342" s="399"/>
      <c r="C342" s="18" t="s">
        <v>42</v>
      </c>
      <c r="D342" s="67"/>
      <c r="E342" s="78"/>
      <c r="F342" s="210" t="str">
        <f>IF(E342="","",IF(OR(E342="Ex/Ex",E342="Ex/VH",E342="Ex/H",E342="Ex/M",E342="VH/Ex",E342="VH/VH", E342="H/Ex",E342="H/VH"),0, IF(OR(E342="M/Ex"),0.1,IF(OR(E342="VH/H",E342="VH/M",E342="H/H",E342="H/M", E342="M/VH"),0.2, IF(OR(E342="Ex/VL",E342="Ex/L", E342="M/H"),0.3, IF(OR(E342="VH/L",E342="H/L"),0.4, IF(OR(E342="VH/VL",E342="H/VL",E342="M/M"),0.5, IF(OR(E342="M/L",E342="L/Ex"),0.6, IF(OR(E342="M/VL",E342="L/VH", E342="L/H",E342="L/M",E342="L/L",E342="L/VL", LEFT(E342,2)="VL"),1)))))))))</f>
        <v/>
      </c>
      <c r="G342" s="415"/>
      <c r="H342" s="415"/>
      <c r="I342" s="418"/>
      <c r="J342" s="451"/>
      <c r="K342" s="10"/>
      <c r="N342" s="9"/>
    </row>
    <row r="343" spans="1:14" ht="15.75" x14ac:dyDescent="0.5">
      <c r="A343" s="399"/>
      <c r="B343" s="399"/>
      <c r="C343" s="136" t="s">
        <v>54</v>
      </c>
      <c r="D343" s="67"/>
      <c r="E343" s="78"/>
      <c r="F343" s="210" t="str">
        <f>IF(E343="","",ROUND(IF(E343&gt;=75,0,IF(E343&lt;=5,1,IF(E343&gt;10,E343*'Reference Curves'!I$20+'Reference Curves'!I$21,'Reference Curves'!$J$20*E343+'Reference Curves'!$J$21))),2))</f>
        <v/>
      </c>
      <c r="G343" s="421"/>
      <c r="H343" s="415"/>
      <c r="I343" s="418"/>
      <c r="J343" s="451"/>
      <c r="K343" s="10"/>
      <c r="N343" s="9"/>
    </row>
    <row r="344" spans="1:14" ht="15.75" x14ac:dyDescent="0.5">
      <c r="A344" s="399"/>
      <c r="B344" s="399"/>
      <c r="C344" s="137" t="s">
        <v>113</v>
      </c>
      <c r="D344" s="154"/>
      <c r="E344" s="153"/>
      <c r="F344" s="211" t="str">
        <f>IF(E344="","",IF(E344&gt;=30,0,ROUND(E344*'Reference Curves'!$I$24+'Reference Curves'!$I$25,2)))</f>
        <v/>
      </c>
      <c r="G344" s="416"/>
      <c r="H344" s="415"/>
      <c r="I344" s="418"/>
      <c r="J344" s="451"/>
      <c r="K344" s="10"/>
      <c r="N344" s="9"/>
    </row>
    <row r="345" spans="1:14" ht="15.75" x14ac:dyDescent="0.5">
      <c r="A345" s="399"/>
      <c r="B345" s="399" t="s">
        <v>44</v>
      </c>
      <c r="C345" s="16" t="s">
        <v>45</v>
      </c>
      <c r="D345" s="20"/>
      <c r="E345" s="37"/>
      <c r="F345" s="212" t="str">
        <f>IF(E345="","",IF(B325="Bc",IF(OR(E345&gt;=12,E345&lt;=0.1),0,IF(E345&lt;=3.4,1,ROUND('Reference Curves'!$I$33*E345+'Reference Curves'!$I$34,2))),
IF(OR(B325="B",B325="Ba"),IF(OR(E345&gt;=7.5,E345&lt;=0.1),0,IF(E345&lt;=3,1,ROUND(IF(E345&gt;4,'Reference Curves'!$I$29*E345+'Reference Curves'!$I$30,'Reference Curves'!$J$29*E345+'Reference Curves'!$J$30),2))),
IF(B325="Cb",IF(OR(E345&gt;=8.35,E345&lt;1.4),0,IF(AND(E345&gt;=3.7,E345&lt;=5),1,ROUND(IF(E345&lt;3.7,'Reference Curves'!$I$49*E345+'Reference Curves'!$I$50,'Reference Curves'!$J$49*E345+'Reference Curves'!$J$50),2))),
IF(B325="C",IF(OR(E345&gt;=9.3,E345&lt;=3),0,IF(AND(E345&gt;=4,E345&lt;=6),1,ROUND(IF(E345&lt;4,'Reference Curves'!$I$44*E345+'Reference Curves'!$I$45,'Reference Curves'!$J$44*E345+'Reference Curves'!$J$45),2))),
IF(B325="E",IF(OR(E345&gt;=8.3,E345&lt;1.85),0,IF(AND(E345&gt;=3.5,E345&lt;=5),1,ROUND(IF(E345&lt;3.5,'Reference Curves'!$I$38*E345+'Reference Curves'!$I$39,'Reference Curves'!$J$38*E345+'Reference Curves'!$J$39),2)))      ))))))</f>
        <v/>
      </c>
      <c r="G345" s="425" t="str">
        <f>IFERROR(AVERAGE(F345:F348),"")</f>
        <v/>
      </c>
      <c r="H345" s="415"/>
      <c r="I345" s="418"/>
      <c r="J345" s="451"/>
      <c r="K345" s="10"/>
      <c r="N345" s="9"/>
    </row>
    <row r="346" spans="1:14" ht="15.75" x14ac:dyDescent="0.5">
      <c r="A346" s="399"/>
      <c r="B346" s="399"/>
      <c r="C346" s="18" t="s">
        <v>46</v>
      </c>
      <c r="D346" s="15"/>
      <c r="E346" s="36"/>
      <c r="F346" s="213" t="str">
        <f>IF(E346="","",IF(E346&lt;=1,0,IF(E346&gt;=3.2,1,IF(E346&gt;=2.2,ROUND('Reference Curves'!$J$54*E346+'Reference Curves'!$J$55,2),(ROUND('Reference Curves'!$I$54*E346+'Reference Curves'!$I$55,2))))))</f>
        <v/>
      </c>
      <c r="G346" s="421"/>
      <c r="H346" s="415"/>
      <c r="I346" s="418"/>
      <c r="J346" s="451"/>
      <c r="K346" s="10"/>
      <c r="N346" s="9"/>
    </row>
    <row r="347" spans="1:14" ht="15.75" customHeight="1" x14ac:dyDescent="0.5">
      <c r="A347" s="399"/>
      <c r="B347" s="399"/>
      <c r="C347" s="18" t="s">
        <v>92</v>
      </c>
      <c r="D347" s="15"/>
      <c r="E347" s="36"/>
      <c r="F347" s="283" t="str">
        <f>IF(E347="","", IF(D324="","FALSE",IF(D324&lt; 3,IF( OR(E347&gt;=91,E347&lt;=13.5),0, IF(AND(E347&gt;49,E347&lt;61), 1, ROUND(IF(E347&lt;50,'Reference Curves'!$I$60*E347+'Reference Curves'!$I$61, IF(E347&gt;60,'Reference Curves'!$J$60*E347+'Reference Curves'!$J$61)),2))), IF(D324&gt;=3,IF(OR(E347&gt;94.5,E347&lt;41.5),0, IF(AND(E347 &gt;=68, E347&lt;=78),1, ROUND(IF(E347&lt;68,'Reference Curves'!$I$65*E347+'Reference Curves'!$I$66,'Reference Curves'!$J$65*E347+'Reference Curves'!$J$66),2) ))))))</f>
        <v/>
      </c>
      <c r="G347" s="421"/>
      <c r="H347" s="415"/>
      <c r="I347" s="418"/>
      <c r="J347" s="451"/>
      <c r="K347" s="10"/>
      <c r="N347" s="9"/>
    </row>
    <row r="348" spans="1:14" ht="15.75" x14ac:dyDescent="0.5">
      <c r="A348" s="399"/>
      <c r="B348" s="399"/>
      <c r="C348" s="19" t="s">
        <v>79</v>
      </c>
      <c r="D348" s="15"/>
      <c r="E348" s="38"/>
      <c r="F348" s="284" t="str">
        <f>IF(E348="","",IF(E348&gt;=1.6,0,IF(E348&lt;=1,1,ROUND('Reference Curves'!$I$74*E348^3+'Reference Curves'!$I$75*E348^2+'Reference Curves'!$I$76*E348+'Reference Curves'!$I$77,2))))</f>
        <v/>
      </c>
      <c r="G348" s="426"/>
      <c r="H348" s="415"/>
      <c r="I348" s="418"/>
      <c r="J348" s="451"/>
      <c r="K348" s="10"/>
      <c r="N348" s="9"/>
    </row>
    <row r="349" spans="1:14" ht="15.75" x14ac:dyDescent="0.5">
      <c r="A349" s="399"/>
      <c r="B349" s="399" t="s">
        <v>43</v>
      </c>
      <c r="C349" s="18" t="s">
        <v>201</v>
      </c>
      <c r="D349" s="46"/>
      <c r="E349" s="17"/>
      <c r="F349" s="214" t="str">
        <f>IF( E349="","",
IF( D326="Unconfined Alluvial", IF( E349&gt;=100,1,
ROUND('Reference Curves'!$I$82*E349+'Reference Curves'!$I$83,2) ),
IF( OR(D326="Confined Alluvial", D326="Colluvial/V-Shaped"), ( IF(E349&gt;=100,1,
IF(E349&gt;=60, ROUND('Reference Curves'!$J$82*E349+'Reference Curves'!$J$83,2), ROUND('Reference Curves'!$K$82*E349+'Reference Curves'!$K$83,2) ) ) ) ) ) )</f>
        <v/>
      </c>
      <c r="G349" s="414" t="str">
        <f>IFERROR(AVERAGE(F349:F352),"")</f>
        <v/>
      </c>
      <c r="H349" s="415"/>
      <c r="I349" s="418"/>
      <c r="J349" s="451"/>
      <c r="K349" s="10"/>
      <c r="N349" s="9"/>
    </row>
    <row r="350" spans="1:14" ht="15.75" x14ac:dyDescent="0.5">
      <c r="A350" s="399"/>
      <c r="B350" s="399"/>
      <c r="C350" s="18" t="s">
        <v>191</v>
      </c>
      <c r="D350" s="67"/>
      <c r="E350" s="79"/>
      <c r="F350" s="213" t="str">
        <f>IF( E350="","", IF(D327&lt;&gt;"Woody","FALSE", IF( OR(G326="Mountains",G326="Basins"),
IF(E350&lt;=0,0, IF(E350&gt;=122,1, IF(E350&lt;69, ROUND('Reference Curves'!$I$87*E350+'Reference Curves'!$I$88,2), ROUND('Reference Curves'!$J$87*E350+'Reference Curves'!$J$88,2) ) ) ),
IF(G326="Plains",IF(OR(E350&lt;=0,E350&gt;111),0,IF(AND(E350&gt;=69,E350&lt;=76),1,IF(E350&lt;69,ROUND(E350*'Reference Curves'!$I$92+'Reference Curves'!$I$93,2),ROUND(E350*'Reference Curves'!$J$92+'Reference Curves'!$J$93,2))))))))</f>
        <v/>
      </c>
      <c r="G350" s="415"/>
      <c r="H350" s="415"/>
      <c r="I350" s="418"/>
      <c r="J350" s="451"/>
      <c r="K350" s="10"/>
      <c r="N350" s="9"/>
    </row>
    <row r="351" spans="1:14" ht="15.75" x14ac:dyDescent="0.5">
      <c r="A351" s="399"/>
      <c r="B351" s="399"/>
      <c r="C351" s="18" t="s">
        <v>141</v>
      </c>
      <c r="D351" s="67"/>
      <c r="E351" s="79"/>
      <c r="F351" s="213" t="str">
        <f>IF(E351="","",IF(D327="Herbaceous",IF(E351&lt;=34,0,IF(E351&gt;=120,1,IF(E351&gt;73,ROUND(E351*'Reference Curves'!$J$98+'Reference Curves'!$J$99,2),ROUND(E351*'Reference Curves'!$I$98+'Reference Curves'!$I$99,2))))))</f>
        <v/>
      </c>
      <c r="G351" s="421"/>
      <c r="H351" s="415"/>
      <c r="I351" s="418"/>
      <c r="J351" s="451"/>
      <c r="K351" s="10"/>
      <c r="N351" s="9"/>
    </row>
    <row r="352" spans="1:14" ht="15.75" x14ac:dyDescent="0.5">
      <c r="A352" s="399"/>
      <c r="B352" s="399"/>
      <c r="C352" s="138" t="s">
        <v>192</v>
      </c>
      <c r="D352" s="158"/>
      <c r="E352" s="162"/>
      <c r="F352" s="283" t="str">
        <f>IF(E352="","",IF(E352&lt;=46,0,IF(E352&gt;=100,1,IF(AND(E352&lt;=100,E352&gt;91),ROUND(E352*'Reference Curves'!$J$103+'Reference Curves'!$J$104,2),ROUND(E352*'Reference Curves'!$I$103+'Reference Curves'!$I$104,2)))))</f>
        <v/>
      </c>
      <c r="G352" s="416"/>
      <c r="H352" s="416"/>
      <c r="I352" s="419"/>
      <c r="J352" s="451"/>
      <c r="K352" s="10"/>
      <c r="N352" s="9"/>
    </row>
    <row r="353" spans="1:14" ht="15.75" x14ac:dyDescent="0.5">
      <c r="A353" s="436" t="s">
        <v>47</v>
      </c>
      <c r="B353" s="441" t="s">
        <v>139</v>
      </c>
      <c r="C353" s="139" t="s">
        <v>193</v>
      </c>
      <c r="D353" s="160"/>
      <c r="E353" s="30"/>
      <c r="F353" s="215" t="str">
        <f>IF(E353="","",IF(G324="","Enter Stream Temperature",  IF(G324="CS-I (MWF)",IF(E353&gt;=21.2,0,1),  IF(G324="CS-I",IF(E353&gt;=21.7,0,1),  IF(G324="CS-II",IF(E353&gt;=23.9,0,1),  IF(G324="WS-I",IF(E353&gt;=29,0,1),  IF(G324="WS-II",IF(E353&gt;=28.6,0,1), IF(G324="WS-III",IF(E353&gt;=31.8,0,1)))))))))</f>
        <v/>
      </c>
      <c r="G353" s="422" t="str">
        <f>IFERROR(AVERAGE(F353:F354),"")</f>
        <v/>
      </c>
      <c r="H353" s="422" t="str">
        <f>IFERROR(ROUND(AVERAGE(G353:G356),2),"")</f>
        <v/>
      </c>
      <c r="I353" s="430" t="str">
        <f>IF(H353="","",IF(H353&gt;0.69,"Functioning",IF(H353&gt;0.29,"Functioning At Risk",IF(H353&gt;-1,"Not Functioning"))))</f>
        <v/>
      </c>
      <c r="J353" s="451"/>
      <c r="K353" s="10"/>
      <c r="N353" s="9"/>
    </row>
    <row r="354" spans="1:14" ht="15.75" x14ac:dyDescent="0.5">
      <c r="A354" s="436"/>
      <c r="B354" s="441"/>
      <c r="C354" s="140" t="s">
        <v>194</v>
      </c>
      <c r="D354" s="155"/>
      <c r="E354" s="35"/>
      <c r="F354" s="216" t="str">
        <f>IF(E354="","",IF(G324="","Enter Stream Temperature",  IF(G324="CS-I (MWF)",IF(E354&gt;=18.3,0,IF(E354&lt;=13.8,1,ROUND(E354*'Reference Curves'!$M$4+'Reference Curves'!$M$5,2))),  IF(G324="CS-I",IF(E354&gt;=17.6,0,IF(E354&lt;=15.7,1,ROUND(E354*'Reference Curves'!$N$4+'Reference Curves'!$N$5,2))),  IF(G324="CS-II",IF(E354&gt;=19.1,0,IF(E354&lt;=16.6,1,ROUND(E354*'Reference Curves'!$O$4+'Reference Curves'!$O$5,2))),  IF(G324="WS-I",IF(E354&gt;=25.7,0,IF(E354&lt;=20.9,1,ROUND(E354*'Reference Curves'!$P$4+'Reference Curves'!$P$5,2))),  IF(G324="WS-II",IF(E354&gt;=29.7,0,IF(E354&lt;=22.5,1,ROUND(E354*'Reference Curves'!$Q$4+'Reference Curves'!$Q$5,2))), IF(G324="WS-III",IF(E354&gt;=30,0,IF(E354&lt;=25.9,1,ROUND(E354*'Reference Curves'!$R$4+'Reference Curves'!$R$5,2)))    ))))))))</f>
        <v/>
      </c>
      <c r="G354" s="424"/>
      <c r="H354" s="423"/>
      <c r="I354" s="430"/>
      <c r="J354" s="451"/>
      <c r="K354" s="10"/>
      <c r="N354" s="9"/>
    </row>
    <row r="355" spans="1:14" ht="15.75" x14ac:dyDescent="0.5">
      <c r="A355" s="436"/>
      <c r="B355" s="192" t="s">
        <v>140</v>
      </c>
      <c r="C355" s="142" t="s">
        <v>195</v>
      </c>
      <c r="D355" s="156"/>
      <c r="E355" s="54"/>
      <c r="F355" s="216" t="str">
        <f>IF(E355="","",ROUND( IF(E355&lt;=6,0, IF(E355&gt;=10.31,1,E355*'Reference Curves'!$M$8+'Reference Curves'!$M$9)),2))</f>
        <v/>
      </c>
      <c r="G355" s="163" t="str">
        <f>IFERROR(AVERAGE(F355),"")</f>
        <v/>
      </c>
      <c r="H355" s="423"/>
      <c r="I355" s="430"/>
      <c r="J355" s="451"/>
      <c r="K355" s="10"/>
      <c r="N355" s="9"/>
    </row>
    <row r="356" spans="1:14" ht="15.75" x14ac:dyDescent="0.5">
      <c r="A356" s="436"/>
      <c r="B356" s="192" t="s">
        <v>196</v>
      </c>
      <c r="C356" s="143" t="s">
        <v>357</v>
      </c>
      <c r="D356" s="157"/>
      <c r="E356" s="54"/>
      <c r="F356" s="216" t="str">
        <f>IF(E356="","",IF(OR(G325=3),IF(E356&gt;=150,0,IF(E356&lt;=16,1,ROUND('Reference Curves'!$M$13*LN(E356)+'Reference Curves'!$M$14,2))), IF(OR(G325=1,G325=2),  IF(E356&gt;=97,0,IF(E356&lt;=12,1,ROUND('Reference Curves'!$N$13*LN(E356)+'Reference Curves'!$N$14,2))))))</f>
        <v/>
      </c>
      <c r="G356" s="163" t="str">
        <f>IFERROR(AVERAGE(F356),"")</f>
        <v/>
      </c>
      <c r="H356" s="424"/>
      <c r="I356" s="430"/>
      <c r="J356" s="451"/>
      <c r="K356" s="10"/>
      <c r="N356" s="9"/>
    </row>
    <row r="357" spans="1:14" ht="15.75" x14ac:dyDescent="0.5">
      <c r="A357" s="435" t="s">
        <v>48</v>
      </c>
      <c r="B357" s="191" t="s">
        <v>93</v>
      </c>
      <c r="C357" s="145" t="s">
        <v>197</v>
      </c>
      <c r="D357" s="28"/>
      <c r="E357" s="54"/>
      <c r="F357" s="217" t="str">
        <f>IF(E357="","",IF(G325="","Enter Biotype",IF(G325=1,IF(E357&lt;=0,0,IF(E357&gt;=57,1,ROUND(IF(E357&lt;=34,'Reference Curves'!$T$5*E357+'Reference Curves'!$T$6,  IF(E357&lt;=45, 'Reference Curves'!$U$5*E357+'Reference Curves'!$U$6,  'Reference Curves'!$V$5*E357+'Reference Curves'!$V$6)),2))),   IF(G325=2,IF(E357&lt;=0,0,IF(E357&gt;=63,1,ROUND(IF(E357&lt;=40,'Reference Curves'!$W$5*E357+'Reference Curves'!$W$6,  IF(E357&lt;=48,'Reference Curves'!$X$5*E357+'Reference Curves'!$X$6,  'Reference Curves'!$Y$5*E357+'Reference Curves'!$Y$6)),2))),   IF(OR(G325=3),IF(E357&lt;=0,0,IF(E357&gt;=52,1,ROUND(IF(E357&lt;=29,'Reference Curves'!$Z$5*E357+'Reference Curves'!$Z$6, IF(E357&lt;=42, 'Reference Curves'!$AA$5*E357+'Reference Curves'!$AA$6,  'Reference Curves'!$AB$5*E357+'Reference Curves'!$AB$6)),2))))))))</f>
        <v/>
      </c>
      <c r="G357" s="164" t="str">
        <f>IFERROR(AVERAGE(F357),"")</f>
        <v/>
      </c>
      <c r="H357" s="420" t="str">
        <f>IFERROR(ROUND(AVERAGE(G357:G360),2),"")</f>
        <v/>
      </c>
      <c r="I357" s="430" t="str">
        <f>IF(H357="","",IF(H357&gt;0.69,"Functioning",IF(H357&gt;0.29,"Functioning At Risk",IF(H357&gt;-1,"Not Functioning"))))</f>
        <v/>
      </c>
      <c r="J357" s="451"/>
      <c r="K357" s="10"/>
      <c r="N357" s="9"/>
    </row>
    <row r="358" spans="1:14" ht="15.75" x14ac:dyDescent="0.5">
      <c r="A358" s="435"/>
      <c r="B358" s="398" t="s">
        <v>51</v>
      </c>
      <c r="C358" s="146" t="s">
        <v>198</v>
      </c>
      <c r="D358" s="28"/>
      <c r="E358" s="30"/>
      <c r="F358" s="164" t="str">
        <f>IF(E358="","",IF(E358&lt;=0,0,IF(E358&gt;=100,1,ROUND(IF(E358&lt;80,E358*'Reference Curves'!$T$10+'Reference Curves'!$T$11,E358*'Reference Curves'!$U$10+'Reference Curves'!$U$11),2))))</f>
        <v/>
      </c>
      <c r="G358" s="427" t="str">
        <f>IFERROR(AVERAGE(F358:F360),"")</f>
        <v/>
      </c>
      <c r="H358" s="420"/>
      <c r="I358" s="430"/>
      <c r="J358" s="451"/>
      <c r="K358" s="10"/>
      <c r="N358" s="9"/>
    </row>
    <row r="359" spans="1:14" ht="15.75" x14ac:dyDescent="0.5">
      <c r="A359" s="435"/>
      <c r="B359" s="398"/>
      <c r="C359" s="147" t="s">
        <v>199</v>
      </c>
      <c r="D359" s="159"/>
      <c r="E359" s="34"/>
      <c r="F359" s="164" t="str">
        <f>IF(E359="","",ROUND(IF(E359&gt;=3,0,IF(E359&gt;=2,0.3,IF(E359&gt;=1,0.69,1))),2))</f>
        <v/>
      </c>
      <c r="G359" s="428"/>
      <c r="H359" s="420"/>
      <c r="I359" s="430"/>
      <c r="J359" s="451"/>
      <c r="K359" s="10"/>
      <c r="N359" s="9"/>
    </row>
    <row r="360" spans="1:14" ht="15.75" x14ac:dyDescent="0.5">
      <c r="A360" s="435"/>
      <c r="B360" s="398"/>
      <c r="C360" s="148" t="s">
        <v>200</v>
      </c>
      <c r="D360" s="161"/>
      <c r="E360" s="35"/>
      <c r="F360" s="218" t="str">
        <f>IF(E360="","",IF(G328="","Enter Stream Producitvity Rating",IF(G328="High",IF(E360&lt;5,0,IF(E360&gt;=40,1,ROUND(E360*'Reference Curves'!$T$15+'Reference Curves'!$T$16,2))),IF(G328="Moderate",IF(E360&lt;10,0,IF(E360&gt;=80,1,ROUND(E360*'Reference Curves'!$U$15+'Reference Curves'!$U$16,2))),IF(G328="Low",IF(E360&lt;15,0,IF(E360&gt;=119,1,ROUND(E360*'Reference Curves'!$V$15+'Reference Curves'!$V$16,2)))   )))))</f>
        <v/>
      </c>
      <c r="G360" s="429"/>
      <c r="H360" s="420"/>
      <c r="I360" s="430"/>
      <c r="J360" s="451"/>
      <c r="K360" s="10"/>
      <c r="N360" s="9"/>
    </row>
    <row r="361" spans="1:14" x14ac:dyDescent="0.45">
      <c r="J361" s="4"/>
      <c r="K361" s="10"/>
    </row>
    <row r="363" spans="1:14" ht="21" customHeight="1" x14ac:dyDescent="0.45">
      <c r="A363" s="408" t="s">
        <v>349</v>
      </c>
      <c r="B363" s="409"/>
      <c r="C363" s="409"/>
      <c r="D363" s="409"/>
      <c r="E363" s="409"/>
      <c r="F363" s="409"/>
      <c r="G363" s="409"/>
      <c r="H363" s="409"/>
      <c r="I363" s="409"/>
      <c r="J363" s="410"/>
    </row>
    <row r="364" spans="1:14" ht="16.149999999999999" customHeight="1" x14ac:dyDescent="0.45">
      <c r="A364" s="223" t="str">
        <f>'Existing Conditions'!A364</f>
        <v>Reach ID:</v>
      </c>
      <c r="B364" s="282">
        <f>'Existing Conditions'!B364</f>
        <v>0</v>
      </c>
      <c r="C364" s="223" t="str">
        <f>'Existing Conditions'!C364</f>
        <v>Stream Slope (%):</v>
      </c>
      <c r="D364" s="282">
        <f>'Existing Conditions'!D364</f>
        <v>0</v>
      </c>
      <c r="E364" s="449" t="s">
        <v>245</v>
      </c>
      <c r="F364" s="450"/>
      <c r="G364" s="224">
        <f>'Existing Conditions'!G364</f>
        <v>0</v>
      </c>
      <c r="H364" s="447" t="s">
        <v>121</v>
      </c>
      <c r="I364" s="448"/>
      <c r="J364" s="224">
        <f>'Existing Conditions'!J364</f>
        <v>0</v>
      </c>
    </row>
    <row r="365" spans="1:14" ht="16.149999999999999" customHeight="1" x14ac:dyDescent="0.45">
      <c r="A365" s="223" t="str">
        <f>'Existing Conditions'!A365</f>
        <v>Reference Stream Type:</v>
      </c>
      <c r="B365" s="282">
        <f>'Existing Conditions'!B365</f>
        <v>0</v>
      </c>
      <c r="C365" s="223" t="str">
        <f>'Existing Conditions'!C365</f>
        <v>Proposed Bankfull Width (ft):</v>
      </c>
      <c r="D365" s="282">
        <f>'Existing Conditions'!D365</f>
        <v>0</v>
      </c>
      <c r="E365" s="449" t="s">
        <v>247</v>
      </c>
      <c r="F365" s="450"/>
      <c r="G365" s="224">
        <f>'Existing Conditions'!G365</f>
        <v>0</v>
      </c>
      <c r="H365" s="447" t="s">
        <v>122</v>
      </c>
      <c r="I365" s="448"/>
      <c r="J365" s="224">
        <f>'Existing Conditions'!J365</f>
        <v>0</v>
      </c>
    </row>
    <row r="366" spans="1:14" ht="16.149999999999999" customHeight="1" x14ac:dyDescent="0.65">
      <c r="A366" s="223" t="str">
        <f>'Existing Conditions'!A366</f>
        <v>Flow Permanence:</v>
      </c>
      <c r="B366" s="282">
        <f>'Existing Conditions'!B366</f>
        <v>0</v>
      </c>
      <c r="C366" s="223" t="str">
        <f>'Existing Conditions'!C366</f>
        <v>Valley Type:</v>
      </c>
      <c r="D366" s="282">
        <f>'Existing Conditions'!D366</f>
        <v>0</v>
      </c>
      <c r="E366" s="449" t="s">
        <v>261</v>
      </c>
      <c r="F366" s="450"/>
      <c r="G366" s="224">
        <f>'Existing Conditions'!G366</f>
        <v>0</v>
      </c>
      <c r="H366" s="447" t="s">
        <v>123</v>
      </c>
      <c r="I366" s="448"/>
      <c r="J366" s="224">
        <f>'Existing Conditions'!J366</f>
        <v>0</v>
      </c>
      <c r="K366" s="26"/>
    </row>
    <row r="367" spans="1:14" ht="16.149999999999999" customHeight="1" x14ac:dyDescent="0.5">
      <c r="A367" s="223" t="str">
        <f>'Existing Conditions'!A367</f>
        <v>Strahler Stream Order:</v>
      </c>
      <c r="B367" s="282">
        <f>'Existing Conditions'!B367</f>
        <v>0</v>
      </c>
      <c r="C367" s="223" t="str">
        <f>'Existing Conditions'!C367</f>
        <v>Reference Vegetation Cover:</v>
      </c>
      <c r="D367" s="282">
        <f>'Existing Conditions'!D367</f>
        <v>0</v>
      </c>
      <c r="E367" s="445" t="s">
        <v>271</v>
      </c>
      <c r="F367" s="446"/>
      <c r="G367" s="224">
        <f>'Existing Conditions'!G367</f>
        <v>0</v>
      </c>
      <c r="H367" s="447" t="s">
        <v>124</v>
      </c>
      <c r="I367" s="448"/>
      <c r="J367" s="224">
        <f>'Existing Conditions'!J367</f>
        <v>0</v>
      </c>
      <c r="K367" s="39"/>
    </row>
    <row r="368" spans="1:14" ht="18" customHeight="1" x14ac:dyDescent="0.5">
      <c r="A368" s="223" t="str">
        <f>'Existing Conditions'!A368</f>
        <v>Outstanding Water:</v>
      </c>
      <c r="B368" s="282">
        <f>'Existing Conditions'!B368</f>
        <v>0</v>
      </c>
      <c r="C368" s="223" t="str">
        <f>'Existing Conditions'!C368</f>
        <v>Sediment Regime:</v>
      </c>
      <c r="D368" s="282">
        <f>'Existing Conditions'!D368</f>
        <v>0</v>
      </c>
      <c r="E368" s="449" t="s">
        <v>248</v>
      </c>
      <c r="F368" s="450"/>
      <c r="G368" s="224">
        <f>'Existing Conditions'!G368</f>
        <v>0</v>
      </c>
      <c r="H368" s="229"/>
      <c r="I368" s="229"/>
      <c r="J368" s="230"/>
      <c r="K368" s="39"/>
    </row>
    <row r="369" spans="1:14" ht="4.5" customHeight="1" x14ac:dyDescent="0.5">
      <c r="B369" s="58"/>
      <c r="C369" s="58"/>
      <c r="D369" s="58"/>
      <c r="E369" s="58"/>
      <c r="F369" s="58"/>
      <c r="G369" s="58"/>
      <c r="H369" s="58"/>
      <c r="I369" s="56"/>
      <c r="J369" s="10"/>
      <c r="K369" s="39"/>
    </row>
    <row r="370" spans="1:14" ht="19.899999999999999" customHeight="1" x14ac:dyDescent="0.65">
      <c r="A370" s="431" t="str">
        <f>_xlfn.CONCAT("PROPOSED CONDITION ASSESSMENT for Reach ",B364)</f>
        <v>PROPOSED CONDITION ASSESSMENT for Reach 0</v>
      </c>
      <c r="B370" s="431"/>
      <c r="C370" s="431"/>
      <c r="D370" s="431"/>
      <c r="E370" s="431"/>
      <c r="F370" s="431"/>
      <c r="G370" s="431" t="s">
        <v>13</v>
      </c>
      <c r="H370" s="431"/>
      <c r="I370" s="431"/>
      <c r="J370" s="431"/>
      <c r="K370" s="10"/>
    </row>
    <row r="371" spans="1:14" ht="15.75" x14ac:dyDescent="0.5">
      <c r="A371" s="32" t="s">
        <v>1</v>
      </c>
      <c r="B371" s="32" t="s">
        <v>2</v>
      </c>
      <c r="C371" s="432" t="s">
        <v>3</v>
      </c>
      <c r="D371" s="433"/>
      <c r="E371" s="32" t="s">
        <v>11</v>
      </c>
      <c r="F371" s="31" t="s">
        <v>12</v>
      </c>
      <c r="G371" s="32" t="s">
        <v>14</v>
      </c>
      <c r="H371" s="32" t="s">
        <v>15</v>
      </c>
      <c r="I371" s="57" t="s">
        <v>15</v>
      </c>
      <c r="J371" s="32" t="s">
        <v>160</v>
      </c>
      <c r="K371" s="10"/>
    </row>
    <row r="372" spans="1:14" ht="15.75" x14ac:dyDescent="0.5">
      <c r="A372" s="434" t="s">
        <v>173</v>
      </c>
      <c r="B372" s="437" t="s">
        <v>71</v>
      </c>
      <c r="C372" s="132" t="s">
        <v>138</v>
      </c>
      <c r="D372" s="149"/>
      <c r="E372" s="30"/>
      <c r="F372" s="202" t="str">
        <f>IF(E372="","",IF(E372&gt;78,0,IF(E372&lt;=55,1,ROUND(E372*'Reference Curves'!$B$3+'Reference Curves'!$B$4,2))))</f>
        <v/>
      </c>
      <c r="G372" s="411" t="str">
        <f>IFERROR(AVERAGE(F372:F373),"")</f>
        <v/>
      </c>
      <c r="H372" s="411" t="str">
        <f>IFERROR(ROUND(AVERAGE(G372:G378),2),"")</f>
        <v/>
      </c>
      <c r="I372" s="438" t="str">
        <f>IF(H372="","",IF(H372:H378&gt;0.69,"Functioning",IF(H372&gt;0.29,"Functioning At Risk",IF(H372&gt;-1,"Not Functioning"))))</f>
        <v/>
      </c>
      <c r="J372" s="451" t="str">
        <f>IF(AND(H372="",H379="",H393="",H397=""),"",ROUND((IF(H372="",0,H372)*0.3)+(IF(H379="",0,H379)*0.3)+(IF(H393="",0,H393)*0.2)+(IF(H397="",0,H397)*0.2),2))</f>
        <v/>
      </c>
      <c r="K372" s="10"/>
    </row>
    <row r="373" spans="1:14" ht="15.75" x14ac:dyDescent="0.5">
      <c r="A373" s="434"/>
      <c r="B373" s="437"/>
      <c r="C373" s="133" t="s">
        <v>184</v>
      </c>
      <c r="D373" s="150"/>
      <c r="E373" s="35"/>
      <c r="F373" s="203" t="str">
        <f>IF(E373="","",   IF(E373&gt;3.2,0, IF(E373&lt;0, "", ROUND('Reference Curves'!$B$8*E373+'Reference Curves'!$B$9,2))))</f>
        <v/>
      </c>
      <c r="G373" s="412"/>
      <c r="H373" s="412"/>
      <c r="I373" s="439"/>
      <c r="J373" s="451"/>
      <c r="K373" s="10"/>
    </row>
    <row r="374" spans="1:14" ht="15.75" x14ac:dyDescent="0.5">
      <c r="A374" s="434"/>
      <c r="B374" s="400" t="s">
        <v>185</v>
      </c>
      <c r="C374" s="134" t="s">
        <v>186</v>
      </c>
      <c r="D374" s="149"/>
      <c r="E374" s="34"/>
      <c r="F374" s="204" t="s">
        <v>285</v>
      </c>
      <c r="G374" s="411" t="str">
        <f>IFERROR(IF(AND(ISNUMBER(E374),E374&lt;1),0,AVERAGE(F374:F375)),"")</f>
        <v/>
      </c>
      <c r="H374" s="412"/>
      <c r="I374" s="439"/>
      <c r="J374" s="451"/>
      <c r="K374" s="10"/>
    </row>
    <row r="375" spans="1:14" ht="15.75" x14ac:dyDescent="0.5">
      <c r="A375" s="434"/>
      <c r="B375" s="401"/>
      <c r="C375" s="151" t="s">
        <v>187</v>
      </c>
      <c r="D375" s="152"/>
      <c r="E375" s="34"/>
      <c r="F375" s="205" t="str">
        <f>IF(E375="","",IF(G364= "CS-II", ROUND(IF(E375&lt;=0.6,0, IF(E375&gt;=2.3,1,E375*'Reference Curves'!$D$14+'Reference Curves'!$D$15)),2),IF(AND(D365&lt;20,LEFT(G364,2)="CS"), ROUND(IF(E375&lt;=0.2,0, IF(E375&gt;=1,1,E375*'Reference Curves'!$B$14+'Reference Curves'!$B$15)),2), IF(AND(D365&gt;=20,LEFT(G364,2)= "CS"), ROUND(IF(E375&lt;=0.4,0, IF(E375&gt;=1.5,1,E375*'Reference Curves'!$C$14+'Reference Curves'!$C$15)),2),"FALSE"))))</f>
        <v/>
      </c>
      <c r="G375" s="413"/>
      <c r="H375" s="412"/>
      <c r="I375" s="439"/>
      <c r="J375" s="451"/>
      <c r="K375" s="10"/>
    </row>
    <row r="376" spans="1:14" ht="15.75" x14ac:dyDescent="0.5">
      <c r="A376" s="434"/>
      <c r="B376" s="437" t="s">
        <v>4</v>
      </c>
      <c r="C376" s="133" t="s">
        <v>5</v>
      </c>
      <c r="D376" s="14"/>
      <c r="E376" s="30"/>
      <c r="F376" s="206" t="str">
        <f>IF( E376="","",
IF( E376&gt;1.71,0, IF( E376&gt;1, ROUND(E376*'Reference Curves'!C$20+'Reference Curves'!C$21,2),
IF( D368="Transport", ROUND(IF( E376&lt;0.35,0, E376*'Reference Curves'!$B$20+'Reference Curves'!$B$21 ),2), 1 ))))</f>
        <v/>
      </c>
      <c r="G376" s="411" t="str">
        <f>IFERROR(AVERAGE(F376:F378),"")</f>
        <v/>
      </c>
      <c r="H376" s="412"/>
      <c r="I376" s="439"/>
      <c r="J376" s="451"/>
      <c r="K376" s="10"/>
      <c r="N376" s="9"/>
    </row>
    <row r="377" spans="1:14" ht="15.75" x14ac:dyDescent="0.5">
      <c r="A377" s="434"/>
      <c r="B377" s="437"/>
      <c r="C377" s="133" t="s">
        <v>6</v>
      </c>
      <c r="D377" s="14"/>
      <c r="E377" s="34"/>
      <c r="F377" s="205" t="str">
        <f>IF(E377="","",IF(OR(LEFT(B365,1)="A",LEFT(B365,1)="B"),IF(E377&lt;1.05,0,IF(E377&gt;=2.2,1,ROUND(IF(E377&lt;1.4,E377*'Reference Curves'!$B$40+'Reference Curves'!$B$41,E377*'Reference Curves'!$C$40+'Reference Curves'!$C$41),2))), IF(B365="C",IF(E377&lt;1.7,0,IF(E377&gt;=4.2,1,ROUND(IF(E377&lt;2.4,E377*'Reference Curves'!$C$25+'Reference Curves'!$C$26,E377*'Reference Curves'!$B$25+'Reference Curves'!$B$26),2))),                                                                                                                                                                                                                    IF(B365="Cb",IF(E377&lt;1.7,0,IF(E377&gt;=3.9,1,ROUND(IF(E377&lt;2.4,E377*'Reference Curves'!$C$30+'Reference Curves'!$C$31,E377*'Reference Curves'!$B$30+'Reference Curves'!$B$31),2))),
IF(LEFT(B365,1)="E",IF(E377&lt;1.7,0,IF(E377&gt;=6.7,1,ROUND(IF(E377&lt;2.4,E377*'Reference Curves'!$C$35+'Reference Curves'!$C$36,E377*'Reference Curves'!$B$35+'Reference Curves'!$B$36),2))))))))</f>
        <v/>
      </c>
      <c r="G377" s="412"/>
      <c r="H377" s="412"/>
      <c r="I377" s="439"/>
      <c r="J377" s="451"/>
      <c r="K377" s="10"/>
      <c r="N377" s="9"/>
    </row>
    <row r="378" spans="1:14" ht="15.75" customHeight="1" x14ac:dyDescent="0.5">
      <c r="A378" s="434"/>
      <c r="B378" s="437"/>
      <c r="C378" s="135" t="s">
        <v>188</v>
      </c>
      <c r="D378" s="14"/>
      <c r="E378" s="35"/>
      <c r="F378" s="207" t="str">
        <f>IF(E378="","",IF(D366="Unconfined Alluvial",IF(E378&lt;=0,0, IF(E378&gt;=100,1, ROUND(IF(E378&lt;10,E378*'Reference Curves'!$B$46+'Reference Curves'!$B$47, IF(E378&lt;50,E378*'Reference Curves'!$C$46+'Reference Curves'!$C$47,E378*'Reference Curves'!$D$46+'Reference Curves'!$D$47)),2))), IF(D366="Confined Alluvial",IF(E378&lt;=0,0,IF(E378&gt;=50,1,ROUND(IF(E378&lt;5,E378*'Reference Curves'!$E$46+'Reference Curves'!$E$47,IF(E378&lt;25,E378*'Reference Curves'!$F$46+'Reference Curves'!$F$47,E378*'Reference Curves'!$G$46+'Reference Curves'!$G$47)),2))))))</f>
        <v/>
      </c>
      <c r="G378" s="413"/>
      <c r="H378" s="413"/>
      <c r="I378" s="440"/>
      <c r="J378" s="451"/>
      <c r="K378" s="10"/>
      <c r="N378" s="9"/>
    </row>
    <row r="379" spans="1:14" ht="15.75" x14ac:dyDescent="0.5">
      <c r="A379" s="399" t="s">
        <v>20</v>
      </c>
      <c r="B379" s="399" t="s">
        <v>21</v>
      </c>
      <c r="C379" s="16" t="s">
        <v>19</v>
      </c>
      <c r="D379" s="46"/>
      <c r="E379" s="30"/>
      <c r="F379" s="208" t="str">
        <f>IF(E379="","",IF(E379&gt;=660,1,IF(E379&lt;=430,ROUND('Reference Curves'!$I$4*E379+'Reference Curves'!$I$5,2),ROUND('Reference Curves'!$J$4*E379+'Reference Curves'!$J$5,2))))</f>
        <v/>
      </c>
      <c r="G379" s="414" t="str">
        <f>IFERROR(AVERAGE(F379:F380),"")</f>
        <v/>
      </c>
      <c r="H379" s="414" t="str">
        <f>IFERROR(ROUND(AVERAGE(G379:G392),2),"")</f>
        <v/>
      </c>
      <c r="I379" s="417" t="str">
        <f>IF(H379="","",IF(H379&gt;0.69,"Functioning",IF(H379&gt;0.29,"Functioning At Risk",IF(H379&gt;-1,"Not Functioning"))))</f>
        <v/>
      </c>
      <c r="J379" s="451"/>
      <c r="K379" s="10"/>
      <c r="N379" s="9"/>
    </row>
    <row r="380" spans="1:14" ht="15.75" x14ac:dyDescent="0.5">
      <c r="A380" s="399"/>
      <c r="B380" s="399"/>
      <c r="C380" s="18" t="s">
        <v>189</v>
      </c>
      <c r="D380" s="47"/>
      <c r="E380" s="35"/>
      <c r="F380" s="209" t="str">
        <f>IF(E380="","",IF(E380&gt;=28,1,ROUND(IF(E380&lt;=13,'Reference Curves'!$I$9*E380,'Reference Curves'!$J$9*E380+'Reference Curves'!$J$10),2)))</f>
        <v/>
      </c>
      <c r="G380" s="416"/>
      <c r="H380" s="415"/>
      <c r="I380" s="418"/>
      <c r="J380" s="451"/>
      <c r="K380" s="10"/>
      <c r="N380" s="9"/>
    </row>
    <row r="381" spans="1:14" ht="15.75" x14ac:dyDescent="0.5">
      <c r="A381" s="399"/>
      <c r="B381" s="399" t="s">
        <v>114</v>
      </c>
      <c r="C381" s="16" t="s">
        <v>190</v>
      </c>
      <c r="D381" s="46"/>
      <c r="E381" s="78"/>
      <c r="F381" s="208" t="str">
        <f>IF(E381="","",ROUND(IF(E381&lt;=2,0,IF(E381&gt;=9,1, IF(E381&gt;=5,E381^2*'Reference Curves'!$I$14+E381*'Reference Curves'!$I$15+'Reference Curves'!$I$16, E381*'Reference Curves'!$J$15+'Reference Curves'!$J$16))),2))</f>
        <v/>
      </c>
      <c r="G381" s="414" t="str">
        <f>IFERROR(IF(E384&gt;=50,0,AVERAGE(F381:F384)),"")</f>
        <v/>
      </c>
      <c r="H381" s="415"/>
      <c r="I381" s="418"/>
      <c r="J381" s="451"/>
      <c r="K381" s="10"/>
      <c r="N381" s="9"/>
    </row>
    <row r="382" spans="1:14" ht="15.75" x14ac:dyDescent="0.5">
      <c r="A382" s="399"/>
      <c r="B382" s="399"/>
      <c r="C382" s="18" t="s">
        <v>42</v>
      </c>
      <c r="D382" s="67"/>
      <c r="E382" s="78"/>
      <c r="F382" s="210" t="str">
        <f>IF(E382="","",IF(OR(E382="Ex/Ex",E382="Ex/VH",E382="Ex/H",E382="Ex/M",E382="VH/Ex",E382="VH/VH", E382="H/Ex",E382="H/VH"),0, IF(OR(E382="M/Ex"),0.1,IF(OR(E382="VH/H",E382="VH/M",E382="H/H",E382="H/M", E382="M/VH"),0.2, IF(OR(E382="Ex/VL",E382="Ex/L", E382="M/H"),0.3, IF(OR(E382="VH/L",E382="H/L"),0.4, IF(OR(E382="VH/VL",E382="H/VL",E382="M/M"),0.5, IF(OR(E382="M/L",E382="L/Ex"),0.6, IF(OR(E382="M/VL",E382="L/VH", E382="L/H",E382="L/M",E382="L/L",E382="L/VL", LEFT(E382,2)="VL"),1)))))))))</f>
        <v/>
      </c>
      <c r="G382" s="415"/>
      <c r="H382" s="415"/>
      <c r="I382" s="418"/>
      <c r="J382" s="451"/>
      <c r="K382" s="10"/>
      <c r="N382" s="9"/>
    </row>
    <row r="383" spans="1:14" ht="15.75" x14ac:dyDescent="0.5">
      <c r="A383" s="399"/>
      <c r="B383" s="399"/>
      <c r="C383" s="136" t="s">
        <v>54</v>
      </c>
      <c r="D383" s="67"/>
      <c r="E383" s="78"/>
      <c r="F383" s="210" t="str">
        <f>IF(E383="","",ROUND(IF(E383&gt;=75,0,IF(E383&lt;=5,1,IF(E383&gt;10,E383*'Reference Curves'!I$20+'Reference Curves'!I$21,'Reference Curves'!$J$20*E383+'Reference Curves'!$J$21))),2))</f>
        <v/>
      </c>
      <c r="G383" s="421"/>
      <c r="H383" s="415"/>
      <c r="I383" s="418"/>
      <c r="J383" s="451"/>
      <c r="K383" s="10"/>
      <c r="N383" s="9"/>
    </row>
    <row r="384" spans="1:14" ht="15.75" x14ac:dyDescent="0.5">
      <c r="A384" s="399"/>
      <c r="B384" s="399"/>
      <c r="C384" s="137" t="s">
        <v>113</v>
      </c>
      <c r="D384" s="154"/>
      <c r="E384" s="153"/>
      <c r="F384" s="211" t="str">
        <f>IF(E384="","",IF(E384&gt;=30,0,ROUND(E384*'Reference Curves'!$I$24+'Reference Curves'!$I$25,2)))</f>
        <v/>
      </c>
      <c r="G384" s="416"/>
      <c r="H384" s="415"/>
      <c r="I384" s="418"/>
      <c r="J384" s="451"/>
      <c r="K384" s="10"/>
      <c r="N384" s="9"/>
    </row>
    <row r="385" spans="1:14" ht="15.75" x14ac:dyDescent="0.5">
      <c r="A385" s="399"/>
      <c r="B385" s="399" t="s">
        <v>44</v>
      </c>
      <c r="C385" s="16" t="s">
        <v>45</v>
      </c>
      <c r="D385" s="20"/>
      <c r="E385" s="37"/>
      <c r="F385" s="212" t="str">
        <f>IF(E385="","",IF(B365="Bc",IF(OR(E385&gt;=12,E385&lt;=0.1),0,IF(E385&lt;=3.4,1,ROUND('Reference Curves'!$I$33*E385+'Reference Curves'!$I$34,2))),
IF(OR(B365="B",B365="Ba"),IF(OR(E385&gt;=7.5,E385&lt;=0.1),0,IF(E385&lt;=3,1,ROUND(IF(E385&gt;4,'Reference Curves'!$I$29*E385+'Reference Curves'!$I$30,'Reference Curves'!$J$29*E385+'Reference Curves'!$J$30),2))),
IF(B365="Cb",IF(OR(E385&gt;=8.35,E385&lt;1.4),0,IF(AND(E385&gt;=3.7,E385&lt;=5),1,ROUND(IF(E385&lt;3.7,'Reference Curves'!$I$49*E385+'Reference Curves'!$I$50,'Reference Curves'!$J$49*E385+'Reference Curves'!$J$50),2))),
IF(B365="C",IF(OR(E385&gt;=9.3,E385&lt;=3),0,IF(AND(E385&gt;=4,E385&lt;=6),1,ROUND(IF(E385&lt;4,'Reference Curves'!$I$44*E385+'Reference Curves'!$I$45,'Reference Curves'!$J$44*E385+'Reference Curves'!$J$45),2))),
IF(B365="E",IF(OR(E385&gt;=8.3,E385&lt;1.85),0,IF(AND(E385&gt;=3.5,E385&lt;=5),1,ROUND(IF(E385&lt;3.5,'Reference Curves'!$I$38*E385+'Reference Curves'!$I$39,'Reference Curves'!$J$38*E385+'Reference Curves'!$J$39),2)))      ))))))</f>
        <v/>
      </c>
      <c r="G385" s="425" t="str">
        <f>IFERROR(AVERAGE(F385:F388),"")</f>
        <v/>
      </c>
      <c r="H385" s="415"/>
      <c r="I385" s="418"/>
      <c r="J385" s="451"/>
      <c r="K385" s="10"/>
      <c r="N385" s="9"/>
    </row>
    <row r="386" spans="1:14" ht="15.75" x14ac:dyDescent="0.5">
      <c r="A386" s="399"/>
      <c r="B386" s="399"/>
      <c r="C386" s="18" t="s">
        <v>46</v>
      </c>
      <c r="D386" s="15"/>
      <c r="E386" s="36"/>
      <c r="F386" s="213" t="str">
        <f>IF(E386="","",IF(E386&lt;=1,0,IF(E386&gt;=3.2,1,IF(E386&gt;=2.2,ROUND('Reference Curves'!$J$54*E386+'Reference Curves'!$J$55,2),(ROUND('Reference Curves'!$I$54*E386+'Reference Curves'!$I$55,2))))))</f>
        <v/>
      </c>
      <c r="G386" s="421"/>
      <c r="H386" s="415"/>
      <c r="I386" s="418"/>
      <c r="J386" s="451"/>
      <c r="K386" s="10"/>
      <c r="N386" s="9"/>
    </row>
    <row r="387" spans="1:14" ht="15.75" customHeight="1" x14ac:dyDescent="0.5">
      <c r="A387" s="399"/>
      <c r="B387" s="399"/>
      <c r="C387" s="18" t="s">
        <v>92</v>
      </c>
      <c r="D387" s="15"/>
      <c r="E387" s="36"/>
      <c r="F387" s="283" t="str">
        <f>IF(E387="","", IF(D364="","FALSE",IF(D364&lt; 3,IF( OR(E387&gt;=91,E387&lt;=13.5),0, IF(AND(E387&gt;49,E387&lt;61), 1, ROUND(IF(E387&lt;50,'Reference Curves'!$I$60*E387+'Reference Curves'!$I$61, IF(E387&gt;60,'Reference Curves'!$J$60*E387+'Reference Curves'!$J$61)),2))), IF(D364&gt;=3,IF(OR(E387&gt;94.5,E387&lt;41.5),0, IF(AND(E387 &gt;=68, E387&lt;=78),1, ROUND(IF(E387&lt;68,'Reference Curves'!$I$65*E387+'Reference Curves'!$I$66,'Reference Curves'!$J$65*E387+'Reference Curves'!$J$66),2) ))))))</f>
        <v/>
      </c>
      <c r="G387" s="421"/>
      <c r="H387" s="415"/>
      <c r="I387" s="418"/>
      <c r="J387" s="451"/>
      <c r="K387" s="10"/>
      <c r="N387" s="9"/>
    </row>
    <row r="388" spans="1:14" ht="15.75" x14ac:dyDescent="0.5">
      <c r="A388" s="399"/>
      <c r="B388" s="399"/>
      <c r="C388" s="19" t="s">
        <v>79</v>
      </c>
      <c r="D388" s="15"/>
      <c r="E388" s="38"/>
      <c r="F388" s="284" t="str">
        <f>IF(E388="","",IF(E388&gt;=1.6,0,IF(E388&lt;=1,1,ROUND('Reference Curves'!$I$74*E388^3+'Reference Curves'!$I$75*E388^2+'Reference Curves'!$I$76*E388+'Reference Curves'!$I$77,2))))</f>
        <v/>
      </c>
      <c r="G388" s="426"/>
      <c r="H388" s="415"/>
      <c r="I388" s="418"/>
      <c r="J388" s="451"/>
      <c r="K388" s="10"/>
      <c r="N388" s="9"/>
    </row>
    <row r="389" spans="1:14" ht="15.75" x14ac:dyDescent="0.5">
      <c r="A389" s="399"/>
      <c r="B389" s="399" t="s">
        <v>43</v>
      </c>
      <c r="C389" s="18" t="s">
        <v>201</v>
      </c>
      <c r="D389" s="46"/>
      <c r="E389" s="17"/>
      <c r="F389" s="214" t="str">
        <f>IF( E389="","",
IF( D366="Unconfined Alluvial", IF( E389&gt;=100,1,
ROUND('Reference Curves'!$I$82*E389+'Reference Curves'!$I$83,2) ),
IF( OR(D366="Confined Alluvial", D366="Colluvial/V-Shaped"), ( IF(E389&gt;=100,1,
IF(E389&gt;=60, ROUND('Reference Curves'!$J$82*E389+'Reference Curves'!$J$83,2), ROUND('Reference Curves'!$K$82*E389+'Reference Curves'!$K$83,2) ) ) ) ) ) )</f>
        <v/>
      </c>
      <c r="G389" s="414" t="str">
        <f>IFERROR(AVERAGE(F389:F392),"")</f>
        <v/>
      </c>
      <c r="H389" s="415"/>
      <c r="I389" s="418"/>
      <c r="J389" s="451"/>
      <c r="K389" s="10"/>
      <c r="N389" s="9"/>
    </row>
    <row r="390" spans="1:14" ht="15.75" x14ac:dyDescent="0.5">
      <c r="A390" s="399"/>
      <c r="B390" s="399"/>
      <c r="C390" s="18" t="s">
        <v>191</v>
      </c>
      <c r="D390" s="67"/>
      <c r="E390" s="79"/>
      <c r="F390" s="213" t="str">
        <f>IF( E390="","", IF(D367&lt;&gt;"Woody","FALSE", IF( OR(G366="Mountains",G366="Basins"),
IF(E390&lt;=0,0, IF(E390&gt;=122,1, IF(E390&lt;69, ROUND('Reference Curves'!$I$87*E390+'Reference Curves'!$I$88,2), ROUND('Reference Curves'!$J$87*E390+'Reference Curves'!$J$88,2) ) ) ),
IF(G366="Plains",IF(OR(E390&lt;=0,E390&gt;111),0,IF(AND(E390&gt;=69,E390&lt;=76),1,IF(E390&lt;69,ROUND(E390*'Reference Curves'!$I$92+'Reference Curves'!$I$93,2),ROUND(E390*'Reference Curves'!$J$92+'Reference Curves'!$J$93,2))))))))</f>
        <v/>
      </c>
      <c r="G390" s="415"/>
      <c r="H390" s="415"/>
      <c r="I390" s="418"/>
      <c r="J390" s="451"/>
      <c r="K390" s="10"/>
      <c r="N390" s="9"/>
    </row>
    <row r="391" spans="1:14" ht="15.75" x14ac:dyDescent="0.5">
      <c r="A391" s="399"/>
      <c r="B391" s="399"/>
      <c r="C391" s="18" t="s">
        <v>141</v>
      </c>
      <c r="D391" s="67"/>
      <c r="E391" s="79"/>
      <c r="F391" s="213" t="str">
        <f>IF(E391="","",IF(D367="Herbaceous",IF(E391&lt;=34,0,IF(E391&gt;=120,1,IF(E391&gt;73,ROUND(E391*'Reference Curves'!$J$98+'Reference Curves'!$J$99,2),ROUND(E391*'Reference Curves'!$I$98+'Reference Curves'!$I$99,2))))))</f>
        <v/>
      </c>
      <c r="G391" s="421"/>
      <c r="H391" s="415"/>
      <c r="I391" s="418"/>
      <c r="J391" s="451"/>
      <c r="K391" s="10"/>
      <c r="N391" s="9"/>
    </row>
    <row r="392" spans="1:14" ht="15.75" x14ac:dyDescent="0.5">
      <c r="A392" s="399"/>
      <c r="B392" s="399"/>
      <c r="C392" s="138" t="s">
        <v>192</v>
      </c>
      <c r="D392" s="158"/>
      <c r="E392" s="162"/>
      <c r="F392" s="283" t="str">
        <f>IF(E392="","",IF(E392&lt;=46,0,IF(E392&gt;=100,1,IF(AND(E392&lt;=100,E392&gt;91),ROUND(E392*'Reference Curves'!$J$103+'Reference Curves'!$J$104,2),ROUND(E392*'Reference Curves'!$I$103+'Reference Curves'!$I$104,2)))))</f>
        <v/>
      </c>
      <c r="G392" s="416"/>
      <c r="H392" s="416"/>
      <c r="I392" s="419"/>
      <c r="J392" s="451"/>
      <c r="K392" s="10"/>
      <c r="N392" s="9"/>
    </row>
    <row r="393" spans="1:14" ht="15.75" x14ac:dyDescent="0.5">
      <c r="A393" s="436" t="s">
        <v>47</v>
      </c>
      <c r="B393" s="441" t="s">
        <v>139</v>
      </c>
      <c r="C393" s="139" t="s">
        <v>193</v>
      </c>
      <c r="D393" s="160"/>
      <c r="E393" s="30"/>
      <c r="F393" s="215" t="str">
        <f>IF(E393="","",IF(G364="","Enter Stream Temperature",  IF(G364="CS-I (MWF)",IF(E393&gt;=21.2,0,1),  IF(G364="CS-I",IF(E393&gt;=21.7,0,1),  IF(G364="CS-II",IF(E393&gt;=23.9,0,1),  IF(G364="WS-I",IF(E393&gt;=29,0,1),  IF(G364="WS-II",IF(E393&gt;=28.6,0,1), IF(G364="WS-III",IF(E393&gt;=31.8,0,1)))))))))</f>
        <v/>
      </c>
      <c r="G393" s="422" t="str">
        <f>IFERROR(AVERAGE(F393:F394),"")</f>
        <v/>
      </c>
      <c r="H393" s="422" t="str">
        <f>IFERROR(ROUND(AVERAGE(G393:G396),2),"")</f>
        <v/>
      </c>
      <c r="I393" s="430" t="str">
        <f>IF(H393="","",IF(H393&gt;0.69,"Functioning",IF(H393&gt;0.29,"Functioning At Risk",IF(H393&gt;-1,"Not Functioning"))))</f>
        <v/>
      </c>
      <c r="J393" s="451"/>
      <c r="K393" s="10"/>
      <c r="N393" s="9"/>
    </row>
    <row r="394" spans="1:14" ht="15.75" x14ac:dyDescent="0.5">
      <c r="A394" s="436"/>
      <c r="B394" s="441"/>
      <c r="C394" s="140" t="s">
        <v>194</v>
      </c>
      <c r="D394" s="155"/>
      <c r="E394" s="35"/>
      <c r="F394" s="216" t="str">
        <f>IF(E394="","",IF(G364="","Enter Stream Temperature",  IF(G364="CS-I (MWF)",IF(E394&gt;=18.3,0,IF(E394&lt;=13.8,1,ROUND(E394*'Reference Curves'!$M$4+'Reference Curves'!$M$5,2))),  IF(G364="CS-I",IF(E394&gt;=17.6,0,IF(E394&lt;=15.7,1,ROUND(E394*'Reference Curves'!$N$4+'Reference Curves'!$N$5,2))),  IF(G364="CS-II",IF(E394&gt;=19.1,0,IF(E394&lt;=16.6,1,ROUND(E394*'Reference Curves'!$O$4+'Reference Curves'!$O$5,2))),  IF(G364="WS-I",IF(E394&gt;=25.7,0,IF(E394&lt;=20.9,1,ROUND(E394*'Reference Curves'!$P$4+'Reference Curves'!$P$5,2))),  IF(G364="WS-II",IF(E394&gt;=29.7,0,IF(E394&lt;=22.5,1,ROUND(E394*'Reference Curves'!$Q$4+'Reference Curves'!$Q$5,2))), IF(G364="WS-III",IF(E394&gt;=30,0,IF(E394&lt;=25.9,1,ROUND(E394*'Reference Curves'!$R$4+'Reference Curves'!$R$5,2)))    ))))))))</f>
        <v/>
      </c>
      <c r="G394" s="424"/>
      <c r="H394" s="423"/>
      <c r="I394" s="430"/>
      <c r="J394" s="451"/>
      <c r="K394" s="10"/>
      <c r="N394" s="9"/>
    </row>
    <row r="395" spans="1:14" ht="15.75" x14ac:dyDescent="0.5">
      <c r="A395" s="436"/>
      <c r="B395" s="192" t="s">
        <v>140</v>
      </c>
      <c r="C395" s="142" t="s">
        <v>195</v>
      </c>
      <c r="D395" s="156"/>
      <c r="E395" s="54"/>
      <c r="F395" s="216" t="str">
        <f>IF(E395="","",ROUND( IF(E395&lt;=6,0, IF(E395&gt;=10.31,1,E395*'Reference Curves'!$M$8+'Reference Curves'!$M$9)),2))</f>
        <v/>
      </c>
      <c r="G395" s="163" t="str">
        <f>IFERROR(AVERAGE(F395),"")</f>
        <v/>
      </c>
      <c r="H395" s="423"/>
      <c r="I395" s="430"/>
      <c r="J395" s="451"/>
      <c r="K395" s="10"/>
      <c r="N395" s="9"/>
    </row>
    <row r="396" spans="1:14" ht="15.75" x14ac:dyDescent="0.5">
      <c r="A396" s="436"/>
      <c r="B396" s="192" t="s">
        <v>196</v>
      </c>
      <c r="C396" s="143" t="s">
        <v>357</v>
      </c>
      <c r="D396" s="157"/>
      <c r="E396" s="54"/>
      <c r="F396" s="216" t="str">
        <f>IF(E396="","",IF(OR(G365=3),IF(E396&gt;=150,0,IF(E396&lt;=16,1,ROUND('Reference Curves'!$M$13*LN(E396)+'Reference Curves'!$M$14,2))), IF(OR(G365=1,G365=2),  IF(E396&gt;=97,0,IF(E396&lt;=12,1,ROUND('Reference Curves'!$N$13*LN(E396)+'Reference Curves'!$N$14,2))))))</f>
        <v/>
      </c>
      <c r="G396" s="163" t="str">
        <f>IFERROR(AVERAGE(F396),"")</f>
        <v/>
      </c>
      <c r="H396" s="424"/>
      <c r="I396" s="430"/>
      <c r="J396" s="451"/>
      <c r="K396" s="10"/>
      <c r="N396" s="9"/>
    </row>
    <row r="397" spans="1:14" ht="15.75" x14ac:dyDescent="0.5">
      <c r="A397" s="435" t="s">
        <v>48</v>
      </c>
      <c r="B397" s="191" t="s">
        <v>93</v>
      </c>
      <c r="C397" s="145" t="s">
        <v>197</v>
      </c>
      <c r="D397" s="28"/>
      <c r="E397" s="54"/>
      <c r="F397" s="217" t="str">
        <f>IF(E397="","",IF(G365="","Enter Biotype",IF(G365=1,IF(E397&lt;=0,0,IF(E397&gt;=57,1,ROUND(IF(E397&lt;=34,'Reference Curves'!$T$5*E397+'Reference Curves'!$T$6,  IF(E397&lt;=45, 'Reference Curves'!$U$5*E397+'Reference Curves'!$U$6,  'Reference Curves'!$V$5*E397+'Reference Curves'!$V$6)),2))),   IF(G365=2,IF(E397&lt;=0,0,IF(E397&gt;=63,1,ROUND(IF(E397&lt;=40,'Reference Curves'!$W$5*E397+'Reference Curves'!$W$6,  IF(E397&lt;=48,'Reference Curves'!$X$5*E397+'Reference Curves'!$X$6,  'Reference Curves'!$Y$5*E397+'Reference Curves'!$Y$6)),2))),   IF(OR(G365=3),IF(E397&lt;=0,0,IF(E397&gt;=52,1,ROUND(IF(E397&lt;=29,'Reference Curves'!$Z$5*E397+'Reference Curves'!$Z$6, IF(E397&lt;=42, 'Reference Curves'!$AA$5*E397+'Reference Curves'!$AA$6,  'Reference Curves'!$AB$5*E397+'Reference Curves'!$AB$6)),2))))))))</f>
        <v/>
      </c>
      <c r="G397" s="164" t="str">
        <f>IFERROR(AVERAGE(F397),"")</f>
        <v/>
      </c>
      <c r="H397" s="420" t="str">
        <f>IFERROR(ROUND(AVERAGE(G397:G400),2),"")</f>
        <v/>
      </c>
      <c r="I397" s="430" t="str">
        <f>IF(H397="","",IF(H397&gt;0.69,"Functioning",IF(H397&gt;0.29,"Functioning At Risk",IF(H397&gt;-1,"Not Functioning"))))</f>
        <v/>
      </c>
      <c r="J397" s="451"/>
      <c r="K397" s="10"/>
      <c r="N397" s="9"/>
    </row>
    <row r="398" spans="1:14" ht="15.75" x14ac:dyDescent="0.5">
      <c r="A398" s="435"/>
      <c r="B398" s="398" t="s">
        <v>51</v>
      </c>
      <c r="C398" s="146" t="s">
        <v>198</v>
      </c>
      <c r="D398" s="28"/>
      <c r="E398" s="30"/>
      <c r="F398" s="164" t="str">
        <f>IF(E398="","",IF(E398&lt;=0,0,IF(E398&gt;=100,1,ROUND(IF(E398&lt;80,E398*'Reference Curves'!$T$10+'Reference Curves'!$T$11,E398*'Reference Curves'!$U$10+'Reference Curves'!$U$11),2))))</f>
        <v/>
      </c>
      <c r="G398" s="427" t="str">
        <f>IFERROR(AVERAGE(F398:F400),"")</f>
        <v/>
      </c>
      <c r="H398" s="420"/>
      <c r="I398" s="430"/>
      <c r="J398" s="451"/>
      <c r="K398" s="10"/>
      <c r="N398" s="9"/>
    </row>
    <row r="399" spans="1:14" ht="15.75" x14ac:dyDescent="0.5">
      <c r="A399" s="435"/>
      <c r="B399" s="398"/>
      <c r="C399" s="147" t="s">
        <v>199</v>
      </c>
      <c r="D399" s="159"/>
      <c r="E399" s="34"/>
      <c r="F399" s="164" t="str">
        <f>IF(E399="","",ROUND(IF(E399&gt;=3,0,IF(E399&gt;=2,0.3,IF(E399&gt;=1,0.69,1))),2))</f>
        <v/>
      </c>
      <c r="G399" s="428"/>
      <c r="H399" s="420"/>
      <c r="I399" s="430"/>
      <c r="J399" s="451"/>
      <c r="K399" s="10"/>
      <c r="N399" s="9"/>
    </row>
    <row r="400" spans="1:14" ht="15.75" x14ac:dyDescent="0.5">
      <c r="A400" s="435"/>
      <c r="B400" s="398"/>
      <c r="C400" s="148" t="s">
        <v>200</v>
      </c>
      <c r="D400" s="161"/>
      <c r="E400" s="35"/>
      <c r="F400" s="218" t="str">
        <f>IF(E400="","",IF(G368="","Enter Stream Producitvity Rating",IF(G368="High",IF(E400&lt;5,0,IF(E400&gt;=40,1,ROUND(E400*'Reference Curves'!$T$15+'Reference Curves'!$T$16,2))),IF(G368="Moderate",IF(E400&lt;10,0,IF(E400&gt;=80,1,ROUND(E400*'Reference Curves'!$U$15+'Reference Curves'!$U$16,2))),IF(G368="Low",IF(E400&lt;15,0,IF(E400&gt;=119,1,ROUND(E400*'Reference Curves'!$V$15+'Reference Curves'!$V$16,2)))   )))))</f>
        <v/>
      </c>
      <c r="G400" s="429"/>
      <c r="H400" s="420"/>
      <c r="I400" s="430"/>
      <c r="J400" s="451"/>
      <c r="K400" s="10"/>
      <c r="N400" s="9"/>
    </row>
    <row r="401" spans="10:11" ht="27.75" customHeight="1" x14ac:dyDescent="0.45">
      <c r="J401" s="4"/>
      <c r="K401" s="10"/>
    </row>
  </sheetData>
  <sheetProtection algorithmName="SHA-512" hashValue="OKJPKc9MqRhtopTuFn4uW1GS2WwM2W82e0NjhFQiNEP145vSPHS5ApiA9wbpMTNjs1gLIzAsrMNVpGtGSUdAvw==" saltValue="bW5Q9xzSW/fJWR+UA94Jcg==" spinCount="100000" sheet="1" formatColumns="0"/>
  <dataConsolidate/>
  <mergeCells count="440">
    <mergeCell ref="A393:A396"/>
    <mergeCell ref="B393:B394"/>
    <mergeCell ref="G393:G394"/>
    <mergeCell ref="H393:H396"/>
    <mergeCell ref="I393:I396"/>
    <mergeCell ref="A379:A392"/>
    <mergeCell ref="B379:B380"/>
    <mergeCell ref="G379:G380"/>
    <mergeCell ref="H379:H392"/>
    <mergeCell ref="I379:I392"/>
    <mergeCell ref="B381:B384"/>
    <mergeCell ref="G381:G384"/>
    <mergeCell ref="B385:B388"/>
    <mergeCell ref="E367:F367"/>
    <mergeCell ref="H367:I367"/>
    <mergeCell ref="E368:F368"/>
    <mergeCell ref="A370:F370"/>
    <mergeCell ref="G370:J370"/>
    <mergeCell ref="C371:D371"/>
    <mergeCell ref="G385:G388"/>
    <mergeCell ref="B389:B392"/>
    <mergeCell ref="A372:A378"/>
    <mergeCell ref="B372:B373"/>
    <mergeCell ref="G372:G373"/>
    <mergeCell ref="H372:H378"/>
    <mergeCell ref="I372:I378"/>
    <mergeCell ref="J372:J400"/>
    <mergeCell ref="B374:B375"/>
    <mergeCell ref="G374:G375"/>
    <mergeCell ref="B376:B378"/>
    <mergeCell ref="G376:G378"/>
    <mergeCell ref="A397:A400"/>
    <mergeCell ref="H397:H400"/>
    <mergeCell ref="I397:I400"/>
    <mergeCell ref="B398:B400"/>
    <mergeCell ref="G398:G400"/>
    <mergeCell ref="G389:G392"/>
    <mergeCell ref="E364:F364"/>
    <mergeCell ref="H364:I364"/>
    <mergeCell ref="E365:F365"/>
    <mergeCell ref="H365:I365"/>
    <mergeCell ref="E366:F366"/>
    <mergeCell ref="H366:I366"/>
    <mergeCell ref="A363:J363"/>
    <mergeCell ref="G349:G352"/>
    <mergeCell ref="A353:A356"/>
    <mergeCell ref="B353:B354"/>
    <mergeCell ref="G353:G354"/>
    <mergeCell ref="H353:H356"/>
    <mergeCell ref="I353:I356"/>
    <mergeCell ref="A339:A352"/>
    <mergeCell ref="B339:B340"/>
    <mergeCell ref="G339:G340"/>
    <mergeCell ref="H339:H352"/>
    <mergeCell ref="I339:I352"/>
    <mergeCell ref="B341:B344"/>
    <mergeCell ref="G341:G344"/>
    <mergeCell ref="B345:B348"/>
    <mergeCell ref="G345:G348"/>
    <mergeCell ref="B349:B352"/>
    <mergeCell ref="A332:A338"/>
    <mergeCell ref="B332:B333"/>
    <mergeCell ref="G332:G333"/>
    <mergeCell ref="H332:H338"/>
    <mergeCell ref="I332:I338"/>
    <mergeCell ref="J332:J360"/>
    <mergeCell ref="B334:B335"/>
    <mergeCell ref="G334:G335"/>
    <mergeCell ref="B336:B338"/>
    <mergeCell ref="G336:G338"/>
    <mergeCell ref="A357:A360"/>
    <mergeCell ref="H357:H360"/>
    <mergeCell ref="I357:I360"/>
    <mergeCell ref="B358:B360"/>
    <mergeCell ref="G358:G360"/>
    <mergeCell ref="E327:F327"/>
    <mergeCell ref="H327:I327"/>
    <mergeCell ref="E328:F328"/>
    <mergeCell ref="A330:F330"/>
    <mergeCell ref="G330:J330"/>
    <mergeCell ref="C331:D331"/>
    <mergeCell ref="E324:F324"/>
    <mergeCell ref="H324:I324"/>
    <mergeCell ref="E325:F325"/>
    <mergeCell ref="H325:I325"/>
    <mergeCell ref="E326:F326"/>
    <mergeCell ref="H326:I326"/>
    <mergeCell ref="A323:J323"/>
    <mergeCell ref="G309:G312"/>
    <mergeCell ref="A313:A316"/>
    <mergeCell ref="B313:B314"/>
    <mergeCell ref="G313:G314"/>
    <mergeCell ref="H313:H316"/>
    <mergeCell ref="I313:I316"/>
    <mergeCell ref="A299:A312"/>
    <mergeCell ref="B299:B300"/>
    <mergeCell ref="G299:G300"/>
    <mergeCell ref="H299:H312"/>
    <mergeCell ref="I299:I312"/>
    <mergeCell ref="B301:B304"/>
    <mergeCell ref="G301:G304"/>
    <mergeCell ref="B305:B308"/>
    <mergeCell ref="G305:G308"/>
    <mergeCell ref="B309:B312"/>
    <mergeCell ref="A292:A298"/>
    <mergeCell ref="B292:B293"/>
    <mergeCell ref="G292:G293"/>
    <mergeCell ref="H292:H298"/>
    <mergeCell ref="I292:I298"/>
    <mergeCell ref="J292:J320"/>
    <mergeCell ref="B294:B295"/>
    <mergeCell ref="G294:G295"/>
    <mergeCell ref="B296:B298"/>
    <mergeCell ref="G296:G298"/>
    <mergeCell ref="A317:A320"/>
    <mergeCell ref="H317:H320"/>
    <mergeCell ref="I317:I320"/>
    <mergeCell ref="B318:B320"/>
    <mergeCell ref="G318:G320"/>
    <mergeCell ref="E287:F287"/>
    <mergeCell ref="H287:I287"/>
    <mergeCell ref="E288:F288"/>
    <mergeCell ref="A290:F290"/>
    <mergeCell ref="G290:J290"/>
    <mergeCell ref="C291:D291"/>
    <mergeCell ref="E284:F284"/>
    <mergeCell ref="H284:I284"/>
    <mergeCell ref="E285:F285"/>
    <mergeCell ref="H285:I285"/>
    <mergeCell ref="E286:F286"/>
    <mergeCell ref="H286:I286"/>
    <mergeCell ref="A283:J283"/>
    <mergeCell ref="G269:G272"/>
    <mergeCell ref="A273:A276"/>
    <mergeCell ref="B273:B274"/>
    <mergeCell ref="G273:G274"/>
    <mergeCell ref="H273:H276"/>
    <mergeCell ref="I273:I276"/>
    <mergeCell ref="A259:A272"/>
    <mergeCell ref="B259:B260"/>
    <mergeCell ref="G259:G260"/>
    <mergeCell ref="H259:H272"/>
    <mergeCell ref="I259:I272"/>
    <mergeCell ref="B261:B264"/>
    <mergeCell ref="G261:G264"/>
    <mergeCell ref="B265:B268"/>
    <mergeCell ref="G265:G268"/>
    <mergeCell ref="B269:B272"/>
    <mergeCell ref="A252:A258"/>
    <mergeCell ref="B252:B253"/>
    <mergeCell ref="G252:G253"/>
    <mergeCell ref="H252:H258"/>
    <mergeCell ref="I252:I258"/>
    <mergeCell ref="J252:J280"/>
    <mergeCell ref="B254:B255"/>
    <mergeCell ref="G254:G255"/>
    <mergeCell ref="B256:B258"/>
    <mergeCell ref="G256:G258"/>
    <mergeCell ref="A277:A280"/>
    <mergeCell ref="H277:H280"/>
    <mergeCell ref="I277:I280"/>
    <mergeCell ref="B278:B280"/>
    <mergeCell ref="G278:G280"/>
    <mergeCell ref="E247:F247"/>
    <mergeCell ref="H247:I247"/>
    <mergeCell ref="E248:F248"/>
    <mergeCell ref="A250:F250"/>
    <mergeCell ref="G250:J250"/>
    <mergeCell ref="C251:D251"/>
    <mergeCell ref="E244:F244"/>
    <mergeCell ref="H244:I244"/>
    <mergeCell ref="E245:F245"/>
    <mergeCell ref="H245:I245"/>
    <mergeCell ref="E246:F246"/>
    <mergeCell ref="H246:I246"/>
    <mergeCell ref="A243:J243"/>
    <mergeCell ref="G229:G232"/>
    <mergeCell ref="A233:A236"/>
    <mergeCell ref="B233:B234"/>
    <mergeCell ref="G233:G234"/>
    <mergeCell ref="H233:H236"/>
    <mergeCell ref="I233:I236"/>
    <mergeCell ref="A219:A232"/>
    <mergeCell ref="B219:B220"/>
    <mergeCell ref="G219:G220"/>
    <mergeCell ref="H219:H232"/>
    <mergeCell ref="I219:I232"/>
    <mergeCell ref="B221:B224"/>
    <mergeCell ref="G221:G224"/>
    <mergeCell ref="B225:B228"/>
    <mergeCell ref="G225:G228"/>
    <mergeCell ref="B229:B232"/>
    <mergeCell ref="A212:A218"/>
    <mergeCell ref="B212:B213"/>
    <mergeCell ref="G212:G213"/>
    <mergeCell ref="H212:H218"/>
    <mergeCell ref="I212:I218"/>
    <mergeCell ref="J212:J240"/>
    <mergeCell ref="B214:B215"/>
    <mergeCell ref="G214:G215"/>
    <mergeCell ref="B216:B218"/>
    <mergeCell ref="G216:G218"/>
    <mergeCell ref="A237:A240"/>
    <mergeCell ref="H237:H240"/>
    <mergeCell ref="I237:I240"/>
    <mergeCell ref="B238:B240"/>
    <mergeCell ref="G238:G240"/>
    <mergeCell ref="E207:F207"/>
    <mergeCell ref="H207:I207"/>
    <mergeCell ref="E208:F208"/>
    <mergeCell ref="A210:F210"/>
    <mergeCell ref="G210:J210"/>
    <mergeCell ref="C211:D211"/>
    <mergeCell ref="E204:F204"/>
    <mergeCell ref="H204:I204"/>
    <mergeCell ref="E205:F205"/>
    <mergeCell ref="H205:I205"/>
    <mergeCell ref="E206:F206"/>
    <mergeCell ref="H206:I206"/>
    <mergeCell ref="A203:J203"/>
    <mergeCell ref="G189:G192"/>
    <mergeCell ref="A193:A196"/>
    <mergeCell ref="B193:B194"/>
    <mergeCell ref="G193:G194"/>
    <mergeCell ref="H193:H196"/>
    <mergeCell ref="I193:I196"/>
    <mergeCell ref="A179:A192"/>
    <mergeCell ref="B179:B180"/>
    <mergeCell ref="G179:G180"/>
    <mergeCell ref="H179:H192"/>
    <mergeCell ref="I179:I192"/>
    <mergeCell ref="B181:B184"/>
    <mergeCell ref="G181:G184"/>
    <mergeCell ref="B185:B188"/>
    <mergeCell ref="G185:G188"/>
    <mergeCell ref="B189:B192"/>
    <mergeCell ref="A172:A178"/>
    <mergeCell ref="B172:B173"/>
    <mergeCell ref="G172:G173"/>
    <mergeCell ref="H172:H178"/>
    <mergeCell ref="I172:I178"/>
    <mergeCell ref="J172:J200"/>
    <mergeCell ref="B174:B175"/>
    <mergeCell ref="G174:G175"/>
    <mergeCell ref="B176:B178"/>
    <mergeCell ref="G176:G178"/>
    <mergeCell ref="A197:A200"/>
    <mergeCell ref="H197:H200"/>
    <mergeCell ref="I197:I200"/>
    <mergeCell ref="B198:B200"/>
    <mergeCell ref="G198:G200"/>
    <mergeCell ref="E167:F167"/>
    <mergeCell ref="H167:I167"/>
    <mergeCell ref="E168:F168"/>
    <mergeCell ref="A170:F170"/>
    <mergeCell ref="G170:J170"/>
    <mergeCell ref="C171:D171"/>
    <mergeCell ref="E164:F164"/>
    <mergeCell ref="H164:I164"/>
    <mergeCell ref="E165:F165"/>
    <mergeCell ref="H165:I165"/>
    <mergeCell ref="E166:F166"/>
    <mergeCell ref="H166:I166"/>
    <mergeCell ref="A163:J163"/>
    <mergeCell ref="G149:G152"/>
    <mergeCell ref="A153:A156"/>
    <mergeCell ref="B153:B154"/>
    <mergeCell ref="G153:G154"/>
    <mergeCell ref="H153:H156"/>
    <mergeCell ref="I153:I156"/>
    <mergeCell ref="A139:A152"/>
    <mergeCell ref="B139:B140"/>
    <mergeCell ref="G139:G140"/>
    <mergeCell ref="H139:H152"/>
    <mergeCell ref="I139:I152"/>
    <mergeCell ref="B141:B144"/>
    <mergeCell ref="G141:G144"/>
    <mergeCell ref="B145:B148"/>
    <mergeCell ref="G145:G148"/>
    <mergeCell ref="B149:B152"/>
    <mergeCell ref="A132:A138"/>
    <mergeCell ref="B132:B133"/>
    <mergeCell ref="G132:G133"/>
    <mergeCell ref="H132:H138"/>
    <mergeCell ref="I132:I138"/>
    <mergeCell ref="J132:J160"/>
    <mergeCell ref="B134:B135"/>
    <mergeCell ref="G134:G135"/>
    <mergeCell ref="B136:B138"/>
    <mergeCell ref="G136:G138"/>
    <mergeCell ref="A157:A160"/>
    <mergeCell ref="H157:H160"/>
    <mergeCell ref="I157:I160"/>
    <mergeCell ref="B158:B160"/>
    <mergeCell ref="G158:G160"/>
    <mergeCell ref="E127:F127"/>
    <mergeCell ref="H127:I127"/>
    <mergeCell ref="E128:F128"/>
    <mergeCell ref="A130:F130"/>
    <mergeCell ref="G130:J130"/>
    <mergeCell ref="C131:D131"/>
    <mergeCell ref="E124:F124"/>
    <mergeCell ref="H124:I124"/>
    <mergeCell ref="E125:F125"/>
    <mergeCell ref="H125:I125"/>
    <mergeCell ref="E126:F126"/>
    <mergeCell ref="H126:I126"/>
    <mergeCell ref="A123:J123"/>
    <mergeCell ref="G109:G112"/>
    <mergeCell ref="A113:A116"/>
    <mergeCell ref="B113:B114"/>
    <mergeCell ref="G113:G114"/>
    <mergeCell ref="H113:H116"/>
    <mergeCell ref="I113:I116"/>
    <mergeCell ref="A99:A112"/>
    <mergeCell ref="B99:B100"/>
    <mergeCell ref="G99:G100"/>
    <mergeCell ref="H99:H112"/>
    <mergeCell ref="I99:I112"/>
    <mergeCell ref="B101:B104"/>
    <mergeCell ref="G101:G104"/>
    <mergeCell ref="B105:B108"/>
    <mergeCell ref="G105:G108"/>
    <mergeCell ref="B109:B112"/>
    <mergeCell ref="A92:A98"/>
    <mergeCell ref="B92:B93"/>
    <mergeCell ref="G92:G93"/>
    <mergeCell ref="H92:H98"/>
    <mergeCell ref="I92:I98"/>
    <mergeCell ref="J92:J120"/>
    <mergeCell ref="B94:B95"/>
    <mergeCell ref="G94:G95"/>
    <mergeCell ref="B96:B98"/>
    <mergeCell ref="G96:G98"/>
    <mergeCell ref="A117:A120"/>
    <mergeCell ref="H117:H120"/>
    <mergeCell ref="I117:I120"/>
    <mergeCell ref="B118:B120"/>
    <mergeCell ref="G118:G120"/>
    <mergeCell ref="E87:F87"/>
    <mergeCell ref="H87:I87"/>
    <mergeCell ref="E88:F88"/>
    <mergeCell ref="A90:F90"/>
    <mergeCell ref="G90:J90"/>
    <mergeCell ref="C91:D91"/>
    <mergeCell ref="E84:F84"/>
    <mergeCell ref="H84:I84"/>
    <mergeCell ref="E85:F85"/>
    <mergeCell ref="H85:I85"/>
    <mergeCell ref="E86:F86"/>
    <mergeCell ref="H86:I86"/>
    <mergeCell ref="A83:J83"/>
    <mergeCell ref="G69:G72"/>
    <mergeCell ref="A73:A76"/>
    <mergeCell ref="B73:B74"/>
    <mergeCell ref="G73:G74"/>
    <mergeCell ref="H73:H76"/>
    <mergeCell ref="I73:I76"/>
    <mergeCell ref="A59:A72"/>
    <mergeCell ref="B59:B60"/>
    <mergeCell ref="G59:G60"/>
    <mergeCell ref="H59:H72"/>
    <mergeCell ref="I59:I72"/>
    <mergeCell ref="B61:B64"/>
    <mergeCell ref="G61:G64"/>
    <mergeCell ref="B65:B68"/>
    <mergeCell ref="G65:G68"/>
    <mergeCell ref="B69:B72"/>
    <mergeCell ref="A52:A58"/>
    <mergeCell ref="B52:B53"/>
    <mergeCell ref="G52:G53"/>
    <mergeCell ref="H52:H58"/>
    <mergeCell ref="I52:I58"/>
    <mergeCell ref="J52:J80"/>
    <mergeCell ref="B54:B55"/>
    <mergeCell ref="G54:G55"/>
    <mergeCell ref="B56:B58"/>
    <mergeCell ref="G56:G58"/>
    <mergeCell ref="A77:A80"/>
    <mergeCell ref="H77:H80"/>
    <mergeCell ref="I77:I80"/>
    <mergeCell ref="B78:B80"/>
    <mergeCell ref="G78:G80"/>
    <mergeCell ref="E47:F47"/>
    <mergeCell ref="H47:I47"/>
    <mergeCell ref="E48:F48"/>
    <mergeCell ref="A50:F50"/>
    <mergeCell ref="G50:J50"/>
    <mergeCell ref="C51:D51"/>
    <mergeCell ref="E44:F44"/>
    <mergeCell ref="H44:I44"/>
    <mergeCell ref="E45:F45"/>
    <mergeCell ref="H45:I45"/>
    <mergeCell ref="E46:F46"/>
    <mergeCell ref="H46:I46"/>
    <mergeCell ref="A43:J43"/>
    <mergeCell ref="G29:G32"/>
    <mergeCell ref="A33:A36"/>
    <mergeCell ref="B33:B34"/>
    <mergeCell ref="G33:G34"/>
    <mergeCell ref="H33:H36"/>
    <mergeCell ref="I33:I36"/>
    <mergeCell ref="A19:A32"/>
    <mergeCell ref="B19:B20"/>
    <mergeCell ref="G19:G20"/>
    <mergeCell ref="H19:H32"/>
    <mergeCell ref="I19:I32"/>
    <mergeCell ref="B21:B24"/>
    <mergeCell ref="G21:G24"/>
    <mergeCell ref="B25:B28"/>
    <mergeCell ref="G25:G28"/>
    <mergeCell ref="B29:B32"/>
    <mergeCell ref="A12:A18"/>
    <mergeCell ref="B12:B13"/>
    <mergeCell ref="G12:G13"/>
    <mergeCell ref="H12:H18"/>
    <mergeCell ref="I12:I18"/>
    <mergeCell ref="J12:J40"/>
    <mergeCell ref="B14:B15"/>
    <mergeCell ref="G14:G15"/>
    <mergeCell ref="B16:B18"/>
    <mergeCell ref="G16:G18"/>
    <mergeCell ref="A37:A40"/>
    <mergeCell ref="H37:H40"/>
    <mergeCell ref="I37:I40"/>
    <mergeCell ref="B38:B40"/>
    <mergeCell ref="G38:G40"/>
    <mergeCell ref="E7:F7"/>
    <mergeCell ref="H7:I7"/>
    <mergeCell ref="E8:F8"/>
    <mergeCell ref="A10:F10"/>
    <mergeCell ref="G10:J10"/>
    <mergeCell ref="C11:D11"/>
    <mergeCell ref="A3:J3"/>
    <mergeCell ref="E4:F4"/>
    <mergeCell ref="H4:I4"/>
    <mergeCell ref="E5:F5"/>
    <mergeCell ref="H5:I5"/>
    <mergeCell ref="E6:F6"/>
    <mergeCell ref="H6:I6"/>
  </mergeCells>
  <conditionalFormatting sqref="D40">
    <cfRule type="beginsWith" dxfId="495" priority="1048" stopIfTrue="1" operator="beginsWith" text="Functioning At Risk">
      <formula>LEFT(D40,LEN("Functioning At Risk"))="Functioning At Risk"</formula>
    </cfRule>
    <cfRule type="beginsWith" dxfId="494" priority="1049" stopIfTrue="1" operator="beginsWith" text="Not Functioning">
      <formula>LEFT(D40,LEN("Not Functioning"))="Not Functioning"</formula>
    </cfRule>
    <cfRule type="containsText" dxfId="493" priority="1050" operator="containsText" text="Functioning">
      <formula>NOT(ISERROR(SEARCH("Functioning",D40)))</formula>
    </cfRule>
  </conditionalFormatting>
  <conditionalFormatting sqref="H8">
    <cfRule type="beginsWith" dxfId="492" priority="1045" stopIfTrue="1" operator="beginsWith" text="Functioning At Risk">
      <formula>LEFT(H8,LEN("Functioning At Risk"))="Functioning At Risk"</formula>
    </cfRule>
    <cfRule type="beginsWith" dxfId="491" priority="1046" stopIfTrue="1" operator="beginsWith" text="Not Functioning">
      <formula>LEFT(H8,LEN("Not Functioning"))="Not Functioning"</formula>
    </cfRule>
    <cfRule type="containsText" dxfId="490" priority="1047" operator="containsText" text="Functioning">
      <formula>NOT(ISERROR(SEARCH("Functioning",H8)))</formula>
    </cfRule>
  </conditionalFormatting>
  <conditionalFormatting sqref="D25:D28">
    <cfRule type="beginsWith" dxfId="489" priority="1036" stopIfTrue="1" operator="beginsWith" text="Functioning At Risk">
      <formula>LEFT(D25,LEN("Functioning At Risk"))="Functioning At Risk"</formula>
    </cfRule>
    <cfRule type="beginsWith" dxfId="488" priority="1037" stopIfTrue="1" operator="beginsWith" text="Not Functioning">
      <formula>LEFT(D25,LEN("Not Functioning"))="Not Functioning"</formula>
    </cfRule>
    <cfRule type="containsText" dxfId="487" priority="1038" operator="containsText" text="Functioning">
      <formula>NOT(ISERROR(SEARCH("Functioning",D25)))</formula>
    </cfRule>
  </conditionalFormatting>
  <conditionalFormatting sqref="B4 B8">
    <cfRule type="beginsWith" dxfId="486" priority="1027" stopIfTrue="1" operator="beginsWith" text="Functioning At Risk">
      <formula>LEFT(B4,LEN("Functioning At Risk"))="Functioning At Risk"</formula>
    </cfRule>
    <cfRule type="beginsWith" dxfId="485" priority="1028" stopIfTrue="1" operator="beginsWith" text="Not Functioning">
      <formula>LEFT(B4,LEN("Not Functioning"))="Not Functioning"</formula>
    </cfRule>
    <cfRule type="containsText" dxfId="484" priority="1029" operator="containsText" text="Functioning">
      <formula>NOT(ISERROR(SEARCH("Functioning",B4)))</formula>
    </cfRule>
  </conditionalFormatting>
  <conditionalFormatting sqref="C4">
    <cfRule type="beginsWith" dxfId="483" priority="1018" stopIfTrue="1" operator="beginsWith" text="Functioning At Risk">
      <formula>LEFT(C4,LEN("Functioning At Risk"))="Functioning At Risk"</formula>
    </cfRule>
    <cfRule type="beginsWith" dxfId="482" priority="1019" stopIfTrue="1" operator="beginsWith" text="Not Functioning">
      <formula>LEFT(C4,LEN("Not Functioning"))="Not Functioning"</formula>
    </cfRule>
    <cfRule type="containsText" dxfId="481" priority="1020" operator="containsText" text="Functioning">
      <formula>NOT(ISERROR(SEARCH("Functioning",C4)))</formula>
    </cfRule>
  </conditionalFormatting>
  <conditionalFormatting sqref="E4">
    <cfRule type="beginsWith" dxfId="480" priority="1015" stopIfTrue="1" operator="beginsWith" text="Functioning At Risk">
      <formula>LEFT(E4,LEN("Functioning At Risk"))="Functioning At Risk"</formula>
    </cfRule>
    <cfRule type="beginsWith" dxfId="479" priority="1016" stopIfTrue="1" operator="beginsWith" text="Not Functioning">
      <formula>LEFT(E4,LEN("Not Functioning"))="Not Functioning"</formula>
    </cfRule>
    <cfRule type="containsText" dxfId="478" priority="1017" operator="containsText" text="Functioning">
      <formula>NOT(ISERROR(SEARCH("Functioning",E4)))</formula>
    </cfRule>
  </conditionalFormatting>
  <conditionalFormatting sqref="E5">
    <cfRule type="beginsWith" dxfId="477" priority="1003" stopIfTrue="1" operator="beginsWith" text="Functioning At Risk">
      <formula>LEFT(E5,LEN("Functioning At Risk"))="Functioning At Risk"</formula>
    </cfRule>
    <cfRule type="beginsWith" dxfId="476" priority="1004" stopIfTrue="1" operator="beginsWith" text="Not Functioning">
      <formula>LEFT(E5,LEN("Not Functioning"))="Not Functioning"</formula>
    </cfRule>
    <cfRule type="containsText" dxfId="475" priority="1005" operator="containsText" text="Functioning">
      <formula>NOT(ISERROR(SEARCH("Functioning",E5)))</formula>
    </cfRule>
  </conditionalFormatting>
  <conditionalFormatting sqref="E6">
    <cfRule type="beginsWith" dxfId="474" priority="1012" stopIfTrue="1" operator="beginsWith" text="Functioning At Risk">
      <formula>LEFT(E6,LEN("Functioning At Risk"))="Functioning At Risk"</formula>
    </cfRule>
    <cfRule type="beginsWith" dxfId="473" priority="1013" stopIfTrue="1" operator="beginsWith" text="Not Functioning">
      <formula>LEFT(E6,LEN("Not Functioning"))="Not Functioning"</formula>
    </cfRule>
    <cfRule type="containsText" dxfId="472" priority="1014" operator="containsText" text="Functioning">
      <formula>NOT(ISERROR(SEARCH("Functioning",E6)))</formula>
    </cfRule>
  </conditionalFormatting>
  <conditionalFormatting sqref="C6">
    <cfRule type="beginsWith" dxfId="471" priority="1009" stopIfTrue="1" operator="beginsWith" text="Functioning At Risk">
      <formula>LEFT(C6,LEN("Functioning At Risk"))="Functioning At Risk"</formula>
    </cfRule>
    <cfRule type="beginsWith" dxfId="470" priority="1010" stopIfTrue="1" operator="beginsWith" text="Not Functioning">
      <formula>LEFT(C6,LEN("Not Functioning"))="Not Functioning"</formula>
    </cfRule>
    <cfRule type="containsText" dxfId="469" priority="1011" operator="containsText" text="Functioning">
      <formula>NOT(ISERROR(SEARCH("Functioning",C6)))</formula>
    </cfRule>
  </conditionalFormatting>
  <conditionalFormatting sqref="D265:D268">
    <cfRule type="beginsWith" dxfId="468" priority="640" stopIfTrue="1" operator="beginsWith" text="Functioning At Risk">
      <formula>LEFT(D265,LEN("Functioning At Risk"))="Functioning At Risk"</formula>
    </cfRule>
    <cfRule type="beginsWith" dxfId="467" priority="641" stopIfTrue="1" operator="beginsWith" text="Not Functioning">
      <formula>LEFT(D265,LEN("Not Functioning"))="Not Functioning"</formula>
    </cfRule>
    <cfRule type="containsText" dxfId="466" priority="642" operator="containsText" text="Functioning">
      <formula>NOT(ISERROR(SEARCH("Functioning",D265)))</formula>
    </cfRule>
  </conditionalFormatting>
  <conditionalFormatting sqref="H4:H7">
    <cfRule type="beginsWith" dxfId="465" priority="988" stopIfTrue="1" operator="beginsWith" text="Functioning At Risk">
      <formula>LEFT(H4,LEN("Functioning At Risk"))="Functioning At Risk"</formula>
    </cfRule>
    <cfRule type="beginsWith" dxfId="464" priority="989" stopIfTrue="1" operator="beginsWith" text="Not Functioning">
      <formula>LEFT(H4,LEN("Not Functioning"))="Not Functioning"</formula>
    </cfRule>
    <cfRule type="containsText" dxfId="463" priority="990" operator="containsText" text="Functioning">
      <formula>NOT(ISERROR(SEARCH("Functioning",H4)))</formula>
    </cfRule>
  </conditionalFormatting>
  <conditionalFormatting sqref="A51:C51 G50 E51:J51 H82:K82 L43:M44 D56:D63 D75:D79 B49:I49 J52:J55 K47:K80">
    <cfRule type="beginsWith" dxfId="462" priority="985" stopIfTrue="1" operator="beginsWith" text="Functioning At Risk">
      <formula>LEFT(A43,LEN("Functioning At Risk"))="Functioning At Risk"</formula>
    </cfRule>
    <cfRule type="beginsWith" dxfId="461" priority="986" stopIfTrue="1" operator="beginsWith" text="Not Functioning">
      <formula>LEFT(A43,LEN("Not Functioning"))="Not Functioning"</formula>
    </cfRule>
    <cfRule type="containsText" dxfId="460" priority="987" operator="containsText" text="Functioning">
      <formula>NOT(ISERROR(SEARCH("Functioning",A43)))</formula>
    </cfRule>
  </conditionalFormatting>
  <conditionalFormatting sqref="A11:C11 G10 E11:J11 L3:M4 D16:D23 D35:D39 B9:I9 J12:J15 K7:K40 A8 A3:A4 C5 J8">
    <cfRule type="beginsWith" dxfId="459" priority="1051" stopIfTrue="1" operator="beginsWith" text="Functioning At Risk">
      <formula>LEFT(A3,LEN("Functioning At Risk"))="Functioning At Risk"</formula>
    </cfRule>
    <cfRule type="beginsWith" dxfId="458" priority="1052" stopIfTrue="1" operator="beginsWith" text="Not Functioning">
      <formula>LEFT(A3,LEN("Not Functioning"))="Not Functioning"</formula>
    </cfRule>
    <cfRule type="containsText" dxfId="457" priority="1053" operator="containsText" text="Functioning">
      <formula>NOT(ISERROR(SEARCH("Functioning",A3)))</formula>
    </cfRule>
  </conditionalFormatting>
  <conditionalFormatting sqref="I19 I33:I40 I12:I13">
    <cfRule type="containsText" dxfId="456" priority="1024" stopIfTrue="1" operator="containsText" text="Functioning At Risk">
      <formula>NOT(ISERROR(SEARCH("Functioning At Risk",I12)))</formula>
    </cfRule>
    <cfRule type="containsText" dxfId="455" priority="1025" stopIfTrue="1" operator="containsText" text="Not Functioning">
      <formula>NOT(ISERROR(SEARCH("Not Functioning",I12)))</formula>
    </cfRule>
    <cfRule type="containsText" dxfId="454" priority="1026" operator="containsText" text="Functioning">
      <formula>NOT(ISERROR(SEARCH("Functioning",I12)))</formula>
    </cfRule>
  </conditionalFormatting>
  <conditionalFormatting sqref="E8">
    <cfRule type="beginsWith" dxfId="453" priority="1021" stopIfTrue="1" operator="beginsWith" text="Functioning At Risk">
      <formula>LEFT(E8,LEN("Functioning At Risk"))="Functioning At Risk"</formula>
    </cfRule>
    <cfRule type="beginsWith" dxfId="452" priority="1022" stopIfTrue="1" operator="beginsWith" text="Not Functioning">
      <formula>LEFT(E8,LEN("Not Functioning"))="Not Functioning"</formula>
    </cfRule>
    <cfRule type="containsText" dxfId="451" priority="1023" operator="containsText" text="Functioning">
      <formula>NOT(ISERROR(SEARCH("Functioning",E8)))</formula>
    </cfRule>
  </conditionalFormatting>
  <conditionalFormatting sqref="A251:C251 G250 E251:J251 H281:K281 K282 L243:M244 D256:D263 D275:D279 B249:I249 J252:J255 K247:K280">
    <cfRule type="beginsWith" dxfId="450" priority="655" stopIfTrue="1" operator="beginsWith" text="Functioning At Risk">
      <formula>LEFT(A243,LEN("Functioning At Risk"))="Functioning At Risk"</formula>
    </cfRule>
    <cfRule type="beginsWith" dxfId="449" priority="656" stopIfTrue="1" operator="beginsWith" text="Not Functioning">
      <formula>LEFT(A243,LEN("Not Functioning"))="Not Functioning"</formula>
    </cfRule>
    <cfRule type="containsText" dxfId="448" priority="657" operator="containsText" text="Functioning">
      <formula>NOT(ISERROR(SEARCH("Functioning",A243)))</formula>
    </cfRule>
  </conditionalFormatting>
  <conditionalFormatting sqref="D280">
    <cfRule type="beginsWith" dxfId="447" priority="652" stopIfTrue="1" operator="beginsWith" text="Functioning At Risk">
      <formula>LEFT(D280,LEN("Functioning At Risk"))="Functioning At Risk"</formula>
    </cfRule>
    <cfRule type="beginsWith" dxfId="446" priority="653" stopIfTrue="1" operator="beginsWith" text="Not Functioning">
      <formula>LEFT(D280,LEN("Not Functioning"))="Not Functioning"</formula>
    </cfRule>
    <cfRule type="containsText" dxfId="445" priority="654" operator="containsText" text="Functioning">
      <formula>NOT(ISERROR(SEARCH("Functioning",D280)))</formula>
    </cfRule>
  </conditionalFormatting>
  <conditionalFormatting sqref="D80">
    <cfRule type="beginsWith" dxfId="444" priority="982" stopIfTrue="1" operator="beginsWith" text="Functioning At Risk">
      <formula>LEFT(D80,LEN("Functioning At Risk"))="Functioning At Risk"</formula>
    </cfRule>
    <cfRule type="beginsWith" dxfId="443" priority="983" stopIfTrue="1" operator="beginsWith" text="Not Functioning">
      <formula>LEFT(D80,LEN("Not Functioning"))="Not Functioning"</formula>
    </cfRule>
    <cfRule type="containsText" dxfId="442" priority="984" operator="containsText" text="Functioning">
      <formula>NOT(ISERROR(SEARCH("Functioning",D80)))</formula>
    </cfRule>
  </conditionalFormatting>
  <conditionalFormatting sqref="D65:D68">
    <cfRule type="beginsWith" dxfId="441" priority="970" stopIfTrue="1" operator="beginsWith" text="Functioning At Risk">
      <formula>LEFT(D65,LEN("Functioning At Risk"))="Functioning At Risk"</formula>
    </cfRule>
    <cfRule type="beginsWith" dxfId="440" priority="971" stopIfTrue="1" operator="beginsWith" text="Not Functioning">
      <formula>LEFT(D65,LEN("Not Functioning"))="Not Functioning"</formula>
    </cfRule>
    <cfRule type="containsText" dxfId="439" priority="972" operator="containsText" text="Functioning">
      <formula>NOT(ISERROR(SEARCH("Functioning",D65)))</formula>
    </cfRule>
  </conditionalFormatting>
  <conditionalFormatting sqref="I59 I73:I80 I52:I53">
    <cfRule type="containsText" dxfId="438" priority="958" stopIfTrue="1" operator="containsText" text="Functioning At Risk">
      <formula>NOT(ISERROR(SEARCH("Functioning At Risk",I52)))</formula>
    </cfRule>
    <cfRule type="containsText" dxfId="437" priority="959" stopIfTrue="1" operator="containsText" text="Not Functioning">
      <formula>NOT(ISERROR(SEARCH("Not Functioning",I52)))</formula>
    </cfRule>
    <cfRule type="containsText" dxfId="436" priority="960" operator="containsText" text="Functioning">
      <formula>NOT(ISERROR(SEARCH("Functioning",I52)))</formula>
    </cfRule>
  </conditionalFormatting>
  <conditionalFormatting sqref="A291:C291 G290 E291:J291 L283:M284 D296:D303 D315:D319 B289:I289 J292:J295 K287:K320">
    <cfRule type="beginsWith" dxfId="435" priority="589" stopIfTrue="1" operator="beginsWith" text="Functioning At Risk">
      <formula>LEFT(A283,LEN("Functioning At Risk"))="Functioning At Risk"</formula>
    </cfRule>
    <cfRule type="beginsWith" dxfId="434" priority="590" stopIfTrue="1" operator="beginsWith" text="Not Functioning">
      <formula>LEFT(A283,LEN("Not Functioning"))="Not Functioning"</formula>
    </cfRule>
    <cfRule type="containsText" dxfId="433" priority="591" operator="containsText" text="Functioning">
      <formula>NOT(ISERROR(SEARCH("Functioning",A283)))</formula>
    </cfRule>
  </conditionalFormatting>
  <conditionalFormatting sqref="D320">
    <cfRule type="beginsWith" dxfId="432" priority="586" stopIfTrue="1" operator="beginsWith" text="Functioning At Risk">
      <formula>LEFT(D320,LEN("Functioning At Risk"))="Functioning At Risk"</formula>
    </cfRule>
    <cfRule type="beginsWith" dxfId="431" priority="587" stopIfTrue="1" operator="beginsWith" text="Not Functioning">
      <formula>LEFT(D320,LEN("Not Functioning"))="Not Functioning"</formula>
    </cfRule>
    <cfRule type="containsText" dxfId="430" priority="588" operator="containsText" text="Functioning">
      <formula>NOT(ISERROR(SEARCH("Functioning",D320)))</formula>
    </cfRule>
  </conditionalFormatting>
  <conditionalFormatting sqref="D305:D308">
    <cfRule type="beginsWith" dxfId="429" priority="574" stopIfTrue="1" operator="beginsWith" text="Functioning At Risk">
      <formula>LEFT(D305,LEN("Functioning At Risk"))="Functioning At Risk"</formula>
    </cfRule>
    <cfRule type="beginsWith" dxfId="428" priority="575" stopIfTrue="1" operator="beginsWith" text="Not Functioning">
      <formula>LEFT(D305,LEN("Not Functioning"))="Not Functioning"</formula>
    </cfRule>
    <cfRule type="containsText" dxfId="427" priority="576" operator="containsText" text="Functioning">
      <formula>NOT(ISERROR(SEARCH("Functioning",D305)))</formula>
    </cfRule>
  </conditionalFormatting>
  <conditionalFormatting sqref="A91:C91 G90 E91:J91 H121:K121 K122 L83:M84 D96:D103 D115:D119 B89:I89 J92:J95 K87:K120">
    <cfRule type="beginsWith" dxfId="426" priority="919" stopIfTrue="1" operator="beginsWith" text="Functioning At Risk">
      <formula>LEFT(A83,LEN("Functioning At Risk"))="Functioning At Risk"</formula>
    </cfRule>
    <cfRule type="beginsWith" dxfId="425" priority="920" stopIfTrue="1" operator="beginsWith" text="Not Functioning">
      <formula>LEFT(A83,LEN("Not Functioning"))="Not Functioning"</formula>
    </cfRule>
    <cfRule type="containsText" dxfId="424" priority="921" operator="containsText" text="Functioning">
      <formula>NOT(ISERROR(SEARCH("Functioning",A83)))</formula>
    </cfRule>
  </conditionalFormatting>
  <conditionalFormatting sqref="D120">
    <cfRule type="beginsWith" dxfId="423" priority="916" stopIfTrue="1" operator="beginsWith" text="Functioning At Risk">
      <formula>LEFT(D120,LEN("Functioning At Risk"))="Functioning At Risk"</formula>
    </cfRule>
    <cfRule type="beginsWith" dxfId="422" priority="917" stopIfTrue="1" operator="beginsWith" text="Not Functioning">
      <formula>LEFT(D120,LEN("Not Functioning"))="Not Functioning"</formula>
    </cfRule>
    <cfRule type="containsText" dxfId="421" priority="918" operator="containsText" text="Functioning">
      <formula>NOT(ISERROR(SEARCH("Functioning",D120)))</formula>
    </cfRule>
  </conditionalFormatting>
  <conditionalFormatting sqref="D105:D108">
    <cfRule type="beginsWith" dxfId="420" priority="904" stopIfTrue="1" operator="beginsWith" text="Functioning At Risk">
      <formula>LEFT(D105,LEN("Functioning At Risk"))="Functioning At Risk"</formula>
    </cfRule>
    <cfRule type="beginsWith" dxfId="419" priority="905" stopIfTrue="1" operator="beginsWith" text="Not Functioning">
      <formula>LEFT(D105,LEN("Not Functioning"))="Not Functioning"</formula>
    </cfRule>
    <cfRule type="containsText" dxfId="418" priority="906" operator="containsText" text="Functioning">
      <formula>NOT(ISERROR(SEARCH("Functioning",D105)))</formula>
    </cfRule>
  </conditionalFormatting>
  <conditionalFormatting sqref="I99 I113:I120 I92:I93">
    <cfRule type="containsText" dxfId="417" priority="892" stopIfTrue="1" operator="containsText" text="Functioning At Risk">
      <formula>NOT(ISERROR(SEARCH("Functioning At Risk",I92)))</formula>
    </cfRule>
    <cfRule type="containsText" dxfId="416" priority="893" stopIfTrue="1" operator="containsText" text="Not Functioning">
      <formula>NOT(ISERROR(SEARCH("Not Functioning",I92)))</formula>
    </cfRule>
    <cfRule type="containsText" dxfId="415" priority="894" operator="containsText" text="Functioning">
      <formula>NOT(ISERROR(SEARCH("Functioning",I92)))</formula>
    </cfRule>
  </conditionalFormatting>
  <conditionalFormatting sqref="A131:C131 G130 E131:J131 L123:M124 D136:D143 D155:D159 B129:I129 J132:J135 K127:K160">
    <cfRule type="beginsWith" dxfId="414" priority="853" stopIfTrue="1" operator="beginsWith" text="Functioning At Risk">
      <formula>LEFT(A123,LEN("Functioning At Risk"))="Functioning At Risk"</formula>
    </cfRule>
    <cfRule type="beginsWith" dxfId="413" priority="854" stopIfTrue="1" operator="beginsWith" text="Not Functioning">
      <formula>LEFT(A123,LEN("Not Functioning"))="Not Functioning"</formula>
    </cfRule>
    <cfRule type="containsText" dxfId="412" priority="855" operator="containsText" text="Functioning">
      <formula>NOT(ISERROR(SEARCH("Functioning",A123)))</formula>
    </cfRule>
  </conditionalFormatting>
  <conditionalFormatting sqref="D160">
    <cfRule type="beginsWith" dxfId="411" priority="850" stopIfTrue="1" operator="beginsWith" text="Functioning At Risk">
      <formula>LEFT(D160,LEN("Functioning At Risk"))="Functioning At Risk"</formula>
    </cfRule>
    <cfRule type="beginsWith" dxfId="410" priority="851" stopIfTrue="1" operator="beginsWith" text="Not Functioning">
      <formula>LEFT(D160,LEN("Not Functioning"))="Not Functioning"</formula>
    </cfRule>
    <cfRule type="containsText" dxfId="409" priority="852" operator="containsText" text="Functioning">
      <formula>NOT(ISERROR(SEARCH("Functioning",D160)))</formula>
    </cfRule>
  </conditionalFormatting>
  <conditionalFormatting sqref="D145:D148">
    <cfRule type="beginsWith" dxfId="408" priority="838" stopIfTrue="1" operator="beginsWith" text="Functioning At Risk">
      <formula>LEFT(D145,LEN("Functioning At Risk"))="Functioning At Risk"</formula>
    </cfRule>
    <cfRule type="beginsWith" dxfId="407" priority="839" stopIfTrue="1" operator="beginsWith" text="Not Functioning">
      <formula>LEFT(D145,LEN("Not Functioning"))="Not Functioning"</formula>
    </cfRule>
    <cfRule type="containsText" dxfId="406" priority="840" operator="containsText" text="Functioning">
      <formula>NOT(ISERROR(SEARCH("Functioning",D145)))</formula>
    </cfRule>
  </conditionalFormatting>
  <conditionalFormatting sqref="I139 I153:I160 I132:I133">
    <cfRule type="containsText" dxfId="405" priority="826" stopIfTrue="1" operator="containsText" text="Functioning At Risk">
      <formula>NOT(ISERROR(SEARCH("Functioning At Risk",I132)))</formula>
    </cfRule>
    <cfRule type="containsText" dxfId="404" priority="827" stopIfTrue="1" operator="containsText" text="Not Functioning">
      <formula>NOT(ISERROR(SEARCH("Not Functioning",I132)))</formula>
    </cfRule>
    <cfRule type="containsText" dxfId="403" priority="828" operator="containsText" text="Functioning">
      <formula>NOT(ISERROR(SEARCH("Functioning",I132)))</formula>
    </cfRule>
  </conditionalFormatting>
  <conditionalFormatting sqref="A331:C331 G330 E331:J331 H401:K401 L323:M324 D336:D343 D355:D359 B329:I329 J332:J335 K327:K360">
    <cfRule type="beginsWith" dxfId="402" priority="523" stopIfTrue="1" operator="beginsWith" text="Functioning At Risk">
      <formula>LEFT(A323,LEN("Functioning At Risk"))="Functioning At Risk"</formula>
    </cfRule>
    <cfRule type="beginsWith" dxfId="401" priority="524" stopIfTrue="1" operator="beginsWith" text="Not Functioning">
      <formula>LEFT(A323,LEN("Not Functioning"))="Not Functioning"</formula>
    </cfRule>
    <cfRule type="containsText" dxfId="400" priority="525" operator="containsText" text="Functioning">
      <formula>NOT(ISERROR(SEARCH("Functioning",A323)))</formula>
    </cfRule>
  </conditionalFormatting>
  <conditionalFormatting sqref="D360">
    <cfRule type="beginsWith" dxfId="399" priority="520" stopIfTrue="1" operator="beginsWith" text="Functioning At Risk">
      <formula>LEFT(D360,LEN("Functioning At Risk"))="Functioning At Risk"</formula>
    </cfRule>
    <cfRule type="beginsWith" dxfId="398" priority="521" stopIfTrue="1" operator="beginsWith" text="Not Functioning">
      <formula>LEFT(D360,LEN("Not Functioning"))="Not Functioning"</formula>
    </cfRule>
    <cfRule type="containsText" dxfId="397" priority="522" operator="containsText" text="Functioning">
      <formula>NOT(ISERROR(SEARCH("Functioning",D360)))</formula>
    </cfRule>
  </conditionalFormatting>
  <conditionalFormatting sqref="A171:C171 G170 E171:J171 H202:K202 L163:M164 D176:D183 D195:D199 B169:I169 J172:J175 K167:K200">
    <cfRule type="beginsWith" dxfId="396" priority="787" stopIfTrue="1" operator="beginsWith" text="Functioning At Risk">
      <formula>LEFT(A163,LEN("Functioning At Risk"))="Functioning At Risk"</formula>
    </cfRule>
    <cfRule type="beginsWith" dxfId="395" priority="788" stopIfTrue="1" operator="beginsWith" text="Not Functioning">
      <formula>LEFT(A163,LEN("Not Functioning"))="Not Functioning"</formula>
    </cfRule>
    <cfRule type="containsText" dxfId="394" priority="789" operator="containsText" text="Functioning">
      <formula>NOT(ISERROR(SEARCH("Functioning",A163)))</formula>
    </cfRule>
  </conditionalFormatting>
  <conditionalFormatting sqref="D200">
    <cfRule type="beginsWith" dxfId="393" priority="784" stopIfTrue="1" operator="beginsWith" text="Functioning At Risk">
      <formula>LEFT(D200,LEN("Functioning At Risk"))="Functioning At Risk"</formula>
    </cfRule>
    <cfRule type="beginsWith" dxfId="392" priority="785" stopIfTrue="1" operator="beginsWith" text="Not Functioning">
      <formula>LEFT(D200,LEN("Not Functioning"))="Not Functioning"</formula>
    </cfRule>
    <cfRule type="containsText" dxfId="391" priority="786" operator="containsText" text="Functioning">
      <formula>NOT(ISERROR(SEARCH("Functioning",D200)))</formula>
    </cfRule>
  </conditionalFormatting>
  <conditionalFormatting sqref="D185:D188">
    <cfRule type="beginsWith" dxfId="390" priority="772" stopIfTrue="1" operator="beginsWith" text="Functioning At Risk">
      <formula>LEFT(D185,LEN("Functioning At Risk"))="Functioning At Risk"</formula>
    </cfRule>
    <cfRule type="beginsWith" dxfId="389" priority="773" stopIfTrue="1" operator="beginsWith" text="Not Functioning">
      <formula>LEFT(D185,LEN("Not Functioning"))="Not Functioning"</formula>
    </cfRule>
    <cfRule type="containsText" dxfId="388" priority="774" operator="containsText" text="Functioning">
      <formula>NOT(ISERROR(SEARCH("Functioning",D185)))</formula>
    </cfRule>
  </conditionalFormatting>
  <conditionalFormatting sqref="I179 I193:I200 I172:I173">
    <cfRule type="containsText" dxfId="387" priority="760" stopIfTrue="1" operator="containsText" text="Functioning At Risk">
      <formula>NOT(ISERROR(SEARCH("Functioning At Risk",I172)))</formula>
    </cfRule>
    <cfRule type="containsText" dxfId="386" priority="761" stopIfTrue="1" operator="containsText" text="Not Functioning">
      <formula>NOT(ISERROR(SEARCH("Not Functioning",I172)))</formula>
    </cfRule>
    <cfRule type="containsText" dxfId="385" priority="762" operator="containsText" text="Functioning">
      <formula>NOT(ISERROR(SEARCH("Functioning",I172)))</formula>
    </cfRule>
  </conditionalFormatting>
  <conditionalFormatting sqref="D345:D348">
    <cfRule type="beginsWith" dxfId="384" priority="508" stopIfTrue="1" operator="beginsWith" text="Functioning At Risk">
      <formula>LEFT(D345,LEN("Functioning At Risk"))="Functioning At Risk"</formula>
    </cfRule>
    <cfRule type="beginsWith" dxfId="383" priority="509" stopIfTrue="1" operator="beginsWith" text="Not Functioning">
      <formula>LEFT(D345,LEN("Not Functioning"))="Not Functioning"</formula>
    </cfRule>
    <cfRule type="containsText" dxfId="382" priority="510" operator="containsText" text="Functioning">
      <formula>NOT(ISERROR(SEARCH("Functioning",D345)))</formula>
    </cfRule>
  </conditionalFormatting>
  <conditionalFormatting sqref="A211:C211 G210 E211:J211 H242:K242 L203:M204 D216:D223 D235:D239 B209:I209 J212:J215 K207:K240">
    <cfRule type="beginsWith" dxfId="381" priority="721" stopIfTrue="1" operator="beginsWith" text="Functioning At Risk">
      <formula>LEFT(A203,LEN("Functioning At Risk"))="Functioning At Risk"</formula>
    </cfRule>
    <cfRule type="beginsWith" dxfId="380" priority="722" stopIfTrue="1" operator="beginsWith" text="Not Functioning">
      <formula>LEFT(A203,LEN("Not Functioning"))="Not Functioning"</formula>
    </cfRule>
    <cfRule type="containsText" dxfId="379" priority="723" operator="containsText" text="Functioning">
      <formula>NOT(ISERROR(SEARCH("Functioning",A203)))</formula>
    </cfRule>
  </conditionalFormatting>
  <conditionalFormatting sqref="D240">
    <cfRule type="beginsWith" dxfId="378" priority="718" stopIfTrue="1" operator="beginsWith" text="Functioning At Risk">
      <formula>LEFT(D240,LEN("Functioning At Risk"))="Functioning At Risk"</formula>
    </cfRule>
    <cfRule type="beginsWith" dxfId="377" priority="719" stopIfTrue="1" operator="beginsWith" text="Not Functioning">
      <formula>LEFT(D240,LEN("Not Functioning"))="Not Functioning"</formula>
    </cfRule>
    <cfRule type="containsText" dxfId="376" priority="720" operator="containsText" text="Functioning">
      <formula>NOT(ISERROR(SEARCH("Functioning",D240)))</formula>
    </cfRule>
  </conditionalFormatting>
  <conditionalFormatting sqref="D225:D228">
    <cfRule type="beginsWith" dxfId="375" priority="706" stopIfTrue="1" operator="beginsWith" text="Functioning At Risk">
      <formula>LEFT(D225,LEN("Functioning At Risk"))="Functioning At Risk"</formula>
    </cfRule>
    <cfRule type="beginsWith" dxfId="374" priority="707" stopIfTrue="1" operator="beginsWith" text="Not Functioning">
      <formula>LEFT(D225,LEN("Not Functioning"))="Not Functioning"</formula>
    </cfRule>
    <cfRule type="containsText" dxfId="373" priority="708" operator="containsText" text="Functioning">
      <formula>NOT(ISERROR(SEARCH("Functioning",D225)))</formula>
    </cfRule>
  </conditionalFormatting>
  <conditionalFormatting sqref="I219 I233:I240 I212:I213">
    <cfRule type="containsText" dxfId="372" priority="694" stopIfTrue="1" operator="containsText" text="Functioning At Risk">
      <formula>NOT(ISERROR(SEARCH("Functioning At Risk",I212)))</formula>
    </cfRule>
    <cfRule type="containsText" dxfId="371" priority="695" stopIfTrue="1" operator="containsText" text="Not Functioning">
      <formula>NOT(ISERROR(SEARCH("Not Functioning",I212)))</formula>
    </cfRule>
    <cfRule type="containsText" dxfId="370" priority="696" operator="containsText" text="Functioning">
      <formula>NOT(ISERROR(SEARCH("Functioning",I212)))</formula>
    </cfRule>
  </conditionalFormatting>
  <conditionalFormatting sqref="I259 I273:I280 I252:I253">
    <cfRule type="containsText" dxfId="369" priority="628" stopIfTrue="1" operator="containsText" text="Functioning At Risk">
      <formula>NOT(ISERROR(SEARCH("Functioning At Risk",I252)))</formula>
    </cfRule>
    <cfRule type="containsText" dxfId="368" priority="629" stopIfTrue="1" operator="containsText" text="Not Functioning">
      <formula>NOT(ISERROR(SEARCH("Not Functioning",I252)))</formula>
    </cfRule>
    <cfRule type="containsText" dxfId="367" priority="630" operator="containsText" text="Functioning">
      <formula>NOT(ISERROR(SEARCH("Functioning",I252)))</formula>
    </cfRule>
  </conditionalFormatting>
  <conditionalFormatting sqref="H81:K81">
    <cfRule type="beginsWith" dxfId="366" priority="454" stopIfTrue="1" operator="beginsWith" text="Functioning At Risk">
      <formula>LEFT(H81,LEN("Functioning At Risk"))="Functioning At Risk"</formula>
    </cfRule>
    <cfRule type="beginsWith" dxfId="365" priority="455" stopIfTrue="1" operator="beginsWith" text="Not Functioning">
      <formula>LEFT(H81,LEN("Not Functioning"))="Not Functioning"</formula>
    </cfRule>
    <cfRule type="containsText" dxfId="364" priority="456" operator="containsText" text="Functioning">
      <formula>NOT(ISERROR(SEARCH("Functioning",H81)))</formula>
    </cfRule>
  </conditionalFormatting>
  <conditionalFormatting sqref="H41:K41">
    <cfRule type="beginsWith" dxfId="363" priority="457" stopIfTrue="1" operator="beginsWith" text="Functioning At Risk">
      <formula>LEFT(H41,LEN("Functioning At Risk"))="Functioning At Risk"</formula>
    </cfRule>
    <cfRule type="beginsWith" dxfId="362" priority="458" stopIfTrue="1" operator="beginsWith" text="Not Functioning">
      <formula>LEFT(H41,LEN("Not Functioning"))="Not Functioning"</formula>
    </cfRule>
    <cfRule type="containsText" dxfId="361" priority="459" operator="containsText" text="Functioning">
      <formula>NOT(ISERROR(SEARCH("Functioning",H41)))</formula>
    </cfRule>
  </conditionalFormatting>
  <conditionalFormatting sqref="H161:K161">
    <cfRule type="beginsWith" dxfId="360" priority="451" stopIfTrue="1" operator="beginsWith" text="Functioning At Risk">
      <formula>LEFT(H161,LEN("Functioning At Risk"))="Functioning At Risk"</formula>
    </cfRule>
    <cfRule type="beginsWith" dxfId="359" priority="452" stopIfTrue="1" operator="beginsWith" text="Not Functioning">
      <formula>LEFT(H161,LEN("Not Functioning"))="Not Functioning"</formula>
    </cfRule>
    <cfRule type="containsText" dxfId="358" priority="453" operator="containsText" text="Functioning">
      <formula>NOT(ISERROR(SEARCH("Functioning",H161)))</formula>
    </cfRule>
  </conditionalFormatting>
  <conditionalFormatting sqref="H201:K201">
    <cfRule type="beginsWith" dxfId="357" priority="448" stopIfTrue="1" operator="beginsWith" text="Functioning At Risk">
      <formula>LEFT(H201,LEN("Functioning At Risk"))="Functioning At Risk"</formula>
    </cfRule>
    <cfRule type="beginsWith" dxfId="356" priority="449" stopIfTrue="1" operator="beginsWith" text="Not Functioning">
      <formula>LEFT(H201,LEN("Not Functioning"))="Not Functioning"</formula>
    </cfRule>
    <cfRule type="containsText" dxfId="355" priority="450" operator="containsText" text="Functioning">
      <formula>NOT(ISERROR(SEARCH("Functioning",H201)))</formula>
    </cfRule>
  </conditionalFormatting>
  <conditionalFormatting sqref="H241:K241">
    <cfRule type="beginsWith" dxfId="354" priority="445" stopIfTrue="1" operator="beginsWith" text="Functioning At Risk">
      <formula>LEFT(H241,LEN("Functioning At Risk"))="Functioning At Risk"</formula>
    </cfRule>
    <cfRule type="beginsWith" dxfId="353" priority="446" stopIfTrue="1" operator="beginsWith" text="Not Functioning">
      <formula>LEFT(H241,LEN("Not Functioning"))="Not Functioning"</formula>
    </cfRule>
    <cfRule type="containsText" dxfId="352" priority="447" operator="containsText" text="Functioning">
      <formula>NOT(ISERROR(SEARCH("Functioning",H241)))</formula>
    </cfRule>
  </conditionalFormatting>
  <conditionalFormatting sqref="H321:K321">
    <cfRule type="beginsWith" dxfId="351" priority="442" stopIfTrue="1" operator="beginsWith" text="Functioning At Risk">
      <formula>LEFT(H321,LEN("Functioning At Risk"))="Functioning At Risk"</formula>
    </cfRule>
    <cfRule type="beginsWith" dxfId="350" priority="443" stopIfTrue="1" operator="beginsWith" text="Not Functioning">
      <formula>LEFT(H321,LEN("Not Functioning"))="Not Functioning"</formula>
    </cfRule>
    <cfRule type="containsText" dxfId="349" priority="444" operator="containsText" text="Functioning">
      <formula>NOT(ISERROR(SEARCH("Functioning",H321)))</formula>
    </cfRule>
  </conditionalFormatting>
  <conditionalFormatting sqref="A371:C371 G370 E371:J371 L363:M364 D376:D383 D395:D399 B369:I369 J372:J375 K367:K400">
    <cfRule type="beginsWith" dxfId="348" priority="439" stopIfTrue="1" operator="beginsWith" text="Functioning At Risk">
      <formula>LEFT(A363,LEN("Functioning At Risk"))="Functioning At Risk"</formula>
    </cfRule>
    <cfRule type="beginsWith" dxfId="347" priority="440" stopIfTrue="1" operator="beginsWith" text="Not Functioning">
      <formula>LEFT(A363,LEN("Not Functioning"))="Not Functioning"</formula>
    </cfRule>
    <cfRule type="containsText" dxfId="346" priority="441" operator="containsText" text="Functioning">
      <formula>NOT(ISERROR(SEARCH("Functioning",A363)))</formula>
    </cfRule>
  </conditionalFormatting>
  <conditionalFormatting sqref="D400">
    <cfRule type="beginsWith" dxfId="345" priority="436" stopIfTrue="1" operator="beginsWith" text="Functioning At Risk">
      <formula>LEFT(D400,LEN("Functioning At Risk"))="Functioning At Risk"</formula>
    </cfRule>
    <cfRule type="beginsWith" dxfId="344" priority="437" stopIfTrue="1" operator="beginsWith" text="Not Functioning">
      <formula>LEFT(D400,LEN("Not Functioning"))="Not Functioning"</formula>
    </cfRule>
    <cfRule type="containsText" dxfId="343" priority="438" operator="containsText" text="Functioning">
      <formula>NOT(ISERROR(SEARCH("Functioning",D400)))</formula>
    </cfRule>
  </conditionalFormatting>
  <conditionalFormatting sqref="I299 I313:I320 I292:I293">
    <cfRule type="containsText" dxfId="342" priority="562" stopIfTrue="1" operator="containsText" text="Functioning At Risk">
      <formula>NOT(ISERROR(SEARCH("Functioning At Risk",I292)))</formula>
    </cfRule>
    <cfRule type="containsText" dxfId="341" priority="563" stopIfTrue="1" operator="containsText" text="Not Functioning">
      <formula>NOT(ISERROR(SEARCH("Not Functioning",I292)))</formula>
    </cfRule>
    <cfRule type="containsText" dxfId="340" priority="564" operator="containsText" text="Functioning">
      <formula>NOT(ISERROR(SEARCH("Functioning",I292)))</formula>
    </cfRule>
  </conditionalFormatting>
  <conditionalFormatting sqref="D385:D388">
    <cfRule type="beginsWith" dxfId="339" priority="424" stopIfTrue="1" operator="beginsWith" text="Functioning At Risk">
      <formula>LEFT(D385,LEN("Functioning At Risk"))="Functioning At Risk"</formula>
    </cfRule>
    <cfRule type="beginsWith" dxfId="338" priority="425" stopIfTrue="1" operator="beginsWith" text="Not Functioning">
      <formula>LEFT(D385,LEN("Not Functioning"))="Not Functioning"</formula>
    </cfRule>
    <cfRule type="containsText" dxfId="337" priority="426" operator="containsText" text="Functioning">
      <formula>NOT(ISERROR(SEARCH("Functioning",D385)))</formula>
    </cfRule>
  </conditionalFormatting>
  <conditionalFormatting sqref="I339 I353:I360 I332:I333">
    <cfRule type="containsText" dxfId="336" priority="496" stopIfTrue="1" operator="containsText" text="Functioning At Risk">
      <formula>NOT(ISERROR(SEARCH("Functioning At Risk",I332)))</formula>
    </cfRule>
    <cfRule type="containsText" dxfId="335" priority="497" stopIfTrue="1" operator="containsText" text="Not Functioning">
      <formula>NOT(ISERROR(SEARCH("Not Functioning",I332)))</formula>
    </cfRule>
    <cfRule type="containsText" dxfId="334" priority="498" operator="containsText" text="Functioning">
      <formula>NOT(ISERROR(SEARCH("Functioning",I332)))</formula>
    </cfRule>
  </conditionalFormatting>
  <conditionalFormatting sqref="I379 I393:I400 I372:I373">
    <cfRule type="containsText" dxfId="333" priority="412" stopIfTrue="1" operator="containsText" text="Functioning At Risk">
      <formula>NOT(ISERROR(SEARCH("Functioning At Risk",I372)))</formula>
    </cfRule>
    <cfRule type="containsText" dxfId="332" priority="413" stopIfTrue="1" operator="containsText" text="Not Functioning">
      <formula>NOT(ISERROR(SEARCH("Not Functioning",I372)))</formula>
    </cfRule>
    <cfRule type="containsText" dxfId="331" priority="414" operator="containsText" text="Functioning">
      <formula>NOT(ISERROR(SEARCH("Functioning",I372)))</formula>
    </cfRule>
  </conditionalFormatting>
  <conditionalFormatting sqref="D4:D8">
    <cfRule type="beginsWith" dxfId="330" priority="370" stopIfTrue="1" operator="beginsWith" text="Functioning At Risk">
      <formula>LEFT(D4,LEN("Functioning At Risk"))="Functioning At Risk"</formula>
    </cfRule>
    <cfRule type="beginsWith" dxfId="329" priority="371" stopIfTrue="1" operator="beginsWith" text="Not Functioning">
      <formula>LEFT(D4,LEN("Not Functioning"))="Not Functioning"</formula>
    </cfRule>
    <cfRule type="containsText" dxfId="328" priority="372" operator="containsText" text="Functioning">
      <formula>NOT(ISERROR(SEARCH("Functioning",D4)))</formula>
    </cfRule>
  </conditionalFormatting>
  <conditionalFormatting sqref="G4:G8">
    <cfRule type="beginsWith" dxfId="327" priority="367" stopIfTrue="1" operator="beginsWith" text="Functioning At Risk">
      <formula>LEFT(G4,LEN("Functioning At Risk"))="Functioning At Risk"</formula>
    </cfRule>
    <cfRule type="beginsWith" dxfId="326" priority="368" stopIfTrue="1" operator="beginsWith" text="Not Functioning">
      <formula>LEFT(G4,LEN("Not Functioning"))="Not Functioning"</formula>
    </cfRule>
    <cfRule type="containsText" dxfId="325" priority="369" operator="containsText" text="Functioning">
      <formula>NOT(ISERROR(SEARCH("Functioning",G4)))</formula>
    </cfRule>
  </conditionalFormatting>
  <conditionalFormatting sqref="B44:B48">
    <cfRule type="beginsWith" dxfId="324" priority="355" stopIfTrue="1" operator="beginsWith" text="Functioning At Risk">
      <formula>LEFT(B44,LEN("Functioning At Risk"))="Functioning At Risk"</formula>
    </cfRule>
    <cfRule type="beginsWith" dxfId="323" priority="356" stopIfTrue="1" operator="beginsWith" text="Not Functioning">
      <formula>LEFT(B44,LEN("Not Functioning"))="Not Functioning"</formula>
    </cfRule>
    <cfRule type="containsText" dxfId="322" priority="357" operator="containsText" text="Functioning">
      <formula>NOT(ISERROR(SEARCH("Functioning",B44)))</formula>
    </cfRule>
  </conditionalFormatting>
  <conditionalFormatting sqref="J4:J7">
    <cfRule type="beginsWith" dxfId="321" priority="364" stopIfTrue="1" operator="beginsWith" text="Functioning At Risk">
      <formula>LEFT(J4,LEN("Functioning At Risk"))="Functioning At Risk"</formula>
    </cfRule>
    <cfRule type="beginsWith" dxfId="320" priority="365" stopIfTrue="1" operator="beginsWith" text="Not Functioning">
      <formula>LEFT(J4,LEN("Not Functioning"))="Not Functioning"</formula>
    </cfRule>
    <cfRule type="containsText" dxfId="319" priority="366" operator="containsText" text="Functioning">
      <formula>NOT(ISERROR(SEARCH("Functioning",J4)))</formula>
    </cfRule>
  </conditionalFormatting>
  <conditionalFormatting sqref="J48 A43:A48">
    <cfRule type="beginsWith" dxfId="318" priority="361" stopIfTrue="1" operator="beginsWith" text="Functioning At Risk">
      <formula>LEFT(A43,LEN("Functioning At Risk"))="Functioning At Risk"</formula>
    </cfRule>
    <cfRule type="beginsWith" dxfId="317" priority="362" stopIfTrue="1" operator="beginsWith" text="Not Functioning">
      <formula>LEFT(A43,LEN("Not Functioning"))="Not Functioning"</formula>
    </cfRule>
    <cfRule type="containsText" dxfId="316" priority="363" operator="containsText" text="Functioning">
      <formula>NOT(ISERROR(SEARCH("Functioning",A43)))</formula>
    </cfRule>
  </conditionalFormatting>
  <conditionalFormatting sqref="H48">
    <cfRule type="beginsWith" dxfId="315" priority="358" stopIfTrue="1" operator="beginsWith" text="Functioning At Risk">
      <formula>LEFT(H48,LEN("Functioning At Risk"))="Functioning At Risk"</formula>
    </cfRule>
    <cfRule type="beginsWith" dxfId="314" priority="359" stopIfTrue="1" operator="beginsWith" text="Not Functioning">
      <formula>LEFT(H48,LEN("Not Functioning"))="Not Functioning"</formula>
    </cfRule>
    <cfRule type="containsText" dxfId="313" priority="360" operator="containsText" text="Functioning">
      <formula>NOT(ISERROR(SEARCH("Functioning",H48)))</formula>
    </cfRule>
  </conditionalFormatting>
  <conditionalFormatting sqref="C44:C48">
    <cfRule type="beginsWith" dxfId="312" priority="349" stopIfTrue="1" operator="beginsWith" text="Functioning At Risk">
      <formula>LEFT(C44,LEN("Functioning At Risk"))="Functioning At Risk"</formula>
    </cfRule>
    <cfRule type="beginsWith" dxfId="311" priority="350" stopIfTrue="1" operator="beginsWith" text="Not Functioning">
      <formula>LEFT(C44,LEN("Not Functioning"))="Not Functioning"</formula>
    </cfRule>
    <cfRule type="containsText" dxfId="310" priority="351" operator="containsText" text="Functioning">
      <formula>NOT(ISERROR(SEARCH("Functioning",C44)))</formula>
    </cfRule>
  </conditionalFormatting>
  <conditionalFormatting sqref="E44:E48">
    <cfRule type="beginsWith" dxfId="309" priority="346" stopIfTrue="1" operator="beginsWith" text="Functioning At Risk">
      <formula>LEFT(E44,LEN("Functioning At Risk"))="Functioning At Risk"</formula>
    </cfRule>
    <cfRule type="beginsWith" dxfId="308" priority="347" stopIfTrue="1" operator="beginsWith" text="Not Functioning">
      <formula>LEFT(E44,LEN("Not Functioning"))="Not Functioning"</formula>
    </cfRule>
    <cfRule type="containsText" dxfId="307" priority="348" operator="containsText" text="Functioning">
      <formula>NOT(ISERROR(SEARCH("Functioning",E44)))</formula>
    </cfRule>
  </conditionalFormatting>
  <conditionalFormatting sqref="H361:K361">
    <cfRule type="beginsWith" dxfId="306" priority="373" stopIfTrue="1" operator="beginsWith" text="Functioning At Risk">
      <formula>LEFT(H361,LEN("Functioning At Risk"))="Functioning At Risk"</formula>
    </cfRule>
    <cfRule type="beginsWith" dxfId="305" priority="374" stopIfTrue="1" operator="beginsWith" text="Not Functioning">
      <formula>LEFT(H361,LEN("Not Functioning"))="Not Functioning"</formula>
    </cfRule>
    <cfRule type="containsText" dxfId="304" priority="375" operator="containsText" text="Functioning">
      <formula>NOT(ISERROR(SEARCH("Functioning",H361)))</formula>
    </cfRule>
  </conditionalFormatting>
  <conditionalFormatting sqref="H44:H47">
    <cfRule type="beginsWith" dxfId="303" priority="334" stopIfTrue="1" operator="beginsWith" text="Functioning At Risk">
      <formula>LEFT(H44,LEN("Functioning At Risk"))="Functioning At Risk"</formula>
    </cfRule>
    <cfRule type="beginsWith" dxfId="302" priority="335" stopIfTrue="1" operator="beginsWith" text="Not Functioning">
      <formula>LEFT(H44,LEN("Not Functioning"))="Not Functioning"</formula>
    </cfRule>
    <cfRule type="containsText" dxfId="301" priority="336" operator="containsText" text="Functioning">
      <formula>NOT(ISERROR(SEARCH("Functioning",H44)))</formula>
    </cfRule>
  </conditionalFormatting>
  <conditionalFormatting sqref="D44:D48">
    <cfRule type="beginsWith" dxfId="300" priority="331" stopIfTrue="1" operator="beginsWith" text="Functioning At Risk">
      <formula>LEFT(D44,LEN("Functioning At Risk"))="Functioning At Risk"</formula>
    </cfRule>
    <cfRule type="beginsWith" dxfId="299" priority="332" stopIfTrue="1" operator="beginsWith" text="Not Functioning">
      <formula>LEFT(D44,LEN("Not Functioning"))="Not Functioning"</formula>
    </cfRule>
    <cfRule type="containsText" dxfId="298" priority="333" operator="containsText" text="Functioning">
      <formula>NOT(ISERROR(SEARCH("Functioning",D44)))</formula>
    </cfRule>
  </conditionalFormatting>
  <conditionalFormatting sqref="G44:G48">
    <cfRule type="beginsWith" dxfId="297" priority="328" stopIfTrue="1" operator="beginsWith" text="Functioning At Risk">
      <formula>LEFT(G44,LEN("Functioning At Risk"))="Functioning At Risk"</formula>
    </cfRule>
    <cfRule type="beginsWith" dxfId="296" priority="329" stopIfTrue="1" operator="beginsWith" text="Not Functioning">
      <formula>LEFT(G44,LEN("Not Functioning"))="Not Functioning"</formula>
    </cfRule>
    <cfRule type="containsText" dxfId="295" priority="330" operator="containsText" text="Functioning">
      <formula>NOT(ISERROR(SEARCH("Functioning",G44)))</formula>
    </cfRule>
  </conditionalFormatting>
  <conditionalFormatting sqref="J44:J47">
    <cfRule type="beginsWith" dxfId="294" priority="325" stopIfTrue="1" operator="beginsWith" text="Functioning At Risk">
      <formula>LEFT(J44,LEN("Functioning At Risk"))="Functioning At Risk"</formula>
    </cfRule>
    <cfRule type="beginsWith" dxfId="293" priority="326" stopIfTrue="1" operator="beginsWith" text="Not Functioning">
      <formula>LEFT(J44,LEN("Not Functioning"))="Not Functioning"</formula>
    </cfRule>
    <cfRule type="containsText" dxfId="292" priority="327" operator="containsText" text="Functioning">
      <formula>NOT(ISERROR(SEARCH("Functioning",J44)))</formula>
    </cfRule>
  </conditionalFormatting>
  <conditionalFormatting sqref="H88">
    <cfRule type="beginsWith" dxfId="291" priority="319" stopIfTrue="1" operator="beginsWith" text="Functioning At Risk">
      <formula>LEFT(H88,LEN("Functioning At Risk"))="Functioning At Risk"</formula>
    </cfRule>
    <cfRule type="beginsWith" dxfId="290" priority="320" stopIfTrue="1" operator="beginsWith" text="Not Functioning">
      <formula>LEFT(H88,LEN("Not Functioning"))="Not Functioning"</formula>
    </cfRule>
    <cfRule type="containsText" dxfId="289" priority="321" operator="containsText" text="Functioning">
      <formula>NOT(ISERROR(SEARCH("Functioning",H88)))</formula>
    </cfRule>
  </conditionalFormatting>
  <conditionalFormatting sqref="B84:B88">
    <cfRule type="beginsWith" dxfId="288" priority="316" stopIfTrue="1" operator="beginsWith" text="Functioning At Risk">
      <formula>LEFT(B84,LEN("Functioning At Risk"))="Functioning At Risk"</formula>
    </cfRule>
    <cfRule type="beginsWith" dxfId="287" priority="317" stopIfTrue="1" operator="beginsWith" text="Not Functioning">
      <formula>LEFT(B84,LEN("Not Functioning"))="Not Functioning"</formula>
    </cfRule>
    <cfRule type="containsText" dxfId="286" priority="318" operator="containsText" text="Functioning">
      <formula>NOT(ISERROR(SEARCH("Functioning",B84)))</formula>
    </cfRule>
  </conditionalFormatting>
  <conditionalFormatting sqref="C84:C88">
    <cfRule type="beginsWith" dxfId="285" priority="310" stopIfTrue="1" operator="beginsWith" text="Functioning At Risk">
      <formula>LEFT(C84,LEN("Functioning At Risk"))="Functioning At Risk"</formula>
    </cfRule>
    <cfRule type="beginsWith" dxfId="284" priority="311" stopIfTrue="1" operator="beginsWith" text="Not Functioning">
      <formula>LEFT(C84,LEN("Not Functioning"))="Not Functioning"</formula>
    </cfRule>
    <cfRule type="containsText" dxfId="283" priority="312" operator="containsText" text="Functioning">
      <formula>NOT(ISERROR(SEARCH("Functioning",C84)))</formula>
    </cfRule>
  </conditionalFormatting>
  <conditionalFormatting sqref="E84">
    <cfRule type="beginsWith" dxfId="282" priority="307" stopIfTrue="1" operator="beginsWith" text="Functioning At Risk">
      <formula>LEFT(E84,LEN("Functioning At Risk"))="Functioning At Risk"</formula>
    </cfRule>
    <cfRule type="beginsWith" dxfId="281" priority="308" stopIfTrue="1" operator="beginsWith" text="Not Functioning">
      <formula>LEFT(E84,LEN("Not Functioning"))="Not Functioning"</formula>
    </cfRule>
    <cfRule type="containsText" dxfId="280" priority="309" operator="containsText" text="Functioning">
      <formula>NOT(ISERROR(SEARCH("Functioning",E84)))</formula>
    </cfRule>
  </conditionalFormatting>
  <conditionalFormatting sqref="E85">
    <cfRule type="beginsWith" dxfId="279" priority="298" stopIfTrue="1" operator="beginsWith" text="Functioning At Risk">
      <formula>LEFT(E85,LEN("Functioning At Risk"))="Functioning At Risk"</formula>
    </cfRule>
    <cfRule type="beginsWith" dxfId="278" priority="299" stopIfTrue="1" operator="beginsWith" text="Not Functioning">
      <formula>LEFT(E85,LEN("Not Functioning"))="Not Functioning"</formula>
    </cfRule>
    <cfRule type="containsText" dxfId="277" priority="300" operator="containsText" text="Functioning">
      <formula>NOT(ISERROR(SEARCH("Functioning",E85)))</formula>
    </cfRule>
  </conditionalFormatting>
  <conditionalFormatting sqref="E86">
    <cfRule type="beginsWith" dxfId="276" priority="304" stopIfTrue="1" operator="beginsWith" text="Functioning At Risk">
      <formula>LEFT(E86,LEN("Functioning At Risk"))="Functioning At Risk"</formula>
    </cfRule>
    <cfRule type="beginsWith" dxfId="275" priority="305" stopIfTrue="1" operator="beginsWith" text="Not Functioning">
      <formula>LEFT(E86,LEN("Not Functioning"))="Not Functioning"</formula>
    </cfRule>
    <cfRule type="containsText" dxfId="274" priority="306" operator="containsText" text="Functioning">
      <formula>NOT(ISERROR(SEARCH("Functioning",E86)))</formula>
    </cfRule>
  </conditionalFormatting>
  <conditionalFormatting sqref="H84:H87">
    <cfRule type="beginsWith" dxfId="273" priority="295" stopIfTrue="1" operator="beginsWith" text="Functioning At Risk">
      <formula>LEFT(H84,LEN("Functioning At Risk"))="Functioning At Risk"</formula>
    </cfRule>
    <cfRule type="beginsWith" dxfId="272" priority="296" stopIfTrue="1" operator="beginsWith" text="Not Functioning">
      <formula>LEFT(H84,LEN("Not Functioning"))="Not Functioning"</formula>
    </cfRule>
    <cfRule type="containsText" dxfId="271" priority="297" operator="containsText" text="Functioning">
      <formula>NOT(ISERROR(SEARCH("Functioning",H84)))</formula>
    </cfRule>
  </conditionalFormatting>
  <conditionalFormatting sqref="J88 A83:A88">
    <cfRule type="beginsWith" dxfId="270" priority="322" stopIfTrue="1" operator="beginsWith" text="Functioning At Risk">
      <formula>LEFT(A83,LEN("Functioning At Risk"))="Functioning At Risk"</formula>
    </cfRule>
    <cfRule type="beginsWith" dxfId="269" priority="323" stopIfTrue="1" operator="beginsWith" text="Not Functioning">
      <formula>LEFT(A83,LEN("Not Functioning"))="Not Functioning"</formula>
    </cfRule>
    <cfRule type="containsText" dxfId="268" priority="324" operator="containsText" text="Functioning">
      <formula>NOT(ISERROR(SEARCH("Functioning",A83)))</formula>
    </cfRule>
  </conditionalFormatting>
  <conditionalFormatting sqref="E88">
    <cfRule type="beginsWith" dxfId="267" priority="313" stopIfTrue="1" operator="beginsWith" text="Functioning At Risk">
      <formula>LEFT(E88,LEN("Functioning At Risk"))="Functioning At Risk"</formula>
    </cfRule>
    <cfRule type="beginsWith" dxfId="266" priority="314" stopIfTrue="1" operator="beginsWith" text="Not Functioning">
      <formula>LEFT(E88,LEN("Not Functioning"))="Not Functioning"</formula>
    </cfRule>
    <cfRule type="containsText" dxfId="265" priority="315" operator="containsText" text="Functioning">
      <formula>NOT(ISERROR(SEARCH("Functioning",E88)))</formula>
    </cfRule>
  </conditionalFormatting>
  <conditionalFormatting sqref="D84:D88">
    <cfRule type="beginsWith" dxfId="264" priority="292" stopIfTrue="1" operator="beginsWith" text="Functioning At Risk">
      <formula>LEFT(D84,LEN("Functioning At Risk"))="Functioning At Risk"</formula>
    </cfRule>
    <cfRule type="beginsWith" dxfId="263" priority="293" stopIfTrue="1" operator="beginsWith" text="Not Functioning">
      <formula>LEFT(D84,LEN("Not Functioning"))="Not Functioning"</formula>
    </cfRule>
    <cfRule type="containsText" dxfId="262" priority="294" operator="containsText" text="Functioning">
      <formula>NOT(ISERROR(SEARCH("Functioning",D84)))</formula>
    </cfRule>
  </conditionalFormatting>
  <conditionalFormatting sqref="G84:G88">
    <cfRule type="beginsWith" dxfId="261" priority="289" stopIfTrue="1" operator="beginsWith" text="Functioning At Risk">
      <formula>LEFT(G84,LEN("Functioning At Risk"))="Functioning At Risk"</formula>
    </cfRule>
    <cfRule type="beginsWith" dxfId="260" priority="290" stopIfTrue="1" operator="beginsWith" text="Not Functioning">
      <formula>LEFT(G84,LEN("Not Functioning"))="Not Functioning"</formula>
    </cfRule>
    <cfRule type="containsText" dxfId="259" priority="291" operator="containsText" text="Functioning">
      <formula>NOT(ISERROR(SEARCH("Functioning",G84)))</formula>
    </cfRule>
  </conditionalFormatting>
  <conditionalFormatting sqref="J84:J87">
    <cfRule type="beginsWith" dxfId="258" priority="286" stopIfTrue="1" operator="beginsWith" text="Functioning At Risk">
      <formula>LEFT(J84,LEN("Functioning At Risk"))="Functioning At Risk"</formula>
    </cfRule>
    <cfRule type="beginsWith" dxfId="257" priority="287" stopIfTrue="1" operator="beginsWith" text="Not Functioning">
      <formula>LEFT(J84,LEN("Not Functioning"))="Not Functioning"</formula>
    </cfRule>
    <cfRule type="containsText" dxfId="256" priority="288" operator="containsText" text="Functioning">
      <formula>NOT(ISERROR(SEARCH("Functioning",J84)))</formula>
    </cfRule>
  </conditionalFormatting>
  <conditionalFormatting sqref="H128">
    <cfRule type="beginsWith" dxfId="255" priority="280" stopIfTrue="1" operator="beginsWith" text="Functioning At Risk">
      <formula>LEFT(H128,LEN("Functioning At Risk"))="Functioning At Risk"</formula>
    </cfRule>
    <cfRule type="beginsWith" dxfId="254" priority="281" stopIfTrue="1" operator="beginsWith" text="Not Functioning">
      <formula>LEFT(H128,LEN("Not Functioning"))="Not Functioning"</formula>
    </cfRule>
    <cfRule type="containsText" dxfId="253" priority="282" operator="containsText" text="Functioning">
      <formula>NOT(ISERROR(SEARCH("Functioning",H128)))</formula>
    </cfRule>
  </conditionalFormatting>
  <conditionalFormatting sqref="B124:B128">
    <cfRule type="beginsWith" dxfId="252" priority="277" stopIfTrue="1" operator="beginsWith" text="Functioning At Risk">
      <formula>LEFT(B124,LEN("Functioning At Risk"))="Functioning At Risk"</formula>
    </cfRule>
    <cfRule type="beginsWith" dxfId="251" priority="278" stopIfTrue="1" operator="beginsWith" text="Not Functioning">
      <formula>LEFT(B124,LEN("Not Functioning"))="Not Functioning"</formula>
    </cfRule>
    <cfRule type="containsText" dxfId="250" priority="279" operator="containsText" text="Functioning">
      <formula>NOT(ISERROR(SEARCH("Functioning",B124)))</formula>
    </cfRule>
  </conditionalFormatting>
  <conditionalFormatting sqref="C124:C128">
    <cfRule type="beginsWith" dxfId="249" priority="271" stopIfTrue="1" operator="beginsWith" text="Functioning At Risk">
      <formula>LEFT(C124,LEN("Functioning At Risk"))="Functioning At Risk"</formula>
    </cfRule>
    <cfRule type="beginsWith" dxfId="248" priority="272" stopIfTrue="1" operator="beginsWith" text="Not Functioning">
      <formula>LEFT(C124,LEN("Not Functioning"))="Not Functioning"</formula>
    </cfRule>
    <cfRule type="containsText" dxfId="247" priority="273" operator="containsText" text="Functioning">
      <formula>NOT(ISERROR(SEARCH("Functioning",C124)))</formula>
    </cfRule>
  </conditionalFormatting>
  <conditionalFormatting sqref="E124">
    <cfRule type="beginsWith" dxfId="246" priority="268" stopIfTrue="1" operator="beginsWith" text="Functioning At Risk">
      <formula>LEFT(E124,LEN("Functioning At Risk"))="Functioning At Risk"</formula>
    </cfRule>
    <cfRule type="beginsWith" dxfId="245" priority="269" stopIfTrue="1" operator="beginsWith" text="Not Functioning">
      <formula>LEFT(E124,LEN("Not Functioning"))="Not Functioning"</formula>
    </cfRule>
    <cfRule type="containsText" dxfId="244" priority="270" operator="containsText" text="Functioning">
      <formula>NOT(ISERROR(SEARCH("Functioning",E124)))</formula>
    </cfRule>
  </conditionalFormatting>
  <conditionalFormatting sqref="E125">
    <cfRule type="beginsWith" dxfId="243" priority="259" stopIfTrue="1" operator="beginsWith" text="Functioning At Risk">
      <formula>LEFT(E125,LEN("Functioning At Risk"))="Functioning At Risk"</formula>
    </cfRule>
    <cfRule type="beginsWith" dxfId="242" priority="260" stopIfTrue="1" operator="beginsWith" text="Not Functioning">
      <formula>LEFT(E125,LEN("Not Functioning"))="Not Functioning"</formula>
    </cfRule>
    <cfRule type="containsText" dxfId="241" priority="261" operator="containsText" text="Functioning">
      <formula>NOT(ISERROR(SEARCH("Functioning",E125)))</formula>
    </cfRule>
  </conditionalFormatting>
  <conditionalFormatting sqref="E126">
    <cfRule type="beginsWith" dxfId="240" priority="265" stopIfTrue="1" operator="beginsWith" text="Functioning At Risk">
      <formula>LEFT(E126,LEN("Functioning At Risk"))="Functioning At Risk"</formula>
    </cfRule>
    <cfRule type="beginsWith" dxfId="239" priority="266" stopIfTrue="1" operator="beginsWith" text="Not Functioning">
      <formula>LEFT(E126,LEN("Not Functioning"))="Not Functioning"</formula>
    </cfRule>
    <cfRule type="containsText" dxfId="238" priority="267" operator="containsText" text="Functioning">
      <formula>NOT(ISERROR(SEARCH("Functioning",E126)))</formula>
    </cfRule>
  </conditionalFormatting>
  <conditionalFormatting sqref="H124:H127">
    <cfRule type="beginsWith" dxfId="237" priority="256" stopIfTrue="1" operator="beginsWith" text="Functioning At Risk">
      <formula>LEFT(H124,LEN("Functioning At Risk"))="Functioning At Risk"</formula>
    </cfRule>
    <cfRule type="beginsWith" dxfId="236" priority="257" stopIfTrue="1" operator="beginsWith" text="Not Functioning">
      <formula>LEFT(H124,LEN("Not Functioning"))="Not Functioning"</formula>
    </cfRule>
    <cfRule type="containsText" dxfId="235" priority="258" operator="containsText" text="Functioning">
      <formula>NOT(ISERROR(SEARCH("Functioning",H124)))</formula>
    </cfRule>
  </conditionalFormatting>
  <conditionalFormatting sqref="J128 A123:A128">
    <cfRule type="beginsWith" dxfId="234" priority="283" stopIfTrue="1" operator="beginsWith" text="Functioning At Risk">
      <formula>LEFT(A123,LEN("Functioning At Risk"))="Functioning At Risk"</formula>
    </cfRule>
    <cfRule type="beginsWith" dxfId="233" priority="284" stopIfTrue="1" operator="beginsWith" text="Not Functioning">
      <formula>LEFT(A123,LEN("Not Functioning"))="Not Functioning"</formula>
    </cfRule>
    <cfRule type="containsText" dxfId="232" priority="285" operator="containsText" text="Functioning">
      <formula>NOT(ISERROR(SEARCH("Functioning",A123)))</formula>
    </cfRule>
  </conditionalFormatting>
  <conditionalFormatting sqref="E128">
    <cfRule type="beginsWith" dxfId="231" priority="274" stopIfTrue="1" operator="beginsWith" text="Functioning At Risk">
      <formula>LEFT(E128,LEN("Functioning At Risk"))="Functioning At Risk"</formula>
    </cfRule>
    <cfRule type="beginsWith" dxfId="230" priority="275" stopIfTrue="1" operator="beginsWith" text="Not Functioning">
      <formula>LEFT(E128,LEN("Not Functioning"))="Not Functioning"</formula>
    </cfRule>
    <cfRule type="containsText" dxfId="229" priority="276" operator="containsText" text="Functioning">
      <formula>NOT(ISERROR(SEARCH("Functioning",E128)))</formula>
    </cfRule>
  </conditionalFormatting>
  <conditionalFormatting sqref="D124:D128">
    <cfRule type="beginsWith" dxfId="228" priority="253" stopIfTrue="1" operator="beginsWith" text="Functioning At Risk">
      <formula>LEFT(D124,LEN("Functioning At Risk"))="Functioning At Risk"</formula>
    </cfRule>
    <cfRule type="beginsWith" dxfId="227" priority="254" stopIfTrue="1" operator="beginsWith" text="Not Functioning">
      <formula>LEFT(D124,LEN("Not Functioning"))="Not Functioning"</formula>
    </cfRule>
    <cfRule type="containsText" dxfId="226" priority="255" operator="containsText" text="Functioning">
      <formula>NOT(ISERROR(SEARCH("Functioning",D124)))</formula>
    </cfRule>
  </conditionalFormatting>
  <conditionalFormatting sqref="G124:G128">
    <cfRule type="beginsWith" dxfId="225" priority="250" stopIfTrue="1" operator="beginsWith" text="Functioning At Risk">
      <formula>LEFT(G124,LEN("Functioning At Risk"))="Functioning At Risk"</formula>
    </cfRule>
    <cfRule type="beginsWith" dxfId="224" priority="251" stopIfTrue="1" operator="beginsWith" text="Not Functioning">
      <formula>LEFT(G124,LEN("Not Functioning"))="Not Functioning"</formula>
    </cfRule>
    <cfRule type="containsText" dxfId="223" priority="252" operator="containsText" text="Functioning">
      <formula>NOT(ISERROR(SEARCH("Functioning",G124)))</formula>
    </cfRule>
  </conditionalFormatting>
  <conditionalFormatting sqref="J124:J127">
    <cfRule type="beginsWith" dxfId="222" priority="247" stopIfTrue="1" operator="beginsWith" text="Functioning At Risk">
      <formula>LEFT(J124,LEN("Functioning At Risk"))="Functioning At Risk"</formula>
    </cfRule>
    <cfRule type="beginsWith" dxfId="221" priority="248" stopIfTrue="1" operator="beginsWith" text="Not Functioning">
      <formula>LEFT(J124,LEN("Not Functioning"))="Not Functioning"</formula>
    </cfRule>
    <cfRule type="containsText" dxfId="220" priority="249" operator="containsText" text="Functioning">
      <formula>NOT(ISERROR(SEARCH("Functioning",J124)))</formula>
    </cfRule>
  </conditionalFormatting>
  <conditionalFormatting sqref="H168">
    <cfRule type="beginsWith" dxfId="219" priority="241" stopIfTrue="1" operator="beginsWith" text="Functioning At Risk">
      <formula>LEFT(H168,LEN("Functioning At Risk"))="Functioning At Risk"</formula>
    </cfRule>
    <cfRule type="beginsWith" dxfId="218" priority="242" stopIfTrue="1" operator="beginsWith" text="Not Functioning">
      <formula>LEFT(H168,LEN("Not Functioning"))="Not Functioning"</formula>
    </cfRule>
    <cfRule type="containsText" dxfId="217" priority="243" operator="containsText" text="Functioning">
      <formula>NOT(ISERROR(SEARCH("Functioning",H168)))</formula>
    </cfRule>
  </conditionalFormatting>
  <conditionalFormatting sqref="B164:D168">
    <cfRule type="beginsWith" dxfId="216" priority="238" stopIfTrue="1" operator="beginsWith" text="Functioning At Risk">
      <formula>LEFT(B164,LEN("Functioning At Risk"))="Functioning At Risk"</formula>
    </cfRule>
    <cfRule type="beginsWith" dxfId="215" priority="239" stopIfTrue="1" operator="beginsWith" text="Not Functioning">
      <formula>LEFT(B164,LEN("Not Functioning"))="Not Functioning"</formula>
    </cfRule>
    <cfRule type="containsText" dxfId="214" priority="240" operator="containsText" text="Functioning">
      <formula>NOT(ISERROR(SEARCH("Functioning",B164)))</formula>
    </cfRule>
  </conditionalFormatting>
  <conditionalFormatting sqref="E164">
    <cfRule type="beginsWith" dxfId="213" priority="229" stopIfTrue="1" operator="beginsWith" text="Functioning At Risk">
      <formula>LEFT(E164,LEN("Functioning At Risk"))="Functioning At Risk"</formula>
    </cfRule>
    <cfRule type="beginsWith" dxfId="212" priority="230" stopIfTrue="1" operator="beginsWith" text="Not Functioning">
      <formula>LEFT(E164,LEN("Not Functioning"))="Not Functioning"</formula>
    </cfRule>
    <cfRule type="containsText" dxfId="211" priority="231" operator="containsText" text="Functioning">
      <formula>NOT(ISERROR(SEARCH("Functioning",E164)))</formula>
    </cfRule>
  </conditionalFormatting>
  <conditionalFormatting sqref="E165">
    <cfRule type="beginsWith" dxfId="210" priority="220" stopIfTrue="1" operator="beginsWith" text="Functioning At Risk">
      <formula>LEFT(E165,LEN("Functioning At Risk"))="Functioning At Risk"</formula>
    </cfRule>
    <cfRule type="beginsWith" dxfId="209" priority="221" stopIfTrue="1" operator="beginsWith" text="Not Functioning">
      <formula>LEFT(E165,LEN("Not Functioning"))="Not Functioning"</formula>
    </cfRule>
    <cfRule type="containsText" dxfId="208" priority="222" operator="containsText" text="Functioning">
      <formula>NOT(ISERROR(SEARCH("Functioning",E165)))</formula>
    </cfRule>
  </conditionalFormatting>
  <conditionalFormatting sqref="E166">
    <cfRule type="beginsWith" dxfId="207" priority="226" stopIfTrue="1" operator="beginsWith" text="Functioning At Risk">
      <formula>LEFT(E166,LEN("Functioning At Risk"))="Functioning At Risk"</formula>
    </cfRule>
    <cfRule type="beginsWith" dxfId="206" priority="227" stopIfTrue="1" operator="beginsWith" text="Not Functioning">
      <formula>LEFT(E166,LEN("Not Functioning"))="Not Functioning"</formula>
    </cfRule>
    <cfRule type="containsText" dxfId="205" priority="228" operator="containsText" text="Functioning">
      <formula>NOT(ISERROR(SEARCH("Functioning",E166)))</formula>
    </cfRule>
  </conditionalFormatting>
  <conditionalFormatting sqref="H164:H167">
    <cfRule type="beginsWith" dxfId="204" priority="217" stopIfTrue="1" operator="beginsWith" text="Functioning At Risk">
      <formula>LEFT(H164,LEN("Functioning At Risk"))="Functioning At Risk"</formula>
    </cfRule>
    <cfRule type="beginsWith" dxfId="203" priority="218" stopIfTrue="1" operator="beginsWith" text="Not Functioning">
      <formula>LEFT(H164,LEN("Not Functioning"))="Not Functioning"</formula>
    </cfRule>
    <cfRule type="containsText" dxfId="202" priority="219" operator="containsText" text="Functioning">
      <formula>NOT(ISERROR(SEARCH("Functioning",H164)))</formula>
    </cfRule>
  </conditionalFormatting>
  <conditionalFormatting sqref="J168 A163:A168">
    <cfRule type="beginsWith" dxfId="201" priority="244" stopIfTrue="1" operator="beginsWith" text="Functioning At Risk">
      <formula>LEFT(A163,LEN("Functioning At Risk"))="Functioning At Risk"</formula>
    </cfRule>
    <cfRule type="beginsWith" dxfId="200" priority="245" stopIfTrue="1" operator="beginsWith" text="Not Functioning">
      <formula>LEFT(A163,LEN("Not Functioning"))="Not Functioning"</formula>
    </cfRule>
    <cfRule type="containsText" dxfId="199" priority="246" operator="containsText" text="Functioning">
      <formula>NOT(ISERROR(SEARCH("Functioning",A163)))</formula>
    </cfRule>
  </conditionalFormatting>
  <conditionalFormatting sqref="E168">
    <cfRule type="beginsWith" dxfId="198" priority="235" stopIfTrue="1" operator="beginsWith" text="Functioning At Risk">
      <formula>LEFT(E168,LEN("Functioning At Risk"))="Functioning At Risk"</formula>
    </cfRule>
    <cfRule type="beginsWith" dxfId="197" priority="236" stopIfTrue="1" operator="beginsWith" text="Not Functioning">
      <formula>LEFT(E168,LEN("Not Functioning"))="Not Functioning"</formula>
    </cfRule>
    <cfRule type="containsText" dxfId="196" priority="237" operator="containsText" text="Functioning">
      <formula>NOT(ISERROR(SEARCH("Functioning",E168)))</formula>
    </cfRule>
  </conditionalFormatting>
  <conditionalFormatting sqref="G164:G168">
    <cfRule type="beginsWith" dxfId="195" priority="211" stopIfTrue="1" operator="beginsWith" text="Functioning At Risk">
      <formula>LEFT(G164,LEN("Functioning At Risk"))="Functioning At Risk"</formula>
    </cfRule>
    <cfRule type="beginsWith" dxfId="194" priority="212" stopIfTrue="1" operator="beginsWith" text="Not Functioning">
      <formula>LEFT(G164,LEN("Not Functioning"))="Not Functioning"</formula>
    </cfRule>
    <cfRule type="containsText" dxfId="193" priority="213" operator="containsText" text="Functioning">
      <formula>NOT(ISERROR(SEARCH("Functioning",G164)))</formula>
    </cfRule>
  </conditionalFormatting>
  <conditionalFormatting sqref="J164:J167">
    <cfRule type="beginsWith" dxfId="192" priority="208" stopIfTrue="1" operator="beginsWith" text="Functioning At Risk">
      <formula>LEFT(J164,LEN("Functioning At Risk"))="Functioning At Risk"</formula>
    </cfRule>
    <cfRule type="beginsWith" dxfId="191" priority="209" stopIfTrue="1" operator="beginsWith" text="Not Functioning">
      <formula>LEFT(J164,LEN("Not Functioning"))="Not Functioning"</formula>
    </cfRule>
    <cfRule type="containsText" dxfId="190" priority="210" operator="containsText" text="Functioning">
      <formula>NOT(ISERROR(SEARCH("Functioning",J164)))</formula>
    </cfRule>
  </conditionalFormatting>
  <conditionalFormatting sqref="H208">
    <cfRule type="beginsWith" dxfId="189" priority="202" stopIfTrue="1" operator="beginsWith" text="Functioning At Risk">
      <formula>LEFT(H208,LEN("Functioning At Risk"))="Functioning At Risk"</formula>
    </cfRule>
    <cfRule type="beginsWith" dxfId="188" priority="203" stopIfTrue="1" operator="beginsWith" text="Not Functioning">
      <formula>LEFT(H208,LEN("Not Functioning"))="Not Functioning"</formula>
    </cfRule>
    <cfRule type="containsText" dxfId="187" priority="204" operator="containsText" text="Functioning">
      <formula>NOT(ISERROR(SEARCH("Functioning",H208)))</formula>
    </cfRule>
  </conditionalFormatting>
  <conditionalFormatting sqref="E204">
    <cfRule type="beginsWith" dxfId="186" priority="190" stopIfTrue="1" operator="beginsWith" text="Functioning At Risk">
      <formula>LEFT(E204,LEN("Functioning At Risk"))="Functioning At Risk"</formula>
    </cfRule>
    <cfRule type="beginsWith" dxfId="185" priority="191" stopIfTrue="1" operator="beginsWith" text="Not Functioning">
      <formula>LEFT(E204,LEN("Not Functioning"))="Not Functioning"</formula>
    </cfRule>
    <cfRule type="containsText" dxfId="184" priority="192" operator="containsText" text="Functioning">
      <formula>NOT(ISERROR(SEARCH("Functioning",E204)))</formula>
    </cfRule>
  </conditionalFormatting>
  <conditionalFormatting sqref="E205">
    <cfRule type="beginsWith" dxfId="183" priority="181" stopIfTrue="1" operator="beginsWith" text="Functioning At Risk">
      <formula>LEFT(E205,LEN("Functioning At Risk"))="Functioning At Risk"</formula>
    </cfRule>
    <cfRule type="beginsWith" dxfId="182" priority="182" stopIfTrue="1" operator="beginsWith" text="Not Functioning">
      <formula>LEFT(E205,LEN("Not Functioning"))="Not Functioning"</formula>
    </cfRule>
    <cfRule type="containsText" dxfId="181" priority="183" operator="containsText" text="Functioning">
      <formula>NOT(ISERROR(SEARCH("Functioning",E205)))</formula>
    </cfRule>
  </conditionalFormatting>
  <conditionalFormatting sqref="E206">
    <cfRule type="beginsWith" dxfId="180" priority="187" stopIfTrue="1" operator="beginsWith" text="Functioning At Risk">
      <formula>LEFT(E206,LEN("Functioning At Risk"))="Functioning At Risk"</formula>
    </cfRule>
    <cfRule type="beginsWith" dxfId="179" priority="188" stopIfTrue="1" operator="beginsWith" text="Not Functioning">
      <formula>LEFT(E206,LEN("Not Functioning"))="Not Functioning"</formula>
    </cfRule>
    <cfRule type="containsText" dxfId="178" priority="189" operator="containsText" text="Functioning">
      <formula>NOT(ISERROR(SEARCH("Functioning",E206)))</formula>
    </cfRule>
  </conditionalFormatting>
  <conditionalFormatting sqref="H204:H207">
    <cfRule type="beginsWith" dxfId="177" priority="178" stopIfTrue="1" operator="beginsWith" text="Functioning At Risk">
      <formula>LEFT(H204,LEN("Functioning At Risk"))="Functioning At Risk"</formula>
    </cfRule>
    <cfRule type="beginsWith" dxfId="176" priority="179" stopIfTrue="1" operator="beginsWith" text="Not Functioning">
      <formula>LEFT(H204,LEN("Not Functioning"))="Not Functioning"</formula>
    </cfRule>
    <cfRule type="containsText" dxfId="175" priority="180" operator="containsText" text="Functioning">
      <formula>NOT(ISERROR(SEARCH("Functioning",H204)))</formula>
    </cfRule>
  </conditionalFormatting>
  <conditionalFormatting sqref="J208 A203:A208 B204:D208">
    <cfRule type="beginsWith" dxfId="174" priority="205" stopIfTrue="1" operator="beginsWith" text="Functioning At Risk">
      <formula>LEFT(A203,LEN("Functioning At Risk"))="Functioning At Risk"</formula>
    </cfRule>
    <cfRule type="beginsWith" dxfId="173" priority="206" stopIfTrue="1" operator="beginsWith" text="Not Functioning">
      <formula>LEFT(A203,LEN("Not Functioning"))="Not Functioning"</formula>
    </cfRule>
    <cfRule type="containsText" dxfId="172" priority="207" operator="containsText" text="Functioning">
      <formula>NOT(ISERROR(SEARCH("Functioning",A203)))</formula>
    </cfRule>
  </conditionalFormatting>
  <conditionalFormatting sqref="E208">
    <cfRule type="beginsWith" dxfId="171" priority="196" stopIfTrue="1" operator="beginsWith" text="Functioning At Risk">
      <formula>LEFT(E208,LEN("Functioning At Risk"))="Functioning At Risk"</formula>
    </cfRule>
    <cfRule type="beginsWith" dxfId="170" priority="197" stopIfTrue="1" operator="beginsWith" text="Not Functioning">
      <formula>LEFT(E208,LEN("Not Functioning"))="Not Functioning"</formula>
    </cfRule>
    <cfRule type="containsText" dxfId="169" priority="198" operator="containsText" text="Functioning">
      <formula>NOT(ISERROR(SEARCH("Functioning",E208)))</formula>
    </cfRule>
  </conditionalFormatting>
  <conditionalFormatting sqref="G204:G208">
    <cfRule type="beginsWith" dxfId="168" priority="172" stopIfTrue="1" operator="beginsWith" text="Functioning At Risk">
      <formula>LEFT(G204,LEN("Functioning At Risk"))="Functioning At Risk"</formula>
    </cfRule>
    <cfRule type="beginsWith" dxfId="167" priority="173" stopIfTrue="1" operator="beginsWith" text="Not Functioning">
      <formula>LEFT(G204,LEN("Not Functioning"))="Not Functioning"</formula>
    </cfRule>
    <cfRule type="containsText" dxfId="166" priority="174" operator="containsText" text="Functioning">
      <formula>NOT(ISERROR(SEARCH("Functioning",G204)))</formula>
    </cfRule>
  </conditionalFormatting>
  <conditionalFormatting sqref="J204:J207">
    <cfRule type="beginsWith" dxfId="165" priority="169" stopIfTrue="1" operator="beginsWith" text="Functioning At Risk">
      <formula>LEFT(J204,LEN("Functioning At Risk"))="Functioning At Risk"</formula>
    </cfRule>
    <cfRule type="beginsWith" dxfId="164" priority="170" stopIfTrue="1" operator="beginsWith" text="Not Functioning">
      <formula>LEFT(J204,LEN("Not Functioning"))="Not Functioning"</formula>
    </cfRule>
    <cfRule type="containsText" dxfId="163" priority="171" operator="containsText" text="Functioning">
      <formula>NOT(ISERROR(SEARCH("Functioning",J204)))</formula>
    </cfRule>
  </conditionalFormatting>
  <conditionalFormatting sqref="H248">
    <cfRule type="beginsWith" dxfId="162" priority="163" stopIfTrue="1" operator="beginsWith" text="Functioning At Risk">
      <formula>LEFT(H248,LEN("Functioning At Risk"))="Functioning At Risk"</formula>
    </cfRule>
    <cfRule type="beginsWith" dxfId="161" priority="164" stopIfTrue="1" operator="beginsWith" text="Not Functioning">
      <formula>LEFT(H248,LEN("Not Functioning"))="Not Functioning"</formula>
    </cfRule>
    <cfRule type="containsText" dxfId="160" priority="165" operator="containsText" text="Functioning">
      <formula>NOT(ISERROR(SEARCH("Functioning",H248)))</formula>
    </cfRule>
  </conditionalFormatting>
  <conditionalFormatting sqref="E244">
    <cfRule type="beginsWith" dxfId="159" priority="151" stopIfTrue="1" operator="beginsWith" text="Functioning At Risk">
      <formula>LEFT(E244,LEN("Functioning At Risk"))="Functioning At Risk"</formula>
    </cfRule>
    <cfRule type="beginsWith" dxfId="158" priority="152" stopIfTrue="1" operator="beginsWith" text="Not Functioning">
      <formula>LEFT(E244,LEN("Not Functioning"))="Not Functioning"</formula>
    </cfRule>
    <cfRule type="containsText" dxfId="157" priority="153" operator="containsText" text="Functioning">
      <formula>NOT(ISERROR(SEARCH("Functioning",E244)))</formula>
    </cfRule>
  </conditionalFormatting>
  <conditionalFormatting sqref="E245">
    <cfRule type="beginsWith" dxfId="156" priority="142" stopIfTrue="1" operator="beginsWith" text="Functioning At Risk">
      <formula>LEFT(E245,LEN("Functioning At Risk"))="Functioning At Risk"</formula>
    </cfRule>
    <cfRule type="beginsWith" dxfId="155" priority="143" stopIfTrue="1" operator="beginsWith" text="Not Functioning">
      <formula>LEFT(E245,LEN("Not Functioning"))="Not Functioning"</formula>
    </cfRule>
    <cfRule type="containsText" dxfId="154" priority="144" operator="containsText" text="Functioning">
      <formula>NOT(ISERROR(SEARCH("Functioning",E245)))</formula>
    </cfRule>
  </conditionalFormatting>
  <conditionalFormatting sqref="E246">
    <cfRule type="beginsWith" dxfId="153" priority="148" stopIfTrue="1" operator="beginsWith" text="Functioning At Risk">
      <formula>LEFT(E246,LEN("Functioning At Risk"))="Functioning At Risk"</formula>
    </cfRule>
    <cfRule type="beginsWith" dxfId="152" priority="149" stopIfTrue="1" operator="beginsWith" text="Not Functioning">
      <formula>LEFT(E246,LEN("Not Functioning"))="Not Functioning"</formula>
    </cfRule>
    <cfRule type="containsText" dxfId="151" priority="150" operator="containsText" text="Functioning">
      <formula>NOT(ISERROR(SEARCH("Functioning",E246)))</formula>
    </cfRule>
  </conditionalFormatting>
  <conditionalFormatting sqref="H244:H247">
    <cfRule type="beginsWith" dxfId="150" priority="139" stopIfTrue="1" operator="beginsWith" text="Functioning At Risk">
      <formula>LEFT(H244,LEN("Functioning At Risk"))="Functioning At Risk"</formula>
    </cfRule>
    <cfRule type="beginsWith" dxfId="149" priority="140" stopIfTrue="1" operator="beginsWith" text="Not Functioning">
      <formula>LEFT(H244,LEN("Not Functioning"))="Not Functioning"</formula>
    </cfRule>
    <cfRule type="containsText" dxfId="148" priority="141" operator="containsText" text="Functioning">
      <formula>NOT(ISERROR(SEARCH("Functioning",H244)))</formula>
    </cfRule>
  </conditionalFormatting>
  <conditionalFormatting sqref="J248 A243:A248 B244:D248">
    <cfRule type="beginsWith" dxfId="147" priority="166" stopIfTrue="1" operator="beginsWith" text="Functioning At Risk">
      <formula>LEFT(A243,LEN("Functioning At Risk"))="Functioning At Risk"</formula>
    </cfRule>
    <cfRule type="beginsWith" dxfId="146" priority="167" stopIfTrue="1" operator="beginsWith" text="Not Functioning">
      <formula>LEFT(A243,LEN("Not Functioning"))="Not Functioning"</formula>
    </cfRule>
    <cfRule type="containsText" dxfId="145" priority="168" operator="containsText" text="Functioning">
      <formula>NOT(ISERROR(SEARCH("Functioning",A243)))</formula>
    </cfRule>
  </conditionalFormatting>
  <conditionalFormatting sqref="E248">
    <cfRule type="beginsWith" dxfId="144" priority="157" stopIfTrue="1" operator="beginsWith" text="Functioning At Risk">
      <formula>LEFT(E248,LEN("Functioning At Risk"))="Functioning At Risk"</formula>
    </cfRule>
    <cfRule type="beginsWith" dxfId="143" priority="158" stopIfTrue="1" operator="beginsWith" text="Not Functioning">
      <formula>LEFT(E248,LEN("Not Functioning"))="Not Functioning"</formula>
    </cfRule>
    <cfRule type="containsText" dxfId="142" priority="159" operator="containsText" text="Functioning">
      <formula>NOT(ISERROR(SEARCH("Functioning",E248)))</formula>
    </cfRule>
  </conditionalFormatting>
  <conditionalFormatting sqref="G244:G248">
    <cfRule type="beginsWith" dxfId="141" priority="133" stopIfTrue="1" operator="beginsWith" text="Functioning At Risk">
      <formula>LEFT(G244,LEN("Functioning At Risk"))="Functioning At Risk"</formula>
    </cfRule>
    <cfRule type="beginsWith" dxfId="140" priority="134" stopIfTrue="1" operator="beginsWith" text="Not Functioning">
      <formula>LEFT(G244,LEN("Not Functioning"))="Not Functioning"</formula>
    </cfRule>
    <cfRule type="containsText" dxfId="139" priority="135" operator="containsText" text="Functioning">
      <formula>NOT(ISERROR(SEARCH("Functioning",G244)))</formula>
    </cfRule>
  </conditionalFormatting>
  <conditionalFormatting sqref="J244:J247">
    <cfRule type="beginsWith" dxfId="138" priority="130" stopIfTrue="1" operator="beginsWith" text="Functioning At Risk">
      <formula>LEFT(J244,LEN("Functioning At Risk"))="Functioning At Risk"</formula>
    </cfRule>
    <cfRule type="beginsWith" dxfId="137" priority="131" stopIfTrue="1" operator="beginsWith" text="Not Functioning">
      <formula>LEFT(J244,LEN("Not Functioning"))="Not Functioning"</formula>
    </cfRule>
    <cfRule type="containsText" dxfId="136" priority="132" operator="containsText" text="Functioning">
      <formula>NOT(ISERROR(SEARCH("Functioning",J244)))</formula>
    </cfRule>
  </conditionalFormatting>
  <conditionalFormatting sqref="H288">
    <cfRule type="beginsWith" dxfId="135" priority="124" stopIfTrue="1" operator="beginsWith" text="Functioning At Risk">
      <formula>LEFT(H288,LEN("Functioning At Risk"))="Functioning At Risk"</formula>
    </cfRule>
    <cfRule type="beginsWith" dxfId="134" priority="125" stopIfTrue="1" operator="beginsWith" text="Not Functioning">
      <formula>LEFT(H288,LEN("Not Functioning"))="Not Functioning"</formula>
    </cfRule>
    <cfRule type="containsText" dxfId="133" priority="126" operator="containsText" text="Functioning">
      <formula>NOT(ISERROR(SEARCH("Functioning",H288)))</formula>
    </cfRule>
  </conditionalFormatting>
  <conditionalFormatting sqref="E284">
    <cfRule type="beginsWith" dxfId="132" priority="112" stopIfTrue="1" operator="beginsWith" text="Functioning At Risk">
      <formula>LEFT(E284,LEN("Functioning At Risk"))="Functioning At Risk"</formula>
    </cfRule>
    <cfRule type="beginsWith" dxfId="131" priority="113" stopIfTrue="1" operator="beginsWith" text="Not Functioning">
      <formula>LEFT(E284,LEN("Not Functioning"))="Not Functioning"</formula>
    </cfRule>
    <cfRule type="containsText" dxfId="130" priority="114" operator="containsText" text="Functioning">
      <formula>NOT(ISERROR(SEARCH("Functioning",E284)))</formula>
    </cfRule>
  </conditionalFormatting>
  <conditionalFormatting sqref="E285">
    <cfRule type="beginsWith" dxfId="129" priority="103" stopIfTrue="1" operator="beginsWith" text="Functioning At Risk">
      <formula>LEFT(E285,LEN("Functioning At Risk"))="Functioning At Risk"</formula>
    </cfRule>
    <cfRule type="beginsWith" dxfId="128" priority="104" stopIfTrue="1" operator="beginsWith" text="Not Functioning">
      <formula>LEFT(E285,LEN("Not Functioning"))="Not Functioning"</formula>
    </cfRule>
    <cfRule type="containsText" dxfId="127" priority="105" operator="containsText" text="Functioning">
      <formula>NOT(ISERROR(SEARCH("Functioning",E285)))</formula>
    </cfRule>
  </conditionalFormatting>
  <conditionalFormatting sqref="E286">
    <cfRule type="beginsWith" dxfId="126" priority="109" stopIfTrue="1" operator="beginsWith" text="Functioning At Risk">
      <formula>LEFT(E286,LEN("Functioning At Risk"))="Functioning At Risk"</formula>
    </cfRule>
    <cfRule type="beginsWith" dxfId="125" priority="110" stopIfTrue="1" operator="beginsWith" text="Not Functioning">
      <formula>LEFT(E286,LEN("Not Functioning"))="Not Functioning"</formula>
    </cfRule>
    <cfRule type="containsText" dxfId="124" priority="111" operator="containsText" text="Functioning">
      <formula>NOT(ISERROR(SEARCH("Functioning",E286)))</formula>
    </cfRule>
  </conditionalFormatting>
  <conditionalFormatting sqref="H284:H287">
    <cfRule type="beginsWith" dxfId="123" priority="100" stopIfTrue="1" operator="beginsWith" text="Functioning At Risk">
      <formula>LEFT(H284,LEN("Functioning At Risk"))="Functioning At Risk"</formula>
    </cfRule>
    <cfRule type="beginsWith" dxfId="122" priority="101" stopIfTrue="1" operator="beginsWith" text="Not Functioning">
      <formula>LEFT(H284,LEN("Not Functioning"))="Not Functioning"</formula>
    </cfRule>
    <cfRule type="containsText" dxfId="121" priority="102" operator="containsText" text="Functioning">
      <formula>NOT(ISERROR(SEARCH("Functioning",H284)))</formula>
    </cfRule>
  </conditionalFormatting>
  <conditionalFormatting sqref="J288 A283:A288 B284:D288">
    <cfRule type="beginsWith" dxfId="120" priority="127" stopIfTrue="1" operator="beginsWith" text="Functioning At Risk">
      <formula>LEFT(A283,LEN("Functioning At Risk"))="Functioning At Risk"</formula>
    </cfRule>
    <cfRule type="beginsWith" dxfId="119" priority="128" stopIfTrue="1" operator="beginsWith" text="Not Functioning">
      <formula>LEFT(A283,LEN("Not Functioning"))="Not Functioning"</formula>
    </cfRule>
    <cfRule type="containsText" dxfId="118" priority="129" operator="containsText" text="Functioning">
      <formula>NOT(ISERROR(SEARCH("Functioning",A283)))</formula>
    </cfRule>
  </conditionalFormatting>
  <conditionalFormatting sqref="E288">
    <cfRule type="beginsWith" dxfId="117" priority="118" stopIfTrue="1" operator="beginsWith" text="Functioning At Risk">
      <formula>LEFT(E288,LEN("Functioning At Risk"))="Functioning At Risk"</formula>
    </cfRule>
    <cfRule type="beginsWith" dxfId="116" priority="119" stopIfTrue="1" operator="beginsWith" text="Not Functioning">
      <formula>LEFT(E288,LEN("Not Functioning"))="Not Functioning"</formula>
    </cfRule>
    <cfRule type="containsText" dxfId="115" priority="120" operator="containsText" text="Functioning">
      <formula>NOT(ISERROR(SEARCH("Functioning",E288)))</formula>
    </cfRule>
  </conditionalFormatting>
  <conditionalFormatting sqref="G284:G288">
    <cfRule type="beginsWith" dxfId="114" priority="94" stopIfTrue="1" operator="beginsWith" text="Functioning At Risk">
      <formula>LEFT(G284,LEN("Functioning At Risk"))="Functioning At Risk"</formula>
    </cfRule>
    <cfRule type="beginsWith" dxfId="113" priority="95" stopIfTrue="1" operator="beginsWith" text="Not Functioning">
      <formula>LEFT(G284,LEN("Not Functioning"))="Not Functioning"</formula>
    </cfRule>
    <cfRule type="containsText" dxfId="112" priority="96" operator="containsText" text="Functioning">
      <formula>NOT(ISERROR(SEARCH("Functioning",G284)))</formula>
    </cfRule>
  </conditionalFormatting>
  <conditionalFormatting sqref="J284:J287">
    <cfRule type="beginsWith" dxfId="111" priority="91" stopIfTrue="1" operator="beginsWith" text="Functioning At Risk">
      <formula>LEFT(J284,LEN("Functioning At Risk"))="Functioning At Risk"</formula>
    </cfRule>
    <cfRule type="beginsWith" dxfId="110" priority="92" stopIfTrue="1" operator="beginsWith" text="Not Functioning">
      <formula>LEFT(J284,LEN("Not Functioning"))="Not Functioning"</formula>
    </cfRule>
    <cfRule type="containsText" dxfId="109" priority="93" operator="containsText" text="Functioning">
      <formula>NOT(ISERROR(SEARCH("Functioning",J284)))</formula>
    </cfRule>
  </conditionalFormatting>
  <conditionalFormatting sqref="H328">
    <cfRule type="beginsWith" dxfId="108" priority="85" stopIfTrue="1" operator="beginsWith" text="Functioning At Risk">
      <formula>LEFT(H328,LEN("Functioning At Risk"))="Functioning At Risk"</formula>
    </cfRule>
    <cfRule type="beginsWith" dxfId="107" priority="86" stopIfTrue="1" operator="beginsWith" text="Not Functioning">
      <formula>LEFT(H328,LEN("Not Functioning"))="Not Functioning"</formula>
    </cfRule>
    <cfRule type="containsText" dxfId="106" priority="87" operator="containsText" text="Functioning">
      <formula>NOT(ISERROR(SEARCH("Functioning",H328)))</formula>
    </cfRule>
  </conditionalFormatting>
  <conditionalFormatting sqref="E324">
    <cfRule type="beginsWith" dxfId="105" priority="73" stopIfTrue="1" operator="beginsWith" text="Functioning At Risk">
      <formula>LEFT(E324,LEN("Functioning At Risk"))="Functioning At Risk"</formula>
    </cfRule>
    <cfRule type="beginsWith" dxfId="104" priority="74" stopIfTrue="1" operator="beginsWith" text="Not Functioning">
      <formula>LEFT(E324,LEN("Not Functioning"))="Not Functioning"</formula>
    </cfRule>
    <cfRule type="containsText" dxfId="103" priority="75" operator="containsText" text="Functioning">
      <formula>NOT(ISERROR(SEARCH("Functioning",E324)))</formula>
    </cfRule>
  </conditionalFormatting>
  <conditionalFormatting sqref="E325">
    <cfRule type="beginsWith" dxfId="102" priority="64" stopIfTrue="1" operator="beginsWith" text="Functioning At Risk">
      <formula>LEFT(E325,LEN("Functioning At Risk"))="Functioning At Risk"</formula>
    </cfRule>
    <cfRule type="beginsWith" dxfId="101" priority="65" stopIfTrue="1" operator="beginsWith" text="Not Functioning">
      <formula>LEFT(E325,LEN("Not Functioning"))="Not Functioning"</formula>
    </cfRule>
    <cfRule type="containsText" dxfId="100" priority="66" operator="containsText" text="Functioning">
      <formula>NOT(ISERROR(SEARCH("Functioning",E325)))</formula>
    </cfRule>
  </conditionalFormatting>
  <conditionalFormatting sqref="E326">
    <cfRule type="beginsWith" dxfId="99" priority="70" stopIfTrue="1" operator="beginsWith" text="Functioning At Risk">
      <formula>LEFT(E326,LEN("Functioning At Risk"))="Functioning At Risk"</formula>
    </cfRule>
    <cfRule type="beginsWith" dxfId="98" priority="71" stopIfTrue="1" operator="beginsWith" text="Not Functioning">
      <formula>LEFT(E326,LEN("Not Functioning"))="Not Functioning"</formula>
    </cfRule>
    <cfRule type="containsText" dxfId="97" priority="72" operator="containsText" text="Functioning">
      <formula>NOT(ISERROR(SEARCH("Functioning",E326)))</formula>
    </cfRule>
  </conditionalFormatting>
  <conditionalFormatting sqref="H324:H327">
    <cfRule type="beginsWith" dxfId="96" priority="61" stopIfTrue="1" operator="beginsWith" text="Functioning At Risk">
      <formula>LEFT(H324,LEN("Functioning At Risk"))="Functioning At Risk"</formula>
    </cfRule>
    <cfRule type="beginsWith" dxfId="95" priority="62" stopIfTrue="1" operator="beginsWith" text="Not Functioning">
      <formula>LEFT(H324,LEN("Not Functioning"))="Not Functioning"</formula>
    </cfRule>
    <cfRule type="containsText" dxfId="94" priority="63" operator="containsText" text="Functioning">
      <formula>NOT(ISERROR(SEARCH("Functioning",H324)))</formula>
    </cfRule>
  </conditionalFormatting>
  <conditionalFormatting sqref="J328 A323:A328 B324:D328">
    <cfRule type="beginsWith" dxfId="93" priority="88" stopIfTrue="1" operator="beginsWith" text="Functioning At Risk">
      <formula>LEFT(A323,LEN("Functioning At Risk"))="Functioning At Risk"</formula>
    </cfRule>
    <cfRule type="beginsWith" dxfId="92" priority="89" stopIfTrue="1" operator="beginsWith" text="Not Functioning">
      <formula>LEFT(A323,LEN("Not Functioning"))="Not Functioning"</formula>
    </cfRule>
    <cfRule type="containsText" dxfId="91" priority="90" operator="containsText" text="Functioning">
      <formula>NOT(ISERROR(SEARCH("Functioning",A323)))</formula>
    </cfRule>
  </conditionalFormatting>
  <conditionalFormatting sqref="E328">
    <cfRule type="beginsWith" dxfId="90" priority="79" stopIfTrue="1" operator="beginsWith" text="Functioning At Risk">
      <formula>LEFT(E328,LEN("Functioning At Risk"))="Functioning At Risk"</formula>
    </cfRule>
    <cfRule type="beginsWith" dxfId="89" priority="80" stopIfTrue="1" operator="beginsWith" text="Not Functioning">
      <formula>LEFT(E328,LEN("Not Functioning"))="Not Functioning"</formula>
    </cfRule>
    <cfRule type="containsText" dxfId="88" priority="81" operator="containsText" text="Functioning">
      <formula>NOT(ISERROR(SEARCH("Functioning",E328)))</formula>
    </cfRule>
  </conditionalFormatting>
  <conditionalFormatting sqref="G324:G328">
    <cfRule type="beginsWith" dxfId="87" priority="55" stopIfTrue="1" operator="beginsWith" text="Functioning At Risk">
      <formula>LEFT(G324,LEN("Functioning At Risk"))="Functioning At Risk"</formula>
    </cfRule>
    <cfRule type="beginsWith" dxfId="86" priority="56" stopIfTrue="1" operator="beginsWith" text="Not Functioning">
      <formula>LEFT(G324,LEN("Not Functioning"))="Not Functioning"</formula>
    </cfRule>
    <cfRule type="containsText" dxfId="85" priority="57" operator="containsText" text="Functioning">
      <formula>NOT(ISERROR(SEARCH("Functioning",G324)))</formula>
    </cfRule>
  </conditionalFormatting>
  <conditionalFormatting sqref="J324:J327">
    <cfRule type="beginsWith" dxfId="84" priority="52" stopIfTrue="1" operator="beginsWith" text="Functioning At Risk">
      <formula>LEFT(J324,LEN("Functioning At Risk"))="Functioning At Risk"</formula>
    </cfRule>
    <cfRule type="beginsWith" dxfId="83" priority="53" stopIfTrue="1" operator="beginsWith" text="Not Functioning">
      <formula>LEFT(J324,LEN("Not Functioning"))="Not Functioning"</formula>
    </cfRule>
    <cfRule type="containsText" dxfId="82" priority="54" operator="containsText" text="Functioning">
      <formula>NOT(ISERROR(SEARCH("Functioning",J324)))</formula>
    </cfRule>
  </conditionalFormatting>
  <conditionalFormatting sqref="H368">
    <cfRule type="beginsWith" dxfId="81" priority="46" stopIfTrue="1" operator="beginsWith" text="Functioning At Risk">
      <formula>LEFT(H368,LEN("Functioning At Risk"))="Functioning At Risk"</formula>
    </cfRule>
    <cfRule type="beginsWith" dxfId="80" priority="47" stopIfTrue="1" operator="beginsWith" text="Not Functioning">
      <formula>LEFT(H368,LEN("Not Functioning"))="Not Functioning"</formula>
    </cfRule>
    <cfRule type="containsText" dxfId="79" priority="48" operator="containsText" text="Functioning">
      <formula>NOT(ISERROR(SEARCH("Functioning",H368)))</formula>
    </cfRule>
  </conditionalFormatting>
  <conditionalFormatting sqref="E364">
    <cfRule type="beginsWith" dxfId="78" priority="34" stopIfTrue="1" operator="beginsWith" text="Functioning At Risk">
      <formula>LEFT(E364,LEN("Functioning At Risk"))="Functioning At Risk"</formula>
    </cfRule>
    <cfRule type="beginsWith" dxfId="77" priority="35" stopIfTrue="1" operator="beginsWith" text="Not Functioning">
      <formula>LEFT(E364,LEN("Not Functioning"))="Not Functioning"</formula>
    </cfRule>
    <cfRule type="containsText" dxfId="76" priority="36" operator="containsText" text="Functioning">
      <formula>NOT(ISERROR(SEARCH("Functioning",E364)))</formula>
    </cfRule>
  </conditionalFormatting>
  <conditionalFormatting sqref="E365">
    <cfRule type="beginsWith" dxfId="75" priority="25" stopIfTrue="1" operator="beginsWith" text="Functioning At Risk">
      <formula>LEFT(E365,LEN("Functioning At Risk"))="Functioning At Risk"</formula>
    </cfRule>
    <cfRule type="beginsWith" dxfId="74" priority="26" stopIfTrue="1" operator="beginsWith" text="Not Functioning">
      <formula>LEFT(E365,LEN("Not Functioning"))="Not Functioning"</formula>
    </cfRule>
    <cfRule type="containsText" dxfId="73" priority="27" operator="containsText" text="Functioning">
      <formula>NOT(ISERROR(SEARCH("Functioning",E365)))</formula>
    </cfRule>
  </conditionalFormatting>
  <conditionalFormatting sqref="E366">
    <cfRule type="beginsWith" dxfId="72" priority="31" stopIfTrue="1" operator="beginsWith" text="Functioning At Risk">
      <formula>LEFT(E366,LEN("Functioning At Risk"))="Functioning At Risk"</formula>
    </cfRule>
    <cfRule type="beginsWith" dxfId="71" priority="32" stopIfTrue="1" operator="beginsWith" text="Not Functioning">
      <formula>LEFT(E366,LEN("Not Functioning"))="Not Functioning"</formula>
    </cfRule>
    <cfRule type="containsText" dxfId="70" priority="33" operator="containsText" text="Functioning">
      <formula>NOT(ISERROR(SEARCH("Functioning",E366)))</formula>
    </cfRule>
  </conditionalFormatting>
  <conditionalFormatting sqref="H364:H367">
    <cfRule type="beginsWith" dxfId="69" priority="22" stopIfTrue="1" operator="beginsWith" text="Functioning At Risk">
      <formula>LEFT(H364,LEN("Functioning At Risk"))="Functioning At Risk"</formula>
    </cfRule>
    <cfRule type="beginsWith" dxfId="68" priority="23" stopIfTrue="1" operator="beginsWith" text="Not Functioning">
      <formula>LEFT(H364,LEN("Not Functioning"))="Not Functioning"</formula>
    </cfRule>
    <cfRule type="containsText" dxfId="67" priority="24" operator="containsText" text="Functioning">
      <formula>NOT(ISERROR(SEARCH("Functioning",H364)))</formula>
    </cfRule>
  </conditionalFormatting>
  <conditionalFormatting sqref="J368 A363:A368 B364:D368">
    <cfRule type="beginsWith" dxfId="66" priority="49" stopIfTrue="1" operator="beginsWith" text="Functioning At Risk">
      <formula>LEFT(A363,LEN("Functioning At Risk"))="Functioning At Risk"</formula>
    </cfRule>
    <cfRule type="beginsWith" dxfId="65" priority="50" stopIfTrue="1" operator="beginsWith" text="Not Functioning">
      <formula>LEFT(A363,LEN("Not Functioning"))="Not Functioning"</formula>
    </cfRule>
    <cfRule type="containsText" dxfId="64" priority="51" operator="containsText" text="Functioning">
      <formula>NOT(ISERROR(SEARCH("Functioning",A363)))</formula>
    </cfRule>
  </conditionalFormatting>
  <conditionalFormatting sqref="E368">
    <cfRule type="beginsWith" dxfId="63" priority="40" stopIfTrue="1" operator="beginsWith" text="Functioning At Risk">
      <formula>LEFT(E368,LEN("Functioning At Risk"))="Functioning At Risk"</formula>
    </cfRule>
    <cfRule type="beginsWith" dxfId="62" priority="41" stopIfTrue="1" operator="beginsWith" text="Not Functioning">
      <formula>LEFT(E368,LEN("Not Functioning"))="Not Functioning"</formula>
    </cfRule>
    <cfRule type="containsText" dxfId="61" priority="42" operator="containsText" text="Functioning">
      <formula>NOT(ISERROR(SEARCH("Functioning",E368)))</formula>
    </cfRule>
  </conditionalFormatting>
  <conditionalFormatting sqref="G364:G368">
    <cfRule type="beginsWith" dxfId="60" priority="16" stopIfTrue="1" operator="beginsWith" text="Functioning At Risk">
      <formula>LEFT(G364,LEN("Functioning At Risk"))="Functioning At Risk"</formula>
    </cfRule>
    <cfRule type="beginsWith" dxfId="59" priority="17" stopIfTrue="1" operator="beginsWith" text="Not Functioning">
      <formula>LEFT(G364,LEN("Not Functioning"))="Not Functioning"</formula>
    </cfRule>
    <cfRule type="containsText" dxfId="58" priority="18" operator="containsText" text="Functioning">
      <formula>NOT(ISERROR(SEARCH("Functioning",G364)))</formula>
    </cfRule>
  </conditionalFormatting>
  <conditionalFormatting sqref="J364:J367">
    <cfRule type="beginsWith" dxfId="57" priority="13" stopIfTrue="1" operator="beginsWith" text="Functioning At Risk">
      <formula>LEFT(J364,LEN("Functioning At Risk"))="Functioning At Risk"</formula>
    </cfRule>
    <cfRule type="beginsWith" dxfId="56" priority="14" stopIfTrue="1" operator="beginsWith" text="Not Functioning">
      <formula>LEFT(J364,LEN("Not Functioning"))="Not Functioning"</formula>
    </cfRule>
    <cfRule type="containsText" dxfId="55" priority="15" operator="containsText" text="Functioning">
      <formula>NOT(ISERROR(SEARCH("Functioning",J364)))</formula>
    </cfRule>
  </conditionalFormatting>
  <conditionalFormatting sqref="B5">
    <cfRule type="beginsWith" dxfId="54" priority="10" stopIfTrue="1" operator="beginsWith" text="Functioning At Risk">
      <formula>LEFT(B5,LEN("Functioning At Risk"))="Functioning At Risk"</formula>
    </cfRule>
    <cfRule type="beginsWith" dxfId="53" priority="11" stopIfTrue="1" operator="beginsWith" text="Not Functioning">
      <formula>LEFT(B5,LEN("Not Functioning"))="Not Functioning"</formula>
    </cfRule>
    <cfRule type="containsText" dxfId="52" priority="12" operator="containsText" text="Functioning">
      <formula>NOT(ISERROR(SEARCH("Functioning",B5)))</formula>
    </cfRule>
  </conditionalFormatting>
  <conditionalFormatting sqref="B6">
    <cfRule type="beginsWith" dxfId="51" priority="7" stopIfTrue="1" operator="beginsWith" text="Functioning At Risk">
      <formula>LEFT(B6,LEN("Functioning At Risk"))="Functioning At Risk"</formula>
    </cfRule>
    <cfRule type="beginsWith" dxfId="50" priority="8" stopIfTrue="1" operator="beginsWith" text="Not Functioning">
      <formula>LEFT(B6,LEN("Not Functioning"))="Not Functioning"</formula>
    </cfRule>
    <cfRule type="containsText" dxfId="49" priority="9" operator="containsText" text="Functioning">
      <formula>NOT(ISERROR(SEARCH("Functioning",B6)))</formula>
    </cfRule>
  </conditionalFormatting>
  <conditionalFormatting sqref="B7">
    <cfRule type="beginsWith" dxfId="48" priority="4" stopIfTrue="1" operator="beginsWith" text="Functioning At Risk">
      <formula>LEFT(B7,LEN("Functioning At Risk"))="Functioning At Risk"</formula>
    </cfRule>
    <cfRule type="beginsWith" dxfId="47" priority="5" stopIfTrue="1" operator="beginsWith" text="Not Functioning">
      <formula>LEFT(B7,LEN("Not Functioning"))="Not Functioning"</formula>
    </cfRule>
    <cfRule type="containsText" dxfId="46" priority="6" operator="containsText" text="Functioning">
      <formula>NOT(ISERROR(SEARCH("Functioning",B7)))</formula>
    </cfRule>
  </conditionalFormatting>
  <conditionalFormatting sqref="A5">
    <cfRule type="beginsWith" dxfId="45" priority="1" stopIfTrue="1" operator="beginsWith" text="Functioning At Risk">
      <formula>LEFT(A5,LEN("Functioning At Risk"))="Functioning At Risk"</formula>
    </cfRule>
    <cfRule type="beginsWith" dxfId="44" priority="2" stopIfTrue="1" operator="beginsWith" text="Not Functioning">
      <formula>LEFT(A5,LEN("Not Functioning"))="Not Functioning"</formula>
    </cfRule>
    <cfRule type="containsText" dxfId="43" priority="3" operator="containsText" text="Functioning">
      <formula>NOT(ISERROR(SEARCH("Functioning",A5)))</formula>
    </cfRule>
  </conditionalFormatting>
  <dataValidations count="7">
    <dataValidation allowBlank="1" showErrorMessage="1" prompt="Select the dominant BEHI/NBS.  _x000a_If erosion rate was measured select blank. The user should only input a value for either BEHI/NBS or Erosion Rate, not both. " sqref="E21 E61 E101 E141 E181 E221 E261 E301 E341 E381" xr:uid="{F81BE68F-76B5-4EDB-9080-BEDAA5593F9A}"/>
    <dataValidation allowBlank="1" showErrorMessage="1" prompt="Leave field value blank if not a coldwater stream." sqref="F33:F35 F233:F235 F313:F315 F40 F400 F80 F73:F75 F360 F113:F115 F120 F153:F155 F160 F193:F195 F240 F280 F200 F273:F275 F320 F353:F355 F393:F395" xr:uid="{3AFF3C3A-A8AE-4A70-B474-32639C6086FA}"/>
    <dataValidation allowBlank="1" showInputMessage="1" showErrorMessage="1" prompt="If baseflow velocity &lt; 1fps then this parameter score = 0." sqref="G14:G15 G54:G55 G94:G95 G134:G135 G174:G175 G214:G215 G254:G255 G294:G295 G334:G335 G374:G375" xr:uid="{D25A5DDB-1C5E-497E-925E-2408C8843B71}"/>
    <dataValidation allowBlank="1" showErrorMessage="1" prompt="This measurement method should be used in combination with either Erosion Rate or Dominant BEHI/NBS." sqref="E23:E24 E63:E64 E103:E104 E143:E144 E183:E184 E223:E224 E263:E264 E303:E304 E343:E344 E383:E384" xr:uid="{0C14E125-A493-470D-9A6A-93EB0A53F840}"/>
    <dataValidation type="decimal" allowBlank="1" showErrorMessage="1" prompt="The user should input a value for either basal area or density, not both. " sqref="E31:E32 E71:E72 E111:E112 E151:E152 E191:E192 E231:E232 E271:E272 E311:E312 E351:E352 E391:E392" xr:uid="{46073D70-86F9-4739-9C90-2CD9FDA0EAD8}">
      <formula1>0</formula1>
      <formula2>5280</formula2>
    </dataValidation>
    <dataValidation type="decimal" allowBlank="1" showInputMessage="1" showErrorMessage="1" sqref="E29:E30 E69:E70 E109:E110 E149:E150 E189:E190 E229:E230 E269:E270 E309:E310 E349:E350 E389:E390" xr:uid="{11F0505A-58A4-44F7-A4BE-0A6E84BE432E}">
      <formula1>0</formula1>
      <formula2>5280</formula2>
    </dataValidation>
    <dataValidation allowBlank="1" showErrorMessage="1" prompt="Select catchment conditon level from the completed catchment assessment form. " sqref="E12:E15 E52:E55 E92:E95 E132:E135 E172:E175 E212:E215 E252:E255 E292:E295 E332:E335 E372:E375" xr:uid="{ABB5E0CA-1019-4DD5-91C1-600DDA3033AC}"/>
  </dataValidations>
  <pageMargins left="0.25" right="0.25" top="0.75" bottom="0.75" header="0.3" footer="0.3"/>
  <pageSetup paperSize="3" fitToWidth="0" fitToHeight="0" orientation="landscape" r:id="rId1"/>
  <headerFooter>
    <oddFooter>&amp;LCSQT v1.0
Debit Calculator Proposed Conditions</oddFooter>
  </headerFooter>
  <rowBreaks count="9" manualBreakCount="9">
    <brk id="41" max="16383" man="1"/>
    <brk id="81" max="16383" man="1"/>
    <brk id="121" max="16383" man="1"/>
    <brk id="161" max="16383" man="1"/>
    <brk id="201" max="16383" man="1"/>
    <brk id="241" max="16383" man="1"/>
    <brk id="281" max="16383" man="1"/>
    <brk id="321" max="16383" man="1"/>
    <brk id="361" max="16383" man="1"/>
  </rowBreaks>
  <ignoredErrors>
    <ignoredError sqref="B44:B45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Select the dominant BEHI/NBS.  _x000a_If erosion rate was measured select blank. The user should only input a value for either BEHI/NBS or Erosion Rate, not both. " xr:uid="{9476A18A-AD0E-431A-8D17-EA7AD9CA2BE0}">
          <x14:formula1>
            <xm:f>'Pull Down Notes'!$B$23:$B$58</xm:f>
          </x14:formula1>
          <xm:sqref>E22 E62 E102 E142 E182 E222 E262 E302 E342 E382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7523C-A360-475D-9AA7-1CBB5A40C4AA}">
  <sheetPr>
    <pageSetUpPr fitToPage="1"/>
  </sheetPr>
  <dimension ref="A1:J71"/>
  <sheetViews>
    <sheetView zoomScaleNormal="100" workbookViewId="0">
      <selection activeCell="A2" sqref="A2"/>
    </sheetView>
  </sheetViews>
  <sheetFormatPr defaultColWidth="8.86328125" defaultRowHeight="14.25" x14ac:dyDescent="0.45"/>
  <cols>
    <col min="1" max="1" width="29.86328125" style="68" customWidth="1"/>
    <col min="2" max="2" width="25.59765625" style="68" customWidth="1"/>
    <col min="3" max="8" width="15.73046875" style="68" customWidth="1"/>
    <col min="9" max="10" width="16.1328125" style="68" customWidth="1"/>
    <col min="11" max="11" width="18.59765625" style="68" customWidth="1"/>
    <col min="12" max="12" width="13.73046875" style="68" customWidth="1"/>
    <col min="13" max="16384" width="8.86328125" style="68"/>
  </cols>
  <sheetData>
    <row r="1" spans="1:10" x14ac:dyDescent="0.45">
      <c r="A1" s="242" t="s">
        <v>366</v>
      </c>
      <c r="B1" s="243"/>
      <c r="C1" s="243"/>
      <c r="D1" s="243"/>
      <c r="E1" s="243"/>
      <c r="F1" s="243"/>
      <c r="G1" s="243"/>
    </row>
    <row r="2" spans="1:10" x14ac:dyDescent="0.45">
      <c r="A2" s="244"/>
    </row>
    <row r="3" spans="1:10" ht="21" x14ac:dyDescent="0.65">
      <c r="A3" s="453" t="s">
        <v>310</v>
      </c>
      <c r="B3" s="454"/>
      <c r="D3" s="457" t="s">
        <v>311</v>
      </c>
      <c r="E3" s="458"/>
      <c r="F3" s="458"/>
      <c r="G3" s="458"/>
      <c r="H3" s="459"/>
    </row>
    <row r="4" spans="1:10" ht="15.75" x14ac:dyDescent="0.5">
      <c r="A4" s="455"/>
      <c r="B4" s="456"/>
      <c r="D4" s="460" t="s">
        <v>312</v>
      </c>
      <c r="E4" s="461"/>
      <c r="F4" s="461"/>
      <c r="G4" s="461"/>
      <c r="H4" s="462"/>
    </row>
    <row r="5" spans="1:10" ht="19.149999999999999" customHeight="1" x14ac:dyDescent="0.5">
      <c r="A5" s="184" t="s">
        <v>313</v>
      </c>
      <c r="B5" s="54"/>
      <c r="D5" s="463" t="s">
        <v>314</v>
      </c>
      <c r="E5" s="464"/>
      <c r="F5" s="464"/>
      <c r="G5" s="464"/>
      <c r="H5" s="465"/>
    </row>
    <row r="6" spans="1:10" ht="19.149999999999999" customHeight="1" x14ac:dyDescent="0.5">
      <c r="A6" s="184" t="s">
        <v>65</v>
      </c>
      <c r="B6" s="54"/>
    </row>
    <row r="7" spans="1:10" ht="19.149999999999999" customHeight="1" x14ac:dyDescent="0.5">
      <c r="A7" s="184" t="s">
        <v>315</v>
      </c>
      <c r="B7" s="54"/>
    </row>
    <row r="8" spans="1:10" ht="23.25" customHeight="1" x14ac:dyDescent="0.65">
      <c r="A8" s="466" t="s">
        <v>361</v>
      </c>
      <c r="B8" s="466"/>
      <c r="D8" s="431" t="s">
        <v>316</v>
      </c>
      <c r="E8" s="431"/>
      <c r="F8" s="431"/>
      <c r="G8" s="431"/>
      <c r="H8" s="245"/>
    </row>
    <row r="9" spans="1:10" ht="19.149999999999999" customHeight="1" x14ac:dyDescent="0.65">
      <c r="A9" s="467"/>
      <c r="B9" s="467"/>
      <c r="D9" s="452" t="s">
        <v>317</v>
      </c>
      <c r="E9" s="452"/>
      <c r="F9" s="452"/>
      <c r="G9" s="193" t="str">
        <f>E21</f>
        <v/>
      </c>
      <c r="H9" s="245"/>
    </row>
    <row r="10" spans="1:10" ht="19.149999999999999" customHeight="1" x14ac:dyDescent="0.65">
      <c r="A10" s="467"/>
      <c r="B10" s="467"/>
      <c r="C10" s="5"/>
      <c r="D10" s="452" t="s">
        <v>318</v>
      </c>
      <c r="E10" s="452"/>
      <c r="F10" s="452"/>
      <c r="G10" s="193" t="str">
        <f>H21</f>
        <v/>
      </c>
      <c r="H10" s="245"/>
    </row>
    <row r="11" spans="1:10" ht="19.149999999999999" customHeight="1" x14ac:dyDescent="0.65">
      <c r="D11" s="452" t="s">
        <v>319</v>
      </c>
      <c r="E11" s="452"/>
      <c r="F11" s="452"/>
      <c r="G11" s="246" t="str">
        <f>IFERROR(0.2*(G10-G9),"")</f>
        <v/>
      </c>
      <c r="H11" s="245"/>
    </row>
    <row r="12" spans="1:10" ht="19.149999999999999" customHeight="1" x14ac:dyDescent="0.65">
      <c r="D12" s="452" t="s">
        <v>320</v>
      </c>
      <c r="E12" s="452"/>
      <c r="F12" s="452"/>
      <c r="G12" s="247" t="str">
        <f>IF(B7="","",B7)</f>
        <v/>
      </c>
      <c r="H12" s="245"/>
      <c r="J12" s="245"/>
    </row>
    <row r="13" spans="1:10" ht="19.149999999999999" customHeight="1" x14ac:dyDescent="0.65">
      <c r="D13" s="468" t="s">
        <v>321</v>
      </c>
      <c r="E13" s="468"/>
      <c r="F13" s="468"/>
      <c r="G13" s="248" t="str">
        <f>IFERROR(G9*G12,"")</f>
        <v/>
      </c>
      <c r="H13" s="245"/>
      <c r="J13" s="245"/>
    </row>
    <row r="14" spans="1:10" ht="19.149999999999999" customHeight="1" x14ac:dyDescent="0.5">
      <c r="D14" s="468" t="s">
        <v>322</v>
      </c>
      <c r="E14" s="468"/>
      <c r="F14" s="468"/>
      <c r="G14" s="248" t="str">
        <f>IFERROR(G12*G10,"")</f>
        <v/>
      </c>
    </row>
    <row r="15" spans="1:10" ht="19.149999999999999" customHeight="1" x14ac:dyDescent="0.65">
      <c r="D15" s="452" t="s">
        <v>323</v>
      </c>
      <c r="E15" s="452"/>
      <c r="F15" s="452"/>
      <c r="G15" s="248" t="str">
        <f>IFERROR(0.2*(G14-G13),"")</f>
        <v/>
      </c>
      <c r="H15" s="245"/>
      <c r="I15" s="245"/>
      <c r="J15" s="245"/>
    </row>
    <row r="16" spans="1:10" ht="19.149999999999999" customHeight="1" x14ac:dyDescent="0.65">
      <c r="D16" s="452" t="s">
        <v>324</v>
      </c>
      <c r="E16" s="452"/>
      <c r="F16" s="452"/>
      <c r="G16" s="249" t="str">
        <f>IFERROR(G15/G13,"")</f>
        <v/>
      </c>
      <c r="H16" s="245"/>
      <c r="I16" s="245"/>
      <c r="J16" s="245"/>
    </row>
    <row r="17" spans="1:10" ht="19.149999999999999" customHeight="1" x14ac:dyDescent="0.65">
      <c r="D17" s="250" t="s">
        <v>325</v>
      </c>
      <c r="G17" s="251"/>
      <c r="H17" s="245"/>
      <c r="I17" s="245"/>
      <c r="J17" s="245"/>
    </row>
    <row r="18" spans="1:10" ht="15" customHeight="1" x14ac:dyDescent="0.65">
      <c r="H18" s="245"/>
      <c r="I18" s="245"/>
      <c r="J18" s="6"/>
    </row>
    <row r="19" spans="1:10" ht="21" x14ac:dyDescent="0.65">
      <c r="A19" s="252" t="s">
        <v>326</v>
      </c>
      <c r="B19" s="253"/>
      <c r="C19" s="457" t="s">
        <v>327</v>
      </c>
      <c r="D19" s="458"/>
      <c r="E19" s="459"/>
      <c r="F19" s="457" t="s">
        <v>328</v>
      </c>
      <c r="G19" s="458"/>
      <c r="H19" s="459"/>
    </row>
    <row r="20" spans="1:10" ht="15.6" customHeight="1" x14ac:dyDescent="0.5">
      <c r="A20" s="432" t="s">
        <v>329</v>
      </c>
      <c r="B20" s="433"/>
      <c r="C20" s="32" t="s">
        <v>11</v>
      </c>
      <c r="D20" s="261" t="s">
        <v>12</v>
      </c>
      <c r="E20" s="32" t="s">
        <v>330</v>
      </c>
      <c r="F20" s="32" t="s">
        <v>11</v>
      </c>
      <c r="G20" s="31" t="s">
        <v>12</v>
      </c>
      <c r="H20" s="32" t="s">
        <v>330</v>
      </c>
    </row>
    <row r="21" spans="1:10" ht="15.6" customHeight="1" x14ac:dyDescent="0.5">
      <c r="A21" s="469" t="s">
        <v>331</v>
      </c>
      <c r="B21" s="470"/>
      <c r="C21" s="254"/>
      <c r="D21" s="202" t="str">
        <f>IF(C21="","",IF(OR(C21&gt;=2,C21&lt;=0),0,IF(AND(C21&gt;=0.9,C21&lt;=1.1),1,ROUND(IF(C21&lt;0.9,'Reference Curves'!$B$51*C21+'Reference Curves'!$B$52,'Reference Curves'!$C$51*C21+'Reference Curves'!$C$52),2))))</f>
        <v/>
      </c>
      <c r="E21" s="471" t="str">
        <f>IFERROR(ROUND(AVERAGE(D21:D26),2),"")</f>
        <v/>
      </c>
      <c r="F21" s="254"/>
      <c r="G21" s="202" t="str">
        <f>IF(F21="","",IF(OR(F21&gt;=2,F21&lt;=0),0,IF(AND(F21&gt;=0.9,F21&lt;=1.1),1,ROUND(IF(F21&lt;0.9,'Reference Curves'!$B$51*F21+'Reference Curves'!$B$52,'Reference Curves'!$C$51*F21+'Reference Curves'!$C$52),2))))</f>
        <v/>
      </c>
      <c r="H21" s="471" t="str">
        <f>IFERROR(ROUND(AVERAGE(G21:G26),2),"")</f>
        <v/>
      </c>
    </row>
    <row r="22" spans="1:10" ht="15.6" customHeight="1" x14ac:dyDescent="0.5">
      <c r="A22" s="474" t="s">
        <v>332</v>
      </c>
      <c r="B22" s="475"/>
      <c r="C22" s="255"/>
      <c r="D22" s="203" t="str">
        <f>IF(C22="","",IF(OR(C22&gt;=2,C22&lt;=0),0,IF(AND(C22&gt;=0.9,C22&lt;=1.1),1,ROUND(IF(C22&lt;0.9,'Reference Curves'!$B$51*C22+'Reference Curves'!$B$52,'Reference Curves'!$C$51*C22+'Reference Curves'!$C$52),2))))</f>
        <v/>
      </c>
      <c r="E22" s="472"/>
      <c r="F22" s="255"/>
      <c r="G22" s="203" t="str">
        <f>IF(F22="","",IF(OR(F22&gt;=2,F22&lt;=0),0,IF(AND(F22&gt;=0.9,F22&lt;=1.1),1,ROUND(IF(F22&lt;0.9,'Reference Curves'!$B$51*F22+'Reference Curves'!$B$52,'Reference Curves'!$C$51*F22+'Reference Curves'!$C$52),2))))</f>
        <v/>
      </c>
      <c r="H22" s="472"/>
    </row>
    <row r="23" spans="1:10" ht="15.6" customHeight="1" x14ac:dyDescent="0.5">
      <c r="A23" s="474" t="s">
        <v>333</v>
      </c>
      <c r="B23" s="475"/>
      <c r="C23" s="255"/>
      <c r="D23" s="203" t="str">
        <f>IF(C23="","",IF(OR(C23&gt;=2,C23&lt;=0),0,IF(AND(C23&gt;=0.9,C23&lt;=1.1),1,ROUND(IF(C23&lt;0.9,'Reference Curves'!$B$51*C23+'Reference Curves'!$B$52,'Reference Curves'!$C$51*C23+'Reference Curves'!$C$52),2))))</f>
        <v/>
      </c>
      <c r="E23" s="472"/>
      <c r="F23" s="255"/>
      <c r="G23" s="203" t="str">
        <f>IF(F23="","",IF(OR(F23&gt;=2,F23&lt;=0),0,IF(AND(F23&gt;=0.9,F23&lt;=1.1),1,ROUND(IF(F23&lt;0.9,'Reference Curves'!$B$51*F23+'Reference Curves'!$B$52,'Reference Curves'!$C$51*F23+'Reference Curves'!$C$52),2))))</f>
        <v/>
      </c>
      <c r="H23" s="472"/>
    </row>
    <row r="24" spans="1:10" ht="15.6" customHeight="1" x14ac:dyDescent="0.5">
      <c r="A24" s="474" t="s">
        <v>334</v>
      </c>
      <c r="B24" s="475"/>
      <c r="C24" s="255"/>
      <c r="D24" s="203" t="str">
        <f>IF(C24="","",IF(OR(C24&gt;=2,C24&lt;=0),0,IF(AND(C24&gt;=0.9,C24&lt;=1.1),1,ROUND(IF(C24&lt;0.9,'Reference Curves'!$B$51*C24+'Reference Curves'!$B$52,'Reference Curves'!$C$51*C24+'Reference Curves'!$C$52),2))))</f>
        <v/>
      </c>
      <c r="E24" s="472"/>
      <c r="F24" s="255"/>
      <c r="G24" s="203" t="str">
        <f>IF(F24="","",IF(OR(F24&gt;=2,F24&lt;=0),0,IF(AND(F24&gt;=0.9,F24&lt;=1.1),1,ROUND(IF(F24&lt;0.9,'Reference Curves'!$B$51*F24+'Reference Curves'!$B$52,'Reference Curves'!$C$51*F24+'Reference Curves'!$C$52),2))))</f>
        <v/>
      </c>
      <c r="H24" s="472"/>
    </row>
    <row r="25" spans="1:10" ht="15.6" customHeight="1" x14ac:dyDescent="0.5">
      <c r="A25" s="474" t="s">
        <v>335</v>
      </c>
      <c r="B25" s="475"/>
      <c r="C25" s="255"/>
      <c r="D25" s="203" t="str">
        <f>IF(C25="","",IF(OR(C25&gt;=2,C25&lt;=0),0,IF(AND(C25&gt;=0.9,C25&lt;=1.1),1,ROUND(IF(C25&lt;0.9,'Reference Curves'!$B$51*C25+'Reference Curves'!$B$52,'Reference Curves'!$C$51*C25+'Reference Curves'!$C$52),2))))</f>
        <v/>
      </c>
      <c r="E25" s="472"/>
      <c r="F25" s="255"/>
      <c r="G25" s="203" t="str">
        <f>IF(F25="","",IF(OR(F25&gt;=2,F25&lt;=0),0,IF(AND(F25&gt;=0.9,F25&lt;=1.1),1,ROUND(IF(F25&lt;0.9,'Reference Curves'!$B$51*F25+'Reference Curves'!$B$52,'Reference Curves'!$C$51*F25+'Reference Curves'!$C$52),2))))</f>
        <v/>
      </c>
      <c r="H25" s="472"/>
    </row>
    <row r="26" spans="1:10" ht="15.6" customHeight="1" x14ac:dyDescent="0.5">
      <c r="A26" s="476" t="s">
        <v>336</v>
      </c>
      <c r="B26" s="477"/>
      <c r="C26" s="256"/>
      <c r="D26" s="257" t="str">
        <f>IF(C26="","",IF(OR(C26&gt;=2,C26&lt;=0),0,IF(AND(C26&gt;=0.9,C26&lt;=1.1),1,ROUND(IF(C26&lt;0.9,'Reference Curves'!$B$51*C26+'Reference Curves'!$B$52,'Reference Curves'!$C$51*C26+'Reference Curves'!$C$52),2))))</f>
        <v/>
      </c>
      <c r="E26" s="473"/>
      <c r="F26" s="256"/>
      <c r="G26" s="257" t="str">
        <f>IF(F26="","",IF(OR(F26&gt;=2,F26&lt;=0),0,IF(AND(F26&gt;=0.9,F26&lt;=1.1),1,ROUND(IF(F26&lt;0.9,'Reference Curves'!$B$51*F26+'Reference Curves'!$B$52,'Reference Curves'!$C$51*F26+'Reference Curves'!$C$52),2))))</f>
        <v/>
      </c>
      <c r="H26" s="473"/>
    </row>
    <row r="27" spans="1:10" ht="15.6" customHeight="1" x14ac:dyDescent="0.65">
      <c r="D27" s="258"/>
      <c r="F27" s="245"/>
      <c r="G27" s="245"/>
    </row>
    <row r="28" spans="1:10" ht="21" x14ac:dyDescent="0.65">
      <c r="A28" s="252" t="s">
        <v>337</v>
      </c>
      <c r="B28" s="253"/>
      <c r="C28" s="259" t="s">
        <v>338</v>
      </c>
      <c r="D28" s="478"/>
      <c r="E28" s="479"/>
      <c r="F28" s="259" t="s">
        <v>338</v>
      </c>
      <c r="G28" s="478"/>
      <c r="H28" s="479"/>
    </row>
    <row r="29" spans="1:10" ht="15.75" x14ac:dyDescent="0.5">
      <c r="A29" s="432" t="s">
        <v>329</v>
      </c>
      <c r="B29" s="433"/>
      <c r="C29" s="32" t="s">
        <v>11</v>
      </c>
      <c r="D29" s="31" t="s">
        <v>12</v>
      </c>
      <c r="E29" s="32" t="s">
        <v>330</v>
      </c>
      <c r="F29" s="32" t="s">
        <v>11</v>
      </c>
      <c r="G29" s="31" t="s">
        <v>12</v>
      </c>
      <c r="H29" s="32" t="s">
        <v>330</v>
      </c>
    </row>
    <row r="30" spans="1:10" ht="15.75" x14ac:dyDescent="0.5">
      <c r="A30" s="469" t="s">
        <v>331</v>
      </c>
      <c r="B30" s="470"/>
      <c r="C30" s="254"/>
      <c r="D30" s="202" t="str">
        <f>IF(C30="","",IF(OR(C30&gt;=2,C30&lt;=0),0,IF(AND(C30&gt;=0.9,C30&lt;=1.1),1,ROUND(IF(C30&lt;0.9,'Reference Curves'!$B$51*C30+'Reference Curves'!$B$52,'Reference Curves'!$C$51*C30+'Reference Curves'!$C$52),2))))</f>
        <v/>
      </c>
      <c r="E30" s="471" t="str">
        <f>IFERROR(ROUND(AVERAGE(D30:D35),2),"")</f>
        <v/>
      </c>
      <c r="F30" s="254"/>
      <c r="G30" s="202" t="str">
        <f>IF(F30="","",IF(OR(F30&gt;=2,F30&lt;=0),0,IF(AND(F30&gt;=0.9,F30&lt;=1.1),1,ROUND(IF(F30&lt;0.9,'Reference Curves'!$B$51*F30+'Reference Curves'!$B$52,'Reference Curves'!$C$51*F30+'Reference Curves'!$C$52),2))))</f>
        <v/>
      </c>
      <c r="H30" s="471" t="str">
        <f>IFERROR(ROUND(AVERAGE(G30:G35),2),"")</f>
        <v/>
      </c>
    </row>
    <row r="31" spans="1:10" ht="15.75" x14ac:dyDescent="0.5">
      <c r="A31" s="474" t="s">
        <v>332</v>
      </c>
      <c r="B31" s="475"/>
      <c r="C31" s="255"/>
      <c r="D31" s="203" t="str">
        <f>IF(C31="","",IF(OR(C31&gt;=2,C31&lt;=0),0,IF(AND(C31&gt;=0.9,C31&lt;=1.1),1,ROUND(IF(C31&lt;0.9,'Reference Curves'!$B$51*C31+'Reference Curves'!$B$52,'Reference Curves'!$C$51*C31+'Reference Curves'!$C$52),2))))</f>
        <v/>
      </c>
      <c r="E31" s="472"/>
      <c r="F31" s="255"/>
      <c r="G31" s="203" t="str">
        <f>IF(F31="","",IF(OR(F31&gt;=2,F31&lt;=0),0,IF(AND(F31&gt;=0.9,F31&lt;=1.1),1,ROUND(IF(F31&lt;0.9,'Reference Curves'!$B$51*F31+'Reference Curves'!$B$52,'Reference Curves'!$C$51*F31+'Reference Curves'!$C$52),2))))</f>
        <v/>
      </c>
      <c r="H31" s="472"/>
      <c r="J31" s="260"/>
    </row>
    <row r="32" spans="1:10" ht="15.75" x14ac:dyDescent="0.5">
      <c r="A32" s="474" t="s">
        <v>333</v>
      </c>
      <c r="B32" s="475"/>
      <c r="C32" s="255"/>
      <c r="D32" s="203" t="str">
        <f>IF(C32="","",IF(OR(C32&gt;=2,C32&lt;=0),0,IF(AND(C32&gt;=0.9,C32&lt;=1.1),1,ROUND(IF(C32&lt;0.9,'Reference Curves'!$B$51*C32+'Reference Curves'!$B$52,'Reference Curves'!$C$51*C32+'Reference Curves'!$C$52),2))))</f>
        <v/>
      </c>
      <c r="E32" s="472"/>
      <c r="F32" s="255"/>
      <c r="G32" s="203" t="str">
        <f>IF(F32="","",IF(OR(F32&gt;=2,F32&lt;=0),0,IF(AND(F32&gt;=0.9,F32&lt;=1.1),1,ROUND(IF(F32&lt;0.9,'Reference Curves'!$B$51*F32+'Reference Curves'!$B$52,'Reference Curves'!$C$51*F32+'Reference Curves'!$C$52),2))))</f>
        <v/>
      </c>
      <c r="H32" s="472"/>
    </row>
    <row r="33" spans="1:8" ht="15.75" x14ac:dyDescent="0.5">
      <c r="A33" s="474" t="s">
        <v>334</v>
      </c>
      <c r="B33" s="475"/>
      <c r="C33" s="255"/>
      <c r="D33" s="203" t="str">
        <f>IF(C33="","",IF(OR(C33&gt;=2,C33&lt;=0),0,IF(AND(C33&gt;=0.9,C33&lt;=1.1),1,ROUND(IF(C33&lt;0.9,'Reference Curves'!$B$51*C33+'Reference Curves'!$B$52,'Reference Curves'!$C$51*C33+'Reference Curves'!$C$52),2))))</f>
        <v/>
      </c>
      <c r="E33" s="472"/>
      <c r="F33" s="255"/>
      <c r="G33" s="203" t="str">
        <f>IF(F33="","",IF(OR(F33&gt;=2,F33&lt;=0),0,IF(AND(F33&gt;=0.9,F33&lt;=1.1),1,ROUND(IF(F33&lt;0.9,'Reference Curves'!$B$51*F33+'Reference Curves'!$B$52,'Reference Curves'!$C$51*F33+'Reference Curves'!$C$52),2))))</f>
        <v/>
      </c>
      <c r="H33" s="472"/>
    </row>
    <row r="34" spans="1:8" ht="15.75" x14ac:dyDescent="0.5">
      <c r="A34" s="474" t="s">
        <v>335</v>
      </c>
      <c r="B34" s="475"/>
      <c r="C34" s="255"/>
      <c r="D34" s="203" t="str">
        <f>IF(C34="","",IF(OR(C34&gt;=2,C34&lt;=0),0,IF(AND(C34&gt;=0.9,C34&lt;=1.1),1,ROUND(IF(C34&lt;0.9,'Reference Curves'!$B$51*C34+'Reference Curves'!$B$52,'Reference Curves'!$C$51*C34+'Reference Curves'!$C$52),2))))</f>
        <v/>
      </c>
      <c r="E34" s="472"/>
      <c r="F34" s="255"/>
      <c r="G34" s="203" t="str">
        <f>IF(F34="","",IF(OR(F34&gt;=2,F34&lt;=0),0,IF(AND(F34&gt;=0.9,F34&lt;=1.1),1,ROUND(IF(F34&lt;0.9,'Reference Curves'!$B$51*F34+'Reference Curves'!$B$52,'Reference Curves'!$C$51*F34+'Reference Curves'!$C$52),2))))</f>
        <v/>
      </c>
      <c r="H34" s="472"/>
    </row>
    <row r="35" spans="1:8" ht="15.75" x14ac:dyDescent="0.5">
      <c r="A35" s="476" t="s">
        <v>336</v>
      </c>
      <c r="B35" s="477"/>
      <c r="C35" s="38"/>
      <c r="D35" s="257" t="str">
        <f>IF(C35="","",IF(OR(C35&gt;=2,C35&lt;=0),0,IF(AND(C35&gt;=0.9,C35&lt;=1.1),1,ROUND(IF(C35&lt;0.9,'Reference Curves'!$B$51*C35+'Reference Curves'!$B$52,'Reference Curves'!$C$51*C35+'Reference Curves'!$C$52),2))))</f>
        <v/>
      </c>
      <c r="E35" s="473"/>
      <c r="F35" s="38"/>
      <c r="G35" s="257" t="str">
        <f>IF(F35="","",IF(OR(F35&gt;=2,F35&lt;=0),0,IF(AND(F35&gt;=0.9,F35&lt;=1.1),1,ROUND(IF(F35&lt;0.9,'Reference Curves'!$B$51*F35+'Reference Curves'!$B$52,'Reference Curves'!$C$51*F35+'Reference Curves'!$C$52),2))))</f>
        <v/>
      </c>
      <c r="H35" s="473"/>
    </row>
    <row r="37" spans="1:8" ht="21" x14ac:dyDescent="0.65">
      <c r="A37" s="252" t="s">
        <v>337</v>
      </c>
      <c r="B37" s="253"/>
      <c r="C37" s="259" t="s">
        <v>338</v>
      </c>
      <c r="D37" s="478"/>
      <c r="E37" s="479"/>
      <c r="F37" s="259" t="s">
        <v>338</v>
      </c>
      <c r="G37" s="478"/>
      <c r="H37" s="479"/>
    </row>
    <row r="38" spans="1:8" ht="15.75" x14ac:dyDescent="0.5">
      <c r="A38" s="432" t="s">
        <v>329</v>
      </c>
      <c r="B38" s="433"/>
      <c r="C38" s="32" t="s">
        <v>11</v>
      </c>
      <c r="D38" s="31" t="s">
        <v>12</v>
      </c>
      <c r="E38" s="32" t="s">
        <v>330</v>
      </c>
      <c r="F38" s="32" t="s">
        <v>11</v>
      </c>
      <c r="G38" s="31" t="s">
        <v>12</v>
      </c>
      <c r="H38" s="32" t="s">
        <v>330</v>
      </c>
    </row>
    <row r="39" spans="1:8" ht="15.75" x14ac:dyDescent="0.5">
      <c r="A39" s="469" t="s">
        <v>331</v>
      </c>
      <c r="B39" s="470"/>
      <c r="C39" s="254"/>
      <c r="D39" s="202" t="str">
        <f>IF(C39="","",IF(OR(C39&gt;=2,C39&lt;=0),0,IF(AND(C39&gt;=0.9,C39&lt;=1.1),1,ROUND(IF(C39&lt;0.9,'Reference Curves'!$B$51*C39+'Reference Curves'!$B$52,'Reference Curves'!$C$51*C39+'Reference Curves'!$C$52),2))))</f>
        <v/>
      </c>
      <c r="E39" s="480" t="str">
        <f>IFERROR(ROUND(AVERAGE(D39:D44),2),"")</f>
        <v/>
      </c>
      <c r="F39" s="297"/>
      <c r="G39" s="206" t="str">
        <f>IF(F39="","",IF(OR(F39&gt;=2,F39&lt;=0),0,IF(AND(F39&gt;=0.9,F39&lt;=1.1),1,ROUND(IF(F39&lt;0.9,'Reference Curves'!$B$51*F39+'Reference Curves'!$B$52,'Reference Curves'!$C$51*F39+'Reference Curves'!$C$52),2))))</f>
        <v/>
      </c>
      <c r="H39" s="471" t="str">
        <f>IFERROR(ROUND(AVERAGE(G39:G44),2),"")</f>
        <v/>
      </c>
    </row>
    <row r="40" spans="1:8" ht="15.75" x14ac:dyDescent="0.5">
      <c r="A40" s="474" t="s">
        <v>332</v>
      </c>
      <c r="B40" s="475"/>
      <c r="C40" s="255"/>
      <c r="D40" s="203" t="str">
        <f>IF(C40="","",IF(OR(C40&gt;=2,C40&lt;=0),0,IF(AND(C40&gt;=0.9,C40&lt;=1.1),1,ROUND(IF(C40&lt;0.9,'Reference Curves'!$B$51*C40+'Reference Curves'!$B$52,'Reference Curves'!$C$51*C40+'Reference Curves'!$C$52),2))))</f>
        <v/>
      </c>
      <c r="E40" s="481"/>
      <c r="F40" s="298"/>
      <c r="G40" s="205" t="str">
        <f>IF(F40="","",IF(OR(F40&gt;=2,F40&lt;=0),0,IF(AND(F40&gt;=0.9,F40&lt;=1.1),1,ROUND(IF(F40&lt;0.9,'Reference Curves'!$B$51*F40+'Reference Curves'!$B$52,'Reference Curves'!$C$51*F40+'Reference Curves'!$C$52),2))))</f>
        <v/>
      </c>
      <c r="H40" s="472"/>
    </row>
    <row r="41" spans="1:8" ht="15.75" x14ac:dyDescent="0.5">
      <c r="A41" s="474" t="s">
        <v>333</v>
      </c>
      <c r="B41" s="475"/>
      <c r="C41" s="255"/>
      <c r="D41" s="203" t="str">
        <f>IF(C41="","",IF(OR(C41&gt;=2,C41&lt;=0),0,IF(AND(C41&gt;=0.9,C41&lt;=1.1),1,ROUND(IF(C41&lt;0.9,'Reference Curves'!$B$51*C41+'Reference Curves'!$B$52,'Reference Curves'!$C$51*C41+'Reference Curves'!$C$52),2))))</f>
        <v/>
      </c>
      <c r="E41" s="481"/>
      <c r="F41" s="34"/>
      <c r="G41" s="205" t="str">
        <f>IF(F41="","",IF(OR(F41&gt;=2,F41&lt;=0),0,IF(AND(F41&gt;=0.9,F41&lt;=1.1),1,ROUND(IF(F41&lt;0.9,'Reference Curves'!$B$51*F41+'Reference Curves'!$B$52,'Reference Curves'!$C$51*F41+'Reference Curves'!$C$52),2))))</f>
        <v/>
      </c>
      <c r="H41" s="472"/>
    </row>
    <row r="42" spans="1:8" ht="15.75" x14ac:dyDescent="0.5">
      <c r="A42" s="474" t="s">
        <v>334</v>
      </c>
      <c r="B42" s="475"/>
      <c r="C42" s="255"/>
      <c r="D42" s="203" t="str">
        <f>IF(C42="","",IF(OR(C42&gt;=2,C42&lt;=0),0,IF(AND(C42&gt;=0.9,C42&lt;=1.1),1,ROUND(IF(C42&lt;0.9,'Reference Curves'!$B$51*C42+'Reference Curves'!$B$52,'Reference Curves'!$C$51*C42+'Reference Curves'!$C$52),2))))</f>
        <v/>
      </c>
      <c r="E42" s="481"/>
      <c r="F42" s="298"/>
      <c r="G42" s="205" t="str">
        <f>IF(F42="","",IF(OR(F42&gt;=2,F42&lt;=0),0,IF(AND(F42&gt;=0.9,F42&lt;=1.1),1,ROUND(IF(F42&lt;0.9,'Reference Curves'!$B$51*F42+'Reference Curves'!$B$52,'Reference Curves'!$C$51*F42+'Reference Curves'!$C$52),2))))</f>
        <v/>
      </c>
      <c r="H42" s="472"/>
    </row>
    <row r="43" spans="1:8" ht="15.75" x14ac:dyDescent="0.5">
      <c r="A43" s="474" t="s">
        <v>335</v>
      </c>
      <c r="B43" s="475"/>
      <c r="C43" s="255"/>
      <c r="D43" s="203" t="str">
        <f>IF(C43="","",IF(OR(C43&gt;=2,C43&lt;=0),0,IF(AND(C43&gt;=0.9,C43&lt;=1.1),1,ROUND(IF(C43&lt;0.9,'Reference Curves'!$B$51*C43+'Reference Curves'!$B$52,'Reference Curves'!$C$51*C43+'Reference Curves'!$C$52),2))))</f>
        <v/>
      </c>
      <c r="E43" s="481"/>
      <c r="F43" s="298"/>
      <c r="G43" s="205" t="str">
        <f>IF(F43="","",IF(OR(F43&gt;=2,F43&lt;=0),0,IF(AND(F43&gt;=0.9,F43&lt;=1.1),1,ROUND(IF(F43&lt;0.9,'Reference Curves'!$B$51*F43+'Reference Curves'!$B$52,'Reference Curves'!$C$51*F43+'Reference Curves'!$C$52),2))))</f>
        <v/>
      </c>
      <c r="H43" s="472"/>
    </row>
    <row r="44" spans="1:8" ht="15.75" x14ac:dyDescent="0.5">
      <c r="A44" s="476" t="s">
        <v>336</v>
      </c>
      <c r="B44" s="477"/>
      <c r="C44" s="38"/>
      <c r="D44" s="257" t="str">
        <f>IF(C44="","",IF(OR(C44&gt;=2,C44&lt;=0),0,IF(AND(C44&gt;=0.9,C44&lt;=1.1),1,ROUND(IF(C44&lt;0.9,'Reference Curves'!$B$51*C44+'Reference Curves'!$B$52,'Reference Curves'!$C$51*C44+'Reference Curves'!$C$52),2))))</f>
        <v/>
      </c>
      <c r="E44" s="482"/>
      <c r="F44" s="35"/>
      <c r="G44" s="207" t="str">
        <f>IF(F44="","",IF(OR(F44&gt;=2,F44&lt;=0),0,IF(AND(F44&gt;=0.9,F44&lt;=1.1),1,ROUND(IF(F44&lt;0.9,'Reference Curves'!$B$51*F44+'Reference Curves'!$B$52,'Reference Curves'!$C$51*F44+'Reference Curves'!$C$52),2))))</f>
        <v/>
      </c>
      <c r="H44" s="473"/>
    </row>
    <row r="46" spans="1:8" ht="21" x14ac:dyDescent="0.65">
      <c r="A46" s="252" t="s">
        <v>337</v>
      </c>
      <c r="B46" s="253"/>
      <c r="C46" s="259" t="s">
        <v>338</v>
      </c>
      <c r="D46" s="478"/>
      <c r="E46" s="479"/>
      <c r="F46" s="259" t="s">
        <v>338</v>
      </c>
      <c r="G46" s="478"/>
      <c r="H46" s="479"/>
    </row>
    <row r="47" spans="1:8" ht="15.75" x14ac:dyDescent="0.5">
      <c r="A47" s="432" t="s">
        <v>329</v>
      </c>
      <c r="B47" s="433"/>
      <c r="C47" s="32" t="s">
        <v>11</v>
      </c>
      <c r="D47" s="31" t="s">
        <v>12</v>
      </c>
      <c r="E47" s="32" t="s">
        <v>330</v>
      </c>
      <c r="F47" s="32" t="s">
        <v>11</v>
      </c>
      <c r="G47" s="31" t="s">
        <v>12</v>
      </c>
      <c r="H47" s="32" t="s">
        <v>330</v>
      </c>
    </row>
    <row r="48" spans="1:8" ht="15.75" x14ac:dyDescent="0.5">
      <c r="A48" s="469" t="s">
        <v>331</v>
      </c>
      <c r="B48" s="470"/>
      <c r="C48" s="254"/>
      <c r="D48" s="202" t="str">
        <f>IF(C48="","",IF(OR(C48&gt;=2,C48&lt;=0),0,IF(AND(C48&gt;=0.9,C48&lt;=1.1),1,ROUND(IF(C48&lt;0.9,'Reference Curves'!$B$51*C48+'Reference Curves'!$B$52,'Reference Curves'!$C$51*C48+'Reference Curves'!$C$52),2))))</f>
        <v/>
      </c>
      <c r="E48" s="471" t="str">
        <f>IFERROR(ROUND(AVERAGE(D48:D53),2),"")</f>
        <v/>
      </c>
      <c r="F48" s="254"/>
      <c r="G48" s="202" t="str">
        <f>IF(F48="","",IF(OR(F48&gt;=2,F48&lt;=0),0,IF(AND(F48&gt;=0.9,F48&lt;=1.1),1,ROUND(IF(F48&lt;0.9,'Reference Curves'!$B$51*F48+'Reference Curves'!$B$52,'Reference Curves'!$C$51*F48+'Reference Curves'!$C$52),2))))</f>
        <v/>
      </c>
      <c r="H48" s="471" t="str">
        <f>IFERROR(ROUND(AVERAGE(G48:G53),2),"")</f>
        <v/>
      </c>
    </row>
    <row r="49" spans="1:8" ht="15.75" x14ac:dyDescent="0.5">
      <c r="A49" s="474" t="s">
        <v>332</v>
      </c>
      <c r="B49" s="475"/>
      <c r="C49" s="255"/>
      <c r="D49" s="203" t="str">
        <f>IF(C49="","",IF(OR(C49&gt;=2,C49&lt;=0),0,IF(AND(C49&gt;=0.9,C49&lt;=1.1),1,ROUND(IF(C49&lt;0.9,'Reference Curves'!$B$51*C49+'Reference Curves'!$B$52,'Reference Curves'!$C$51*C49+'Reference Curves'!$C$52),2))))</f>
        <v/>
      </c>
      <c r="E49" s="472"/>
      <c r="F49" s="255"/>
      <c r="G49" s="203" t="str">
        <f>IF(F49="","",IF(OR(F49&gt;=2,F49&lt;=0),0,IF(AND(F49&gt;=0.9,F49&lt;=1.1),1,ROUND(IF(F49&lt;0.9,'Reference Curves'!$B$51*F49+'Reference Curves'!$B$52,'Reference Curves'!$C$51*F49+'Reference Curves'!$C$52),2))))</f>
        <v/>
      </c>
      <c r="H49" s="472"/>
    </row>
    <row r="50" spans="1:8" ht="15.75" x14ac:dyDescent="0.5">
      <c r="A50" s="474" t="s">
        <v>333</v>
      </c>
      <c r="B50" s="475"/>
      <c r="C50" s="255"/>
      <c r="D50" s="203" t="str">
        <f>IF(C50="","",IF(OR(C50&gt;=2,C50&lt;=0),0,IF(AND(C50&gt;=0.9,C50&lt;=1.1),1,ROUND(IF(C50&lt;0.9,'Reference Curves'!$B$51*C50+'Reference Curves'!$B$52,'Reference Curves'!$C$51*C50+'Reference Curves'!$C$52),2))))</f>
        <v/>
      </c>
      <c r="E50" s="472"/>
      <c r="F50" s="255"/>
      <c r="G50" s="203" t="str">
        <f>IF(F50="","",IF(OR(F50&gt;=2,F50&lt;=0),0,IF(AND(F50&gt;=0.9,F50&lt;=1.1),1,ROUND(IF(F50&lt;0.9,'Reference Curves'!$B$51*F50+'Reference Curves'!$B$52,'Reference Curves'!$C$51*F50+'Reference Curves'!$C$52),2))))</f>
        <v/>
      </c>
      <c r="H50" s="472"/>
    </row>
    <row r="51" spans="1:8" ht="15.75" x14ac:dyDescent="0.5">
      <c r="A51" s="474" t="s">
        <v>334</v>
      </c>
      <c r="B51" s="475"/>
      <c r="C51" s="255"/>
      <c r="D51" s="203" t="str">
        <f>IF(C51="","",IF(OR(C51&gt;=2,C51&lt;=0),0,IF(AND(C51&gt;=0.9,C51&lt;=1.1),1,ROUND(IF(C51&lt;0.9,'Reference Curves'!$B$51*C51+'Reference Curves'!$B$52,'Reference Curves'!$C$51*C51+'Reference Curves'!$C$52),2))))</f>
        <v/>
      </c>
      <c r="E51" s="472"/>
      <c r="F51" s="255"/>
      <c r="G51" s="203" t="str">
        <f>IF(F51="","",IF(OR(F51&gt;=2,F51&lt;=0),0,IF(AND(F51&gt;=0.9,F51&lt;=1.1),1,ROUND(IF(F51&lt;0.9,'Reference Curves'!$B$51*F51+'Reference Curves'!$B$52,'Reference Curves'!$C$51*F51+'Reference Curves'!$C$52),2))))</f>
        <v/>
      </c>
      <c r="H51" s="472"/>
    </row>
    <row r="52" spans="1:8" ht="15.75" x14ac:dyDescent="0.5">
      <c r="A52" s="474" t="s">
        <v>335</v>
      </c>
      <c r="B52" s="475"/>
      <c r="C52" s="255"/>
      <c r="D52" s="203" t="str">
        <f>IF(C52="","",IF(OR(C52&gt;=2,C52&lt;=0),0,IF(AND(C52&gt;=0.9,C52&lt;=1.1),1,ROUND(IF(C52&lt;0.9,'Reference Curves'!$B$51*C52+'Reference Curves'!$B$52,'Reference Curves'!$C$51*C52+'Reference Curves'!$C$52),2))))</f>
        <v/>
      </c>
      <c r="E52" s="472"/>
      <c r="F52" s="255"/>
      <c r="G52" s="203" t="str">
        <f>IF(F52="","",IF(OR(F52&gt;=2,F52&lt;=0),0,IF(AND(F52&gt;=0.9,F52&lt;=1.1),1,ROUND(IF(F52&lt;0.9,'Reference Curves'!$B$51*F52+'Reference Curves'!$B$52,'Reference Curves'!$C$51*F52+'Reference Curves'!$C$52),2))))</f>
        <v/>
      </c>
      <c r="H52" s="472"/>
    </row>
    <row r="53" spans="1:8" ht="15.75" x14ac:dyDescent="0.5">
      <c r="A53" s="476" t="s">
        <v>336</v>
      </c>
      <c r="B53" s="477"/>
      <c r="C53" s="38"/>
      <c r="D53" s="257" t="str">
        <f>IF(C53="","",IF(OR(C53&gt;=2,C53&lt;=0),0,IF(AND(C53&gt;=0.9,C53&lt;=1.1),1,ROUND(IF(C53&lt;0.9,'Reference Curves'!$B$51*C53+'Reference Curves'!$B$52,'Reference Curves'!$C$51*C53+'Reference Curves'!$C$52),2))))</f>
        <v/>
      </c>
      <c r="E53" s="473"/>
      <c r="F53" s="38"/>
      <c r="G53" s="257" t="str">
        <f>IF(F53="","",IF(OR(F53&gt;=2,F53&lt;=0),0,IF(AND(F53&gt;=0.9,F53&lt;=1.1),1,ROUND(IF(F53&lt;0.9,'Reference Curves'!$B$51*F53+'Reference Curves'!$B$52,'Reference Curves'!$C$51*F53+'Reference Curves'!$C$52),2))))</f>
        <v/>
      </c>
      <c r="H53" s="473"/>
    </row>
    <row r="55" spans="1:8" ht="21" x14ac:dyDescent="0.65">
      <c r="A55" s="252" t="s">
        <v>337</v>
      </c>
      <c r="B55" s="253"/>
      <c r="C55" s="259" t="s">
        <v>338</v>
      </c>
      <c r="D55" s="478"/>
      <c r="E55" s="479"/>
      <c r="F55" s="259" t="s">
        <v>338</v>
      </c>
      <c r="G55" s="478"/>
      <c r="H55" s="479"/>
    </row>
    <row r="56" spans="1:8" ht="15.75" x14ac:dyDescent="0.5">
      <c r="A56" s="432" t="s">
        <v>329</v>
      </c>
      <c r="B56" s="433"/>
      <c r="C56" s="32" t="s">
        <v>11</v>
      </c>
      <c r="D56" s="31" t="s">
        <v>12</v>
      </c>
      <c r="E56" s="32" t="s">
        <v>330</v>
      </c>
      <c r="F56" s="32" t="s">
        <v>11</v>
      </c>
      <c r="G56" s="31" t="s">
        <v>12</v>
      </c>
      <c r="H56" s="32" t="s">
        <v>330</v>
      </c>
    </row>
    <row r="57" spans="1:8" ht="15.75" x14ac:dyDescent="0.5">
      <c r="A57" s="469" t="s">
        <v>331</v>
      </c>
      <c r="B57" s="470"/>
      <c r="C57" s="37"/>
      <c r="D57" s="202" t="str">
        <f>IF(C57="","",IF(OR(C57&gt;=2,C57&lt;=0),0,IF(AND(C57&gt;=0.9,C57&lt;=1.1),1,ROUND(IF(C57&lt;0.9,'Reference Curves'!$B$51*C57+'Reference Curves'!$B$52,'Reference Curves'!$C$51*C57+'Reference Curves'!$C$52),2))))</f>
        <v/>
      </c>
      <c r="E57" s="471" t="str">
        <f>IFERROR(ROUND(AVERAGE(D57:D62),2),"")</f>
        <v/>
      </c>
      <c r="F57" s="254"/>
      <c r="G57" s="202" t="str">
        <f>IF(F57="","",IF(OR(F57&gt;=2,F57&lt;=0),0,IF(AND(F57&gt;=0.9,F57&lt;=1.1),1,ROUND(IF(F57&lt;0.9,'Reference Curves'!$B$51*F57+'Reference Curves'!$B$52,'Reference Curves'!$C$51*F57+'Reference Curves'!$C$52),2))))</f>
        <v/>
      </c>
      <c r="H57" s="471" t="str">
        <f>IFERROR(ROUND(AVERAGE(G57:G62),2),"")</f>
        <v/>
      </c>
    </row>
    <row r="58" spans="1:8" ht="15.75" x14ac:dyDescent="0.5">
      <c r="A58" s="474" t="s">
        <v>332</v>
      </c>
      <c r="B58" s="475"/>
      <c r="C58" s="36"/>
      <c r="D58" s="203" t="str">
        <f>IF(C58="","",IF(OR(C58&gt;=2,C58&lt;=0),0,IF(AND(C58&gt;=0.9,C58&lt;=1.1),1,ROUND(IF(C58&lt;0.9,'Reference Curves'!$B$51*C58+'Reference Curves'!$B$52,'Reference Curves'!$C$51*C58+'Reference Curves'!$C$52),2))))</f>
        <v/>
      </c>
      <c r="E58" s="472"/>
      <c r="F58" s="255"/>
      <c r="G58" s="203" t="str">
        <f>IF(F58="","",IF(OR(F58&gt;=2,F58&lt;=0),0,IF(AND(F58&gt;=0.9,F58&lt;=1.1),1,ROUND(IF(F58&lt;0.9,'Reference Curves'!$B$51*F58+'Reference Curves'!$B$52,'Reference Curves'!$C$51*F58+'Reference Curves'!$C$52),2))))</f>
        <v/>
      </c>
      <c r="H58" s="472"/>
    </row>
    <row r="59" spans="1:8" ht="15.75" x14ac:dyDescent="0.5">
      <c r="A59" s="474" t="s">
        <v>333</v>
      </c>
      <c r="B59" s="475"/>
      <c r="C59" s="36"/>
      <c r="D59" s="203" t="str">
        <f>IF(C59="","",IF(OR(C59&gt;=2,C59&lt;=0),0,IF(AND(C59&gt;=0.9,C59&lt;=1.1),1,ROUND(IF(C59&lt;0.9,'Reference Curves'!$B$51*C59+'Reference Curves'!$B$52,'Reference Curves'!$C$51*C59+'Reference Curves'!$C$52),2))))</f>
        <v/>
      </c>
      <c r="E59" s="472"/>
      <c r="F59" s="255"/>
      <c r="G59" s="203" t="str">
        <f>IF(F59="","",IF(OR(F59&gt;=2,F59&lt;=0),0,IF(AND(F59&gt;=0.9,F59&lt;=1.1),1,ROUND(IF(F59&lt;0.9,'Reference Curves'!$B$51*F59+'Reference Curves'!$B$52,'Reference Curves'!$C$51*F59+'Reference Curves'!$C$52),2))))</f>
        <v/>
      </c>
      <c r="H59" s="472"/>
    </row>
    <row r="60" spans="1:8" ht="15.75" x14ac:dyDescent="0.5">
      <c r="A60" s="474" t="s">
        <v>334</v>
      </c>
      <c r="B60" s="475"/>
      <c r="C60" s="36"/>
      <c r="D60" s="203" t="str">
        <f>IF(C60="","",IF(OR(C60&gt;=2,C60&lt;=0),0,IF(AND(C60&gt;=0.9,C60&lt;=1.1),1,ROUND(IF(C60&lt;0.9,'Reference Curves'!$B$51*C60+'Reference Curves'!$B$52,'Reference Curves'!$C$51*C60+'Reference Curves'!$C$52),2))))</f>
        <v/>
      </c>
      <c r="E60" s="472"/>
      <c r="F60" s="255"/>
      <c r="G60" s="203" t="str">
        <f>IF(F60="","",IF(OR(F60&gt;=2,F60&lt;=0),0,IF(AND(F60&gt;=0.9,F60&lt;=1.1),1,ROUND(IF(F60&lt;0.9,'Reference Curves'!$B$51*F60+'Reference Curves'!$B$52,'Reference Curves'!$C$51*F60+'Reference Curves'!$C$52),2))))</f>
        <v/>
      </c>
      <c r="H60" s="472"/>
    </row>
    <row r="61" spans="1:8" ht="15.75" x14ac:dyDescent="0.5">
      <c r="A61" s="474" t="s">
        <v>335</v>
      </c>
      <c r="B61" s="475"/>
      <c r="C61" s="255"/>
      <c r="D61" s="203" t="str">
        <f>IF(C61="","",IF(OR(C61&gt;=2,C61&lt;=0),0,IF(AND(C61&gt;=0.9,C61&lt;=1.1),1,ROUND(IF(C61&lt;0.9,'Reference Curves'!$B$51*C61+'Reference Curves'!$B$52,'Reference Curves'!$C$51*C61+'Reference Curves'!$C$52),2))))</f>
        <v/>
      </c>
      <c r="E61" s="472"/>
      <c r="F61" s="255"/>
      <c r="G61" s="203" t="str">
        <f>IF(F61="","",IF(OR(F61&gt;=2,F61&lt;=0),0,IF(AND(F61&gt;=0.9,F61&lt;=1.1),1,ROUND(IF(F61&lt;0.9,'Reference Curves'!$B$51*F61+'Reference Curves'!$B$52,'Reference Curves'!$C$51*F61+'Reference Curves'!$C$52),2))))</f>
        <v/>
      </c>
      <c r="H61" s="472"/>
    </row>
    <row r="62" spans="1:8" ht="15.75" x14ac:dyDescent="0.5">
      <c r="A62" s="476" t="s">
        <v>336</v>
      </c>
      <c r="B62" s="477"/>
      <c r="C62" s="38"/>
      <c r="D62" s="257" t="str">
        <f>IF(C62="","",IF(OR(C62&gt;=2,C62&lt;=0),0,IF(AND(C62&gt;=0.9,C62&lt;=1.1),1,ROUND(IF(C62&lt;0.9,'Reference Curves'!$B$51*C62+'Reference Curves'!$B$52,'Reference Curves'!$C$51*C62+'Reference Curves'!$C$52),2))))</f>
        <v/>
      </c>
      <c r="E62" s="473"/>
      <c r="F62" s="38"/>
      <c r="G62" s="257" t="str">
        <f>IF(F62="","",IF(OR(F62&gt;=2,F62&lt;=0),0,IF(AND(F62&gt;=0.9,F62&lt;=1.1),1,ROUND(IF(F62&lt;0.9,'Reference Curves'!$B$51*F62+'Reference Curves'!$B$52,'Reference Curves'!$C$51*F62+'Reference Curves'!$C$52),2))))</f>
        <v/>
      </c>
      <c r="H62" s="473"/>
    </row>
    <row r="64" spans="1:8" ht="21" x14ac:dyDescent="0.65">
      <c r="A64" s="252" t="s">
        <v>337</v>
      </c>
      <c r="B64" s="253"/>
      <c r="C64" s="259" t="s">
        <v>338</v>
      </c>
      <c r="D64" s="478"/>
      <c r="E64" s="479"/>
      <c r="F64" s="259" t="s">
        <v>338</v>
      </c>
      <c r="G64" s="478"/>
      <c r="H64" s="479"/>
    </row>
    <row r="65" spans="1:8" ht="15.75" x14ac:dyDescent="0.5">
      <c r="A65" s="432" t="s">
        <v>329</v>
      </c>
      <c r="B65" s="433"/>
      <c r="C65" s="32" t="s">
        <v>11</v>
      </c>
      <c r="D65" s="31" t="s">
        <v>12</v>
      </c>
      <c r="E65" s="32" t="s">
        <v>330</v>
      </c>
      <c r="F65" s="32" t="s">
        <v>11</v>
      </c>
      <c r="G65" s="31" t="s">
        <v>12</v>
      </c>
      <c r="H65" s="32" t="s">
        <v>330</v>
      </c>
    </row>
    <row r="66" spans="1:8" ht="15.75" x14ac:dyDescent="0.5">
      <c r="A66" s="469" t="s">
        <v>331</v>
      </c>
      <c r="B66" s="470"/>
      <c r="C66" s="37"/>
      <c r="D66" s="202" t="str">
        <f>IF(C66="","",IF(OR(C66&gt;=2,C66&lt;=0),0,IF(AND(C66&gt;=0.9,C66&lt;=1.1),1,ROUND(IF(C66&lt;0.9,'Reference Curves'!$B$51*C66+'Reference Curves'!$B$52,'Reference Curves'!$C$51*C66+'Reference Curves'!$C$52),2))))</f>
        <v/>
      </c>
      <c r="E66" s="471" t="str">
        <f>IFERROR(ROUND(AVERAGE(D66:D71),2),"")</f>
        <v/>
      </c>
      <c r="F66" s="37"/>
      <c r="G66" s="202" t="str">
        <f>IF(F66="","",IF(OR(F66&gt;=2,F66&lt;=0),0,IF(AND(F66&gt;=0.9,F66&lt;=1.1),1,ROUND(IF(F66&lt;0.9,'Reference Curves'!$B$51*F66+'Reference Curves'!$B$52,'Reference Curves'!$C$51*F66+'Reference Curves'!$C$52),2))))</f>
        <v/>
      </c>
      <c r="H66" s="471" t="str">
        <f>IFERROR(ROUND(AVERAGE(G66:G71),2),"")</f>
        <v/>
      </c>
    </row>
    <row r="67" spans="1:8" ht="15.75" x14ac:dyDescent="0.5">
      <c r="A67" s="474" t="s">
        <v>332</v>
      </c>
      <c r="B67" s="475"/>
      <c r="C67" s="36"/>
      <c r="D67" s="203" t="str">
        <f>IF(C67="","",IF(OR(C67&gt;=2,C67&lt;=0),0,IF(AND(C67&gt;=0.9,C67&lt;=1.1),1,ROUND(IF(C67&lt;0.9,'Reference Curves'!$B$51*C67+'Reference Curves'!$B$52,'Reference Curves'!$C$51*C67+'Reference Curves'!$C$52),2))))</f>
        <v/>
      </c>
      <c r="E67" s="472"/>
      <c r="F67" s="36"/>
      <c r="G67" s="203" t="str">
        <f>IF(F67="","",IF(OR(F67&gt;=2,F67&lt;=0),0,IF(AND(F67&gt;=0.9,F67&lt;=1.1),1,ROUND(IF(F67&lt;0.9,'Reference Curves'!$B$51*F67+'Reference Curves'!$B$52,'Reference Curves'!$C$51*F67+'Reference Curves'!$C$52),2))))</f>
        <v/>
      </c>
      <c r="H67" s="472"/>
    </row>
    <row r="68" spans="1:8" ht="15.75" x14ac:dyDescent="0.5">
      <c r="A68" s="474" t="s">
        <v>333</v>
      </c>
      <c r="B68" s="475"/>
      <c r="C68" s="36"/>
      <c r="D68" s="203" t="str">
        <f>IF(C68="","",IF(OR(C68&gt;=2,C68&lt;=0),0,IF(AND(C68&gt;=0.9,C68&lt;=1.1),1,ROUND(IF(C68&lt;0.9,'Reference Curves'!$B$51*C68+'Reference Curves'!$B$52,'Reference Curves'!$C$51*C68+'Reference Curves'!$C$52),2))))</f>
        <v/>
      </c>
      <c r="E68" s="472"/>
      <c r="F68" s="36"/>
      <c r="G68" s="203" t="str">
        <f>IF(F68="","",IF(OR(F68&gt;=2,F68&lt;=0),0,IF(AND(F68&gt;=0.9,F68&lt;=1.1),1,ROUND(IF(F68&lt;0.9,'Reference Curves'!$B$51*F68+'Reference Curves'!$B$52,'Reference Curves'!$C$51*F68+'Reference Curves'!$C$52),2))))</f>
        <v/>
      </c>
      <c r="H68" s="472"/>
    </row>
    <row r="69" spans="1:8" ht="15.75" x14ac:dyDescent="0.5">
      <c r="A69" s="474" t="s">
        <v>334</v>
      </c>
      <c r="B69" s="475"/>
      <c r="C69" s="36"/>
      <c r="D69" s="203" t="str">
        <f>IF(C69="","",IF(OR(C69&gt;=2,C69&lt;=0),0,IF(AND(C69&gt;=0.9,C69&lt;=1.1),1,ROUND(IF(C69&lt;0.9,'Reference Curves'!$B$51*C69+'Reference Curves'!$B$52,'Reference Curves'!$C$51*C69+'Reference Curves'!$C$52),2))))</f>
        <v/>
      </c>
      <c r="E69" s="472"/>
      <c r="F69" s="36"/>
      <c r="G69" s="203" t="str">
        <f>IF(F69="","",IF(OR(F69&gt;=2,F69&lt;=0),0,IF(AND(F69&gt;=0.9,F69&lt;=1.1),1,ROUND(IF(F69&lt;0.9,'Reference Curves'!$B$51*F69+'Reference Curves'!$B$52,'Reference Curves'!$C$51*F69+'Reference Curves'!$C$52),2))))</f>
        <v/>
      </c>
      <c r="H69" s="472"/>
    </row>
    <row r="70" spans="1:8" ht="15.75" x14ac:dyDescent="0.5">
      <c r="A70" s="474" t="s">
        <v>335</v>
      </c>
      <c r="B70" s="475"/>
      <c r="C70" s="36"/>
      <c r="D70" s="203" t="str">
        <f>IF(C70="","",IF(OR(C70&gt;=2,C70&lt;=0),0,IF(AND(C70&gt;=0.9,C70&lt;=1.1),1,ROUND(IF(C70&lt;0.9,'Reference Curves'!$B$51*C70+'Reference Curves'!$B$52,'Reference Curves'!$C$51*C70+'Reference Curves'!$C$52),2))))</f>
        <v/>
      </c>
      <c r="E70" s="472"/>
      <c r="F70" s="255"/>
      <c r="G70" s="203" t="str">
        <f>IF(F70="","",IF(OR(F70&gt;=2,F70&lt;=0),0,IF(AND(F70&gt;=0.9,F70&lt;=1.1),1,ROUND(IF(F70&lt;0.9,'Reference Curves'!$B$51*F70+'Reference Curves'!$B$52,'Reference Curves'!$C$51*F70+'Reference Curves'!$C$52),2))))</f>
        <v/>
      </c>
      <c r="H70" s="472"/>
    </row>
    <row r="71" spans="1:8" ht="15.75" x14ac:dyDescent="0.5">
      <c r="A71" s="476" t="s">
        <v>336</v>
      </c>
      <c r="B71" s="477"/>
      <c r="C71" s="38"/>
      <c r="D71" s="257" t="str">
        <f>IF(C71="","",IF(OR(C71&gt;=2,C71&lt;=0),0,IF(AND(C71&gt;=0.9,C71&lt;=1.1),1,ROUND(IF(C71&lt;0.9,'Reference Curves'!$B$51*C71+'Reference Curves'!$B$52,'Reference Curves'!$C$51*C71+'Reference Curves'!$C$52),2))))</f>
        <v/>
      </c>
      <c r="E71" s="473"/>
      <c r="F71" s="38"/>
      <c r="G71" s="257" t="str">
        <f>IF(F71="","",IF(OR(F71&gt;=2,F71&lt;=0),0,IF(AND(F71&gt;=0.9,F71&lt;=1.1),1,ROUND(IF(F71&lt;0.9,'Reference Curves'!$B$51*F71+'Reference Curves'!$B$52,'Reference Curves'!$C$51*F71+'Reference Curves'!$C$52),2))))</f>
        <v/>
      </c>
      <c r="H71" s="473"/>
    </row>
  </sheetData>
  <sheetProtection algorithmName="SHA-512" hashValue="daEwZKcFuFwF6nB86QLTX0ewCwI7Y7Lvs18w884Wpj0Id00ct3AjmZFbLiH3H6MuiXVBU6rUBNPDtwuGCIX5CQ==" saltValue="gExlmbBaS3y0xPptDSv2xA==" spinCount="100000" sheet="1" objects="1" scenarios="1"/>
  <mergeCells count="80">
    <mergeCell ref="A70:B70"/>
    <mergeCell ref="A71:B71"/>
    <mergeCell ref="A62:B62"/>
    <mergeCell ref="D64:E64"/>
    <mergeCell ref="G64:H64"/>
    <mergeCell ref="A65:B65"/>
    <mergeCell ref="A66:B66"/>
    <mergeCell ref="E66:E71"/>
    <mergeCell ref="H66:H71"/>
    <mergeCell ref="A67:B67"/>
    <mergeCell ref="A68:B68"/>
    <mergeCell ref="A69:B69"/>
    <mergeCell ref="D55:E55"/>
    <mergeCell ref="G55:H55"/>
    <mergeCell ref="A56:B56"/>
    <mergeCell ref="A57:B57"/>
    <mergeCell ref="E57:E62"/>
    <mergeCell ref="H57:H62"/>
    <mergeCell ref="A58:B58"/>
    <mergeCell ref="A59:B59"/>
    <mergeCell ref="A60:B60"/>
    <mergeCell ref="A61:B61"/>
    <mergeCell ref="A48:B48"/>
    <mergeCell ref="E48:E53"/>
    <mergeCell ref="H48:H53"/>
    <mergeCell ref="A49:B49"/>
    <mergeCell ref="A50:B50"/>
    <mergeCell ref="A51:B51"/>
    <mergeCell ref="A52:B52"/>
    <mergeCell ref="A53:B53"/>
    <mergeCell ref="A47:B47"/>
    <mergeCell ref="A34:B34"/>
    <mergeCell ref="A35:B35"/>
    <mergeCell ref="D37:E37"/>
    <mergeCell ref="G37:H37"/>
    <mergeCell ref="A38:B38"/>
    <mergeCell ref="A39:B39"/>
    <mergeCell ref="E39:E44"/>
    <mergeCell ref="H39:H44"/>
    <mergeCell ref="A40:B40"/>
    <mergeCell ref="A41:B41"/>
    <mergeCell ref="A42:B42"/>
    <mergeCell ref="A43:B43"/>
    <mergeCell ref="A44:B44"/>
    <mergeCell ref="D46:E46"/>
    <mergeCell ref="G46:H46"/>
    <mergeCell ref="D28:E28"/>
    <mergeCell ref="G28:H28"/>
    <mergeCell ref="A29:B29"/>
    <mergeCell ref="A30:B30"/>
    <mergeCell ref="E30:E35"/>
    <mergeCell ref="H30:H35"/>
    <mergeCell ref="A31:B31"/>
    <mergeCell ref="A32:B32"/>
    <mergeCell ref="A33:B33"/>
    <mergeCell ref="C19:E19"/>
    <mergeCell ref="F19:H19"/>
    <mergeCell ref="A20:B20"/>
    <mergeCell ref="A21:B21"/>
    <mergeCell ref="E21:E26"/>
    <mergeCell ref="H21:H26"/>
    <mergeCell ref="A22:B22"/>
    <mergeCell ref="A23:B23"/>
    <mergeCell ref="A24:B24"/>
    <mergeCell ref="A25:B25"/>
    <mergeCell ref="A26:B26"/>
    <mergeCell ref="D16:F16"/>
    <mergeCell ref="A3:B4"/>
    <mergeCell ref="D3:H3"/>
    <mergeCell ref="D4:H4"/>
    <mergeCell ref="D5:H5"/>
    <mergeCell ref="A8:B10"/>
    <mergeCell ref="D8:G8"/>
    <mergeCell ref="D9:F9"/>
    <mergeCell ref="D10:F10"/>
    <mergeCell ref="D11:F11"/>
    <mergeCell ref="D12:F12"/>
    <mergeCell ref="D13:F13"/>
    <mergeCell ref="D14:F14"/>
    <mergeCell ref="D15:F15"/>
  </mergeCells>
  <conditionalFormatting sqref="I18 G27 I12:J17">
    <cfRule type="containsText" dxfId="42" priority="49" stopIfTrue="1" operator="containsText" text="Not Functioning">
      <formula>NOT(ISERROR(SEARCH("Not Functioning",G12)))</formula>
    </cfRule>
    <cfRule type="containsText" dxfId="41" priority="50" operator="containsText" text="Functioning">
      <formula>NOT(ISERROR(SEARCH("Functioning",G12)))</formula>
    </cfRule>
  </conditionalFormatting>
  <conditionalFormatting sqref="E21:E26">
    <cfRule type="expression" priority="45" stopIfTrue="1">
      <formula>E21=""</formula>
    </cfRule>
    <cfRule type="expression" dxfId="40" priority="46" stopIfTrue="1">
      <formula>E21&lt;0.3</formula>
    </cfRule>
    <cfRule type="expression" dxfId="39" priority="47" stopIfTrue="1">
      <formula>+E21&gt;=0.7</formula>
    </cfRule>
    <cfRule type="expression" dxfId="38" priority="48" stopIfTrue="1">
      <formula>+E21&gt;=0.3</formula>
    </cfRule>
  </conditionalFormatting>
  <conditionalFormatting sqref="H21:H26">
    <cfRule type="expression" priority="41" stopIfTrue="1">
      <formula>H21=""</formula>
    </cfRule>
    <cfRule type="expression" dxfId="37" priority="42" stopIfTrue="1">
      <formula>H21&lt;0.3</formula>
    </cfRule>
    <cfRule type="expression" dxfId="36" priority="43" stopIfTrue="1">
      <formula>+H21&gt;=0.7</formula>
    </cfRule>
    <cfRule type="expression" dxfId="35" priority="44" stopIfTrue="1">
      <formula>+H21&gt;=0.3</formula>
    </cfRule>
  </conditionalFormatting>
  <conditionalFormatting sqref="E30:E35">
    <cfRule type="expression" priority="37" stopIfTrue="1">
      <formula>E30=""</formula>
    </cfRule>
    <cfRule type="expression" dxfId="34" priority="38" stopIfTrue="1">
      <formula>E30&lt;0.3</formula>
    </cfRule>
    <cfRule type="expression" dxfId="33" priority="39" stopIfTrue="1">
      <formula>+E30&gt;=0.7</formula>
    </cfRule>
    <cfRule type="expression" dxfId="32" priority="40" stopIfTrue="1">
      <formula>+E30&gt;=0.3</formula>
    </cfRule>
  </conditionalFormatting>
  <conditionalFormatting sqref="H30:H35">
    <cfRule type="expression" priority="33" stopIfTrue="1">
      <formula>H30=""</formula>
    </cfRule>
    <cfRule type="expression" dxfId="31" priority="34" stopIfTrue="1">
      <formula>H30&lt;0.3</formula>
    </cfRule>
    <cfRule type="expression" dxfId="30" priority="35" stopIfTrue="1">
      <formula>+H30&gt;=0.7</formula>
    </cfRule>
    <cfRule type="expression" dxfId="29" priority="36" stopIfTrue="1">
      <formula>+H30&gt;=0.3</formula>
    </cfRule>
  </conditionalFormatting>
  <conditionalFormatting sqref="E39:E44">
    <cfRule type="expression" priority="29" stopIfTrue="1">
      <formula>E39=""</formula>
    </cfRule>
    <cfRule type="expression" dxfId="28" priority="30" stopIfTrue="1">
      <formula>E39&lt;0.3</formula>
    </cfRule>
    <cfRule type="expression" dxfId="27" priority="31" stopIfTrue="1">
      <formula>+E39&gt;=0.7</formula>
    </cfRule>
    <cfRule type="expression" dxfId="26" priority="32" stopIfTrue="1">
      <formula>+E39&gt;=0.3</formula>
    </cfRule>
  </conditionalFormatting>
  <conditionalFormatting sqref="H39:H44">
    <cfRule type="expression" priority="25" stopIfTrue="1">
      <formula>H39=""</formula>
    </cfRule>
    <cfRule type="expression" dxfId="25" priority="26" stopIfTrue="1">
      <formula>H39&lt;0.3</formula>
    </cfRule>
    <cfRule type="expression" dxfId="24" priority="27" stopIfTrue="1">
      <formula>+H39&gt;=0.7</formula>
    </cfRule>
    <cfRule type="expression" dxfId="23" priority="28" stopIfTrue="1">
      <formula>+H39&gt;=0.3</formula>
    </cfRule>
  </conditionalFormatting>
  <conditionalFormatting sqref="E48:E53">
    <cfRule type="expression" priority="21" stopIfTrue="1">
      <formula>E48=""</formula>
    </cfRule>
    <cfRule type="expression" dxfId="22" priority="22" stopIfTrue="1">
      <formula>E48&lt;0.3</formula>
    </cfRule>
    <cfRule type="expression" dxfId="21" priority="23" stopIfTrue="1">
      <formula>+E48&gt;=0.7</formula>
    </cfRule>
    <cfRule type="expression" dxfId="20" priority="24" stopIfTrue="1">
      <formula>+E48&gt;=0.3</formula>
    </cfRule>
  </conditionalFormatting>
  <conditionalFormatting sqref="H48:H53">
    <cfRule type="expression" priority="17" stopIfTrue="1">
      <formula>H48=""</formula>
    </cfRule>
    <cfRule type="expression" dxfId="19" priority="18" stopIfTrue="1">
      <formula>H48&lt;0.3</formula>
    </cfRule>
    <cfRule type="expression" dxfId="18" priority="19" stopIfTrue="1">
      <formula>+H48&gt;=0.7</formula>
    </cfRule>
    <cfRule type="expression" dxfId="17" priority="20" stopIfTrue="1">
      <formula>+H48&gt;=0.3</formula>
    </cfRule>
  </conditionalFormatting>
  <conditionalFormatting sqref="E57:E62">
    <cfRule type="expression" priority="13" stopIfTrue="1">
      <formula>E57=""</formula>
    </cfRule>
    <cfRule type="expression" dxfId="16" priority="14" stopIfTrue="1">
      <formula>E57&lt;0.3</formula>
    </cfRule>
    <cfRule type="expression" dxfId="15" priority="15" stopIfTrue="1">
      <formula>+E57&gt;=0.7</formula>
    </cfRule>
    <cfRule type="expression" dxfId="14" priority="16" stopIfTrue="1">
      <formula>+E57&gt;=0.3</formula>
    </cfRule>
  </conditionalFormatting>
  <conditionalFormatting sqref="H57:H62">
    <cfRule type="expression" priority="9" stopIfTrue="1">
      <formula>H57=""</formula>
    </cfRule>
    <cfRule type="expression" dxfId="13" priority="10" stopIfTrue="1">
      <formula>H57&lt;0.3</formula>
    </cfRule>
    <cfRule type="expression" dxfId="12" priority="11" stopIfTrue="1">
      <formula>+H57&gt;=0.7</formula>
    </cfRule>
    <cfRule type="expression" dxfId="11" priority="12" stopIfTrue="1">
      <formula>+H57&gt;=0.3</formula>
    </cfRule>
  </conditionalFormatting>
  <conditionalFormatting sqref="E66:E71">
    <cfRule type="expression" priority="5" stopIfTrue="1">
      <formula>E66=""</formula>
    </cfRule>
    <cfRule type="expression" dxfId="10" priority="6" stopIfTrue="1">
      <formula>E66&lt;0.3</formula>
    </cfRule>
    <cfRule type="expression" dxfId="9" priority="7" stopIfTrue="1">
      <formula>+E66&gt;=0.7</formula>
    </cfRule>
    <cfRule type="expression" dxfId="8" priority="8" stopIfTrue="1">
      <formula>+E66&gt;=0.3</formula>
    </cfRule>
  </conditionalFormatting>
  <conditionalFormatting sqref="H66:H71">
    <cfRule type="expression" priority="1" stopIfTrue="1">
      <formula>H66=""</formula>
    </cfRule>
    <cfRule type="expression" dxfId="7" priority="2" stopIfTrue="1">
      <formula>H66&lt;0.3</formula>
    </cfRule>
    <cfRule type="expression" dxfId="6" priority="3" stopIfTrue="1">
      <formula>+H66&gt;=0.7</formula>
    </cfRule>
    <cfRule type="expression" dxfId="5" priority="4" stopIfTrue="1">
      <formula>+H66&gt;=0.3</formula>
    </cfRule>
  </conditionalFormatting>
  <conditionalFormatting sqref="I18">
    <cfRule type="containsText" dxfId="4" priority="51" stopIfTrue="1" operator="containsText" text="Functioning At Risk">
      <formula>NOT(ISERROR(SEARCH("Functioning At Risk",#REF!)))</formula>
    </cfRule>
  </conditionalFormatting>
  <conditionalFormatting sqref="J12:J17">
    <cfRule type="containsText" dxfId="3" priority="52" stopIfTrue="1" operator="containsText" text="Functioning At Risk">
      <formula>NOT(ISERROR(SEARCH("Functioning At Risk",#REF!)))</formula>
    </cfRule>
  </conditionalFormatting>
  <conditionalFormatting sqref="I15:I17">
    <cfRule type="containsText" dxfId="2" priority="53" stopIfTrue="1" operator="containsText" text="Functioning At Risk">
      <formula>NOT(ISERROR(SEARCH("Functioning At Risk",#REF!)))</formula>
    </cfRule>
  </conditionalFormatting>
  <conditionalFormatting sqref="I12:I14">
    <cfRule type="containsText" dxfId="1" priority="54" stopIfTrue="1" operator="containsText" text="Functioning At Risk">
      <formula>NOT(ISERROR(SEARCH("Functioning At Risk",#REF!)))</formula>
    </cfRule>
  </conditionalFormatting>
  <conditionalFormatting sqref="G27">
    <cfRule type="containsText" dxfId="0" priority="55" stopIfTrue="1" operator="containsText" text="Functioning At Risk">
      <formula>NOT(ISERROR(SEARCH("Functioning At Risk",#REF!)))</formula>
    </cfRule>
  </conditionalFormatting>
  <dataValidations count="2">
    <dataValidation allowBlank="1" showErrorMessage="1" prompt="Leave field value blank if not a coldwater stream." sqref="D27" xr:uid="{5523E343-8FE5-4DE5-8250-7A94CEE96585}"/>
    <dataValidation allowBlank="1" showErrorMessage="1" prompt="Select catchment conditon level from the completed catchment assessment form. " sqref="C21:C26 F21:F26 F30:F35 C30:C35 C48:C53 F39:F44 F57:F62 C39:C44 F48:F53 C57:C62 C66:C71 F66:F71" xr:uid="{1F354D8C-99A6-4FCC-AC6F-EB43B1800CE1}"/>
  </dataValidations>
  <pageMargins left="0.7" right="0.7" top="0.75" bottom="0.75" header="0.3" footer="0.3"/>
  <pageSetup scale="82" fitToHeight="0" orientation="landscape" horizontalDpi="1200" verticalDpi="1200" r:id="rId1"/>
  <headerFooter>
    <oddFooter>&amp;LCSQT v1.0
Debit Calculator Flow Alteration Module</oddFooter>
  </headerFooter>
  <rowBreaks count="1" manualBreakCount="1">
    <brk id="3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325"/>
  <sheetViews>
    <sheetView workbookViewId="0"/>
  </sheetViews>
  <sheetFormatPr defaultColWidth="9.1328125" defaultRowHeight="14.25" x14ac:dyDescent="0.45"/>
  <cols>
    <col min="1" max="1" width="5.59765625" style="5" customWidth="1"/>
    <col min="2" max="3" width="23.265625" style="108" bestFit="1" customWidth="1"/>
    <col min="4" max="4" width="13.265625" style="165" customWidth="1"/>
    <col min="5" max="5" width="10.86328125" style="165" customWidth="1"/>
    <col min="6" max="6" width="10" style="165" customWidth="1"/>
    <col min="7" max="7" width="7.73046875" style="64" bestFit="1" customWidth="1"/>
    <col min="8" max="8" width="11.73046875" style="5" customWidth="1"/>
    <col min="9" max="9" width="30.265625" style="108" bestFit="1" customWidth="1"/>
    <col min="10" max="10" width="14.86328125" style="109" customWidth="1"/>
    <col min="11" max="11" width="12.86328125" style="168" customWidth="1"/>
    <col min="12" max="12" width="11.73046875" style="42" customWidth="1"/>
    <col min="13" max="15" width="9.86328125" style="5" customWidth="1"/>
    <col min="16" max="18" width="9.86328125" style="10" customWidth="1"/>
    <col min="19" max="19" width="11.73046875" style="42" customWidth="1"/>
    <col min="20" max="26" width="7.59765625" style="5" customWidth="1"/>
    <col min="27" max="27" width="7.59765625" style="10" customWidth="1"/>
    <col min="28" max="28" width="7.59765625" style="5" customWidth="1"/>
    <col min="29" max="30" width="11.73046875" style="5" customWidth="1"/>
    <col min="31" max="31" width="11.73046875" style="41" customWidth="1"/>
    <col min="32" max="33" width="11.73046875" style="5" customWidth="1"/>
    <col min="34" max="16384" width="9.1328125" style="5"/>
  </cols>
  <sheetData>
    <row r="1" spans="1:28" ht="15.75" x14ac:dyDescent="0.5">
      <c r="A1" s="51" t="s">
        <v>202</v>
      </c>
      <c r="H1" s="6" t="s">
        <v>19</v>
      </c>
      <c r="L1" s="74" t="s">
        <v>224</v>
      </c>
      <c r="S1" s="74" t="s">
        <v>197</v>
      </c>
    </row>
    <row r="2" spans="1:28" ht="15" customHeight="1" x14ac:dyDescent="0.45">
      <c r="A2" s="22" t="s">
        <v>150</v>
      </c>
      <c r="H2" s="27"/>
      <c r="I2" s="108" t="s">
        <v>153</v>
      </c>
      <c r="J2" s="109" t="s">
        <v>52</v>
      </c>
      <c r="L2" s="43"/>
      <c r="M2" s="5" t="s">
        <v>225</v>
      </c>
      <c r="N2" s="5" t="s">
        <v>226</v>
      </c>
      <c r="O2" s="5" t="s">
        <v>181</v>
      </c>
      <c r="P2" s="10" t="s">
        <v>227</v>
      </c>
      <c r="Q2" s="10" t="s">
        <v>228</v>
      </c>
      <c r="R2" s="10" t="s">
        <v>229</v>
      </c>
      <c r="S2" s="43"/>
      <c r="T2" s="5" t="s">
        <v>233</v>
      </c>
      <c r="U2" s="29"/>
      <c r="W2" s="5" t="s">
        <v>234</v>
      </c>
      <c r="Z2" s="5" t="s">
        <v>231</v>
      </c>
    </row>
    <row r="3" spans="1:28" ht="15" customHeight="1" x14ac:dyDescent="0.45">
      <c r="A3" s="108" t="s">
        <v>66</v>
      </c>
      <c r="B3" s="113">
        <v>-4.2900000000000001E-2</v>
      </c>
      <c r="C3" s="110"/>
      <c r="D3" s="167"/>
      <c r="E3" s="167"/>
      <c r="F3" s="167"/>
      <c r="G3" s="114"/>
      <c r="H3" s="10" t="s">
        <v>150</v>
      </c>
      <c r="I3" s="109"/>
      <c r="L3" s="42" t="s">
        <v>112</v>
      </c>
      <c r="M3" s="65"/>
      <c r="N3" s="65"/>
      <c r="O3" s="65"/>
      <c r="S3" s="43"/>
      <c r="T3" s="5" t="s">
        <v>68</v>
      </c>
      <c r="U3" s="29" t="s">
        <v>78</v>
      </c>
      <c r="V3" s="5" t="s">
        <v>52</v>
      </c>
      <c r="W3" s="5" t="s">
        <v>68</v>
      </c>
      <c r="X3" s="5" t="s">
        <v>78</v>
      </c>
      <c r="Y3" s="5" t="s">
        <v>52</v>
      </c>
      <c r="Z3" s="5" t="s">
        <v>68</v>
      </c>
      <c r="AA3" s="10" t="s">
        <v>78</v>
      </c>
      <c r="AB3" s="5" t="s">
        <v>52</v>
      </c>
    </row>
    <row r="4" spans="1:28" x14ac:dyDescent="0.45">
      <c r="A4" s="108" t="s">
        <v>67</v>
      </c>
      <c r="B4" s="115">
        <v>3.3571</v>
      </c>
      <c r="H4" s="8" t="s">
        <v>66</v>
      </c>
      <c r="I4" s="110">
        <v>1.6299999999999999E-3</v>
      </c>
      <c r="J4" s="72">
        <v>1.2999999999999999E-3</v>
      </c>
      <c r="K4" s="72"/>
      <c r="L4" s="62" t="s">
        <v>66</v>
      </c>
      <c r="M4" s="69">
        <v>-0.2258</v>
      </c>
      <c r="N4" s="70">
        <v>-0.53849999999999998</v>
      </c>
      <c r="O4" s="71">
        <v>-0.4118</v>
      </c>
      <c r="P4" s="10">
        <v>-0.21210000000000001</v>
      </c>
      <c r="Q4" s="10">
        <v>-0.14000000000000001</v>
      </c>
      <c r="R4" s="10">
        <v>-0.25</v>
      </c>
      <c r="S4" s="43" t="s">
        <v>112</v>
      </c>
      <c r="U4" s="29"/>
    </row>
    <row r="5" spans="1:28" x14ac:dyDescent="0.45">
      <c r="A5" s="6"/>
      <c r="B5" s="49"/>
      <c r="C5" s="49"/>
      <c r="D5" s="49"/>
      <c r="E5" s="49"/>
      <c r="F5" s="49"/>
      <c r="G5" s="112"/>
      <c r="H5" s="8" t="s">
        <v>67</v>
      </c>
      <c r="I5" s="125">
        <v>0</v>
      </c>
      <c r="J5" s="126">
        <v>0.13913</v>
      </c>
      <c r="K5" s="126"/>
      <c r="L5" s="62" t="s">
        <v>67</v>
      </c>
      <c r="M5" s="69">
        <v>4.1161000000000003</v>
      </c>
      <c r="N5" s="70">
        <v>9.4537999999999993</v>
      </c>
      <c r="O5" s="71">
        <v>7.8353000000000002</v>
      </c>
      <c r="P5" s="10">
        <v>5.4333</v>
      </c>
      <c r="Q5" s="10">
        <v>4.1500000000000004</v>
      </c>
      <c r="R5" s="10">
        <v>7.4749999999999996</v>
      </c>
      <c r="S5" s="43" t="s">
        <v>66</v>
      </c>
      <c r="T5" s="5">
        <v>8.5000000000000006E-3</v>
      </c>
      <c r="U5" s="29">
        <v>3.73E-2</v>
      </c>
      <c r="V5" s="5">
        <v>2.7300000000000001E-2</v>
      </c>
      <c r="W5" s="5">
        <v>7.3000000000000001E-3</v>
      </c>
      <c r="X5" s="5">
        <v>5.1200000000000002E-2</v>
      </c>
      <c r="Y5" s="5">
        <v>2.1399999999999999E-2</v>
      </c>
      <c r="Z5" s="5">
        <v>0.01</v>
      </c>
      <c r="AA5" s="10">
        <v>3.15E-2</v>
      </c>
      <c r="AB5" s="5">
        <v>3.3300000000000003E-2</v>
      </c>
    </row>
    <row r="6" spans="1:28" x14ac:dyDescent="0.45">
      <c r="A6" s="6" t="s">
        <v>151</v>
      </c>
      <c r="H6" s="6" t="s">
        <v>88</v>
      </c>
      <c r="L6" s="74" t="s">
        <v>159</v>
      </c>
      <c r="S6" s="43" t="s">
        <v>67</v>
      </c>
      <c r="T6" s="5">
        <v>0</v>
      </c>
      <c r="U6" s="29">
        <v>-0.97729999999999995</v>
      </c>
      <c r="V6" s="5">
        <v>-0.52729999999999999</v>
      </c>
      <c r="W6" s="5">
        <v>0</v>
      </c>
      <c r="X6" s="5">
        <v>-1.76</v>
      </c>
      <c r="Y6" s="5">
        <v>-0.3286</v>
      </c>
      <c r="Z6" s="5">
        <v>0</v>
      </c>
      <c r="AA6" s="10">
        <v>-0.62460000000000004</v>
      </c>
      <c r="AB6" s="5">
        <v>-0.7</v>
      </c>
    </row>
    <row r="7" spans="1:28" x14ac:dyDescent="0.45">
      <c r="A7" s="5" t="s">
        <v>150</v>
      </c>
      <c r="B7" s="115"/>
      <c r="H7" s="68"/>
      <c r="I7" s="165" t="s">
        <v>153</v>
      </c>
      <c r="J7" s="169" t="s">
        <v>52</v>
      </c>
      <c r="K7" s="169"/>
      <c r="L7" s="179" t="s">
        <v>112</v>
      </c>
      <c r="M7" s="68"/>
      <c r="P7" s="23"/>
      <c r="Q7" s="23"/>
      <c r="R7" s="23"/>
      <c r="S7" s="291" t="s">
        <v>235</v>
      </c>
      <c r="T7" s="4"/>
      <c r="U7" s="29"/>
      <c r="V7" s="4"/>
      <c r="W7" s="4"/>
    </row>
    <row r="8" spans="1:28" x14ac:dyDescent="0.45">
      <c r="A8" s="65" t="s">
        <v>66</v>
      </c>
      <c r="B8" s="116">
        <v>-0.31</v>
      </c>
      <c r="H8" s="68" t="s">
        <v>112</v>
      </c>
      <c r="I8" s="170"/>
      <c r="J8" s="170"/>
      <c r="K8" s="170"/>
      <c r="L8" s="180" t="s">
        <v>66</v>
      </c>
      <c r="M8" s="68">
        <v>0.23330000000000001</v>
      </c>
      <c r="N8" s="63"/>
      <c r="O8" s="63"/>
      <c r="P8" s="23"/>
      <c r="Q8" s="23"/>
      <c r="R8" s="23"/>
      <c r="S8" s="291"/>
      <c r="T8" s="4" t="s">
        <v>68</v>
      </c>
      <c r="U8" s="29" t="s">
        <v>358</v>
      </c>
      <c r="V8" s="4"/>
      <c r="W8" s="4"/>
    </row>
    <row r="9" spans="1:28" x14ac:dyDescent="0.45">
      <c r="A9" s="65" t="s">
        <v>67</v>
      </c>
      <c r="B9" s="115">
        <v>1</v>
      </c>
      <c r="H9" s="165" t="s">
        <v>66</v>
      </c>
      <c r="I9" s="171">
        <v>5.3800000000000001E-2</v>
      </c>
      <c r="J9" s="171">
        <v>0.02</v>
      </c>
      <c r="K9" s="171"/>
      <c r="L9" s="180" t="s">
        <v>67</v>
      </c>
      <c r="M9" s="68">
        <v>-1.4</v>
      </c>
      <c r="N9" s="69"/>
      <c r="O9" s="69"/>
      <c r="S9" s="43" t="s">
        <v>112</v>
      </c>
      <c r="T9" s="4"/>
      <c r="U9" s="29"/>
      <c r="V9" s="4"/>
      <c r="W9" s="4"/>
    </row>
    <row r="10" spans="1:28" x14ac:dyDescent="0.45">
      <c r="H10" s="165" t="s">
        <v>67</v>
      </c>
      <c r="I10" s="171">
        <v>0</v>
      </c>
      <c r="J10" s="171">
        <v>0.44</v>
      </c>
      <c r="K10" s="171"/>
      <c r="L10" s="74" t="s">
        <v>356</v>
      </c>
      <c r="M10" s="69"/>
      <c r="N10" s="69"/>
      <c r="O10" s="69"/>
      <c r="P10" s="1"/>
      <c r="Q10" s="1"/>
      <c r="R10" s="1"/>
      <c r="S10" s="43" t="s">
        <v>66</v>
      </c>
      <c r="T10" s="4">
        <v>8.6E-3</v>
      </c>
      <c r="U10" s="29">
        <v>1.55E-2</v>
      </c>
      <c r="V10" s="4"/>
      <c r="W10" s="4"/>
    </row>
    <row r="11" spans="1:28" x14ac:dyDescent="0.45">
      <c r="A11" s="25" t="s">
        <v>178</v>
      </c>
      <c r="B11" s="49"/>
      <c r="H11" s="6" t="s">
        <v>190</v>
      </c>
      <c r="I11" s="171"/>
      <c r="J11" s="171"/>
      <c r="K11" s="171"/>
      <c r="L11" s="179"/>
      <c r="M11" s="5" t="s">
        <v>231</v>
      </c>
      <c r="N11" s="5" t="s">
        <v>232</v>
      </c>
      <c r="S11" s="43" t="s">
        <v>67</v>
      </c>
      <c r="T11" s="4">
        <v>0</v>
      </c>
      <c r="U11" s="29">
        <v>-0.55000000000000004</v>
      </c>
      <c r="V11" s="4"/>
      <c r="W11" s="4"/>
      <c r="AB11" s="33"/>
    </row>
    <row r="12" spans="1:28" x14ac:dyDescent="0.45">
      <c r="B12" s="108" t="s">
        <v>179</v>
      </c>
      <c r="C12" s="108" t="s">
        <v>180</v>
      </c>
      <c r="D12" s="165" t="s">
        <v>181</v>
      </c>
      <c r="H12" s="68"/>
      <c r="I12" s="5" t="s">
        <v>216</v>
      </c>
      <c r="J12" s="22" t="s">
        <v>68</v>
      </c>
      <c r="K12" s="172"/>
      <c r="L12" s="179" t="s">
        <v>230</v>
      </c>
      <c r="M12" s="68"/>
      <c r="N12" s="68"/>
      <c r="S12" s="291" t="s">
        <v>200</v>
      </c>
      <c r="T12" s="292"/>
      <c r="U12" s="292"/>
      <c r="V12" s="293"/>
      <c r="W12" s="292"/>
      <c r="X12" s="76"/>
      <c r="Y12" s="77"/>
      <c r="Z12" s="33"/>
      <c r="AA12" s="33"/>
      <c r="AB12" s="33"/>
    </row>
    <row r="13" spans="1:28" x14ac:dyDescent="0.45">
      <c r="A13" s="5" t="s">
        <v>150</v>
      </c>
      <c r="B13" s="110"/>
      <c r="C13" s="110"/>
      <c r="H13" s="5" t="s">
        <v>289</v>
      </c>
      <c r="I13" s="68"/>
      <c r="J13" s="68"/>
      <c r="K13" s="68"/>
      <c r="L13" s="180" t="s">
        <v>66</v>
      </c>
      <c r="M13" s="68">
        <v>-0.4</v>
      </c>
      <c r="N13" s="68">
        <v>-0.47499999999999998</v>
      </c>
      <c r="O13" s="10"/>
      <c r="P13" s="27"/>
      <c r="Q13" s="27"/>
      <c r="R13" s="27"/>
      <c r="S13" s="180"/>
      <c r="T13" s="76" t="s">
        <v>236</v>
      </c>
      <c r="U13" s="76" t="s">
        <v>237</v>
      </c>
      <c r="V13" s="77" t="s">
        <v>238</v>
      </c>
      <c r="W13" s="76"/>
      <c r="X13" s="76"/>
      <c r="Y13" s="77"/>
      <c r="Z13" s="33"/>
      <c r="AA13" s="33"/>
      <c r="AB13" s="33"/>
    </row>
    <row r="14" spans="1:28" x14ac:dyDescent="0.45">
      <c r="A14" s="108" t="s">
        <v>66</v>
      </c>
      <c r="B14" s="110">
        <v>1.25</v>
      </c>
      <c r="C14" s="110">
        <v>0.90910000000000002</v>
      </c>
      <c r="D14" s="165">
        <v>0.58819999999999995</v>
      </c>
      <c r="H14" s="167" t="s">
        <v>66</v>
      </c>
      <c r="I14" s="68">
        <v>-1.2500000000000001E-2</v>
      </c>
      <c r="J14" s="68"/>
      <c r="K14" s="68"/>
      <c r="L14" s="180" t="s">
        <v>67</v>
      </c>
      <c r="M14" s="68">
        <v>2.08</v>
      </c>
      <c r="N14" s="68">
        <v>2.2033</v>
      </c>
      <c r="O14" s="24"/>
      <c r="P14" s="24"/>
      <c r="Q14" s="24"/>
      <c r="R14" s="24"/>
      <c r="S14" s="182" t="s">
        <v>112</v>
      </c>
      <c r="T14" s="76"/>
      <c r="U14" s="76"/>
      <c r="V14" s="77"/>
      <c r="W14" s="76"/>
      <c r="X14" s="76"/>
      <c r="Y14" s="77"/>
      <c r="Z14" s="33"/>
      <c r="AA14" s="33"/>
      <c r="AB14" s="33"/>
    </row>
    <row r="15" spans="1:28" x14ac:dyDescent="0.45">
      <c r="A15" s="108" t="s">
        <v>67</v>
      </c>
      <c r="B15" s="117">
        <v>-0.25</v>
      </c>
      <c r="C15" s="110">
        <v>-0.36359999999999998</v>
      </c>
      <c r="D15" s="165">
        <v>-0.35289999999999999</v>
      </c>
      <c r="H15" s="167" t="s">
        <v>67</v>
      </c>
      <c r="I15" s="68">
        <v>0.35</v>
      </c>
      <c r="J15" s="68">
        <v>0.1</v>
      </c>
      <c r="K15" s="68"/>
      <c r="L15" s="62"/>
      <c r="M15" s="69"/>
      <c r="N15" s="69"/>
      <c r="O15" s="69"/>
      <c r="P15" s="177"/>
      <c r="Q15" s="177"/>
      <c r="R15" s="177"/>
      <c r="S15" s="180" t="s">
        <v>66</v>
      </c>
      <c r="T15" s="76">
        <v>0.02</v>
      </c>
      <c r="U15" s="76">
        <v>0.01</v>
      </c>
      <c r="V15" s="77">
        <v>6.7000000000000002E-3</v>
      </c>
      <c r="W15" s="76"/>
      <c r="X15" s="76"/>
      <c r="Y15" s="77"/>
      <c r="Z15" s="33"/>
      <c r="AA15" s="33"/>
      <c r="AB15" s="33"/>
    </row>
    <row r="16" spans="1:28" x14ac:dyDescent="0.45">
      <c r="H16" s="167" t="s">
        <v>69</v>
      </c>
      <c r="I16" s="68">
        <v>-1.1375</v>
      </c>
      <c r="J16" s="173">
        <v>-0.2</v>
      </c>
      <c r="K16" s="173"/>
      <c r="L16" s="62"/>
      <c r="M16" s="71"/>
      <c r="N16" s="69"/>
      <c r="O16" s="73"/>
      <c r="P16" s="178"/>
      <c r="Q16" s="178"/>
      <c r="R16" s="178"/>
      <c r="S16" s="180" t="s">
        <v>67</v>
      </c>
      <c r="T16" s="76">
        <v>0.2</v>
      </c>
      <c r="U16" s="76">
        <v>0.2</v>
      </c>
      <c r="V16" s="77">
        <v>0.19800000000000001</v>
      </c>
      <c r="W16" s="76"/>
      <c r="X16" s="76"/>
      <c r="Y16" s="77"/>
      <c r="Z16" s="33"/>
      <c r="AA16" s="33"/>
      <c r="AB16" s="33"/>
    </row>
    <row r="17" spans="1:28" x14ac:dyDescent="0.45">
      <c r="A17" s="6" t="s">
        <v>0</v>
      </c>
      <c r="C17" s="109"/>
      <c r="H17" s="6" t="s">
        <v>54</v>
      </c>
      <c r="L17" s="62"/>
      <c r="M17" s="1"/>
      <c r="N17" s="1"/>
      <c r="O17" s="10"/>
      <c r="P17" s="1"/>
      <c r="Q17" s="1"/>
      <c r="R17" s="1"/>
      <c r="S17" s="180"/>
      <c r="T17" s="76"/>
      <c r="U17" s="76"/>
      <c r="V17" s="77"/>
      <c r="W17" s="76"/>
      <c r="X17" s="76"/>
      <c r="Y17" s="77"/>
      <c r="Z17" s="33"/>
      <c r="AA17" s="33"/>
      <c r="AB17" s="33"/>
    </row>
    <row r="18" spans="1:28" x14ac:dyDescent="0.45">
      <c r="A18" s="5" t="s">
        <v>150</v>
      </c>
      <c r="C18" s="109"/>
      <c r="H18" s="167"/>
      <c r="I18" s="165" t="s">
        <v>153</v>
      </c>
      <c r="J18" s="167" t="s">
        <v>52</v>
      </c>
      <c r="K18" s="167"/>
      <c r="L18" s="74"/>
      <c r="M18" s="10"/>
      <c r="N18" s="10"/>
      <c r="O18" s="10"/>
      <c r="S18" s="180"/>
      <c r="T18" s="76"/>
      <c r="U18" s="76"/>
      <c r="V18" s="77"/>
      <c r="W18" s="76"/>
      <c r="X18" s="76"/>
      <c r="Y18" s="77"/>
      <c r="Z18" s="33"/>
      <c r="AA18" s="33"/>
      <c r="AB18" s="33"/>
    </row>
    <row r="19" spans="1:28" x14ac:dyDescent="0.45">
      <c r="B19" s="108" t="s">
        <v>183</v>
      </c>
      <c r="C19" s="108" t="s">
        <v>182</v>
      </c>
      <c r="H19" s="5" t="s">
        <v>152</v>
      </c>
      <c r="I19" s="68"/>
      <c r="J19" s="68"/>
      <c r="K19" s="68"/>
      <c r="L19" s="75"/>
      <c r="M19" s="10"/>
      <c r="N19" s="1"/>
      <c r="O19" s="27"/>
      <c r="P19" s="27"/>
      <c r="Q19" s="27"/>
      <c r="R19" s="27"/>
      <c r="S19" s="180"/>
      <c r="T19" s="76"/>
      <c r="U19" s="76"/>
      <c r="V19" s="77"/>
      <c r="W19" s="76"/>
      <c r="X19" s="76"/>
      <c r="Y19" s="77"/>
      <c r="Z19" s="33"/>
      <c r="AA19" s="33"/>
      <c r="AB19" s="33"/>
    </row>
    <row r="20" spans="1:28" x14ac:dyDescent="0.45">
      <c r="A20" s="65" t="s">
        <v>66</v>
      </c>
      <c r="B20" s="110">
        <v>1.5</v>
      </c>
      <c r="C20" s="110">
        <v>-1.4</v>
      </c>
      <c r="D20" s="167"/>
      <c r="E20" s="167"/>
      <c r="F20" s="167"/>
      <c r="H20" s="165" t="s">
        <v>66</v>
      </c>
      <c r="I20" s="68">
        <v>-1.0699999999999999E-2</v>
      </c>
      <c r="J20" s="68">
        <v>-0.06</v>
      </c>
      <c r="K20" s="68"/>
      <c r="L20" s="40"/>
      <c r="M20" s="24"/>
      <c r="N20" s="1"/>
      <c r="O20" s="24"/>
      <c r="P20" s="1"/>
      <c r="Q20" s="1"/>
      <c r="R20" s="1"/>
      <c r="S20" s="180"/>
      <c r="T20" s="76"/>
      <c r="U20" s="76"/>
      <c r="V20" s="77"/>
      <c r="W20" s="76"/>
      <c r="X20" s="76"/>
      <c r="Y20" s="77"/>
      <c r="Z20" s="33"/>
      <c r="AA20" s="33"/>
      <c r="AB20" s="33"/>
    </row>
    <row r="21" spans="1:28" x14ac:dyDescent="0.45">
      <c r="A21" s="65" t="s">
        <v>67</v>
      </c>
      <c r="B21" s="117">
        <v>-0.5</v>
      </c>
      <c r="C21" s="118">
        <v>2.4</v>
      </c>
      <c r="D21" s="118"/>
      <c r="E21" s="118"/>
      <c r="F21" s="118"/>
      <c r="H21" s="165" t="s">
        <v>67</v>
      </c>
      <c r="I21" s="68">
        <v>0.81240000000000001</v>
      </c>
      <c r="J21" s="173">
        <v>1.3</v>
      </c>
      <c r="K21" s="173"/>
      <c r="L21" s="62"/>
      <c r="M21" s="10"/>
      <c r="N21" s="1"/>
      <c r="O21" s="10"/>
      <c r="P21" s="1"/>
      <c r="Q21" s="1"/>
      <c r="R21" s="1"/>
      <c r="S21" s="180"/>
      <c r="T21" s="76"/>
      <c r="U21" s="76"/>
      <c r="V21" s="77"/>
      <c r="W21" s="76"/>
      <c r="X21" s="76"/>
      <c r="Y21" s="77"/>
      <c r="Z21" s="33"/>
      <c r="AA21" s="33"/>
      <c r="AB21" s="33"/>
    </row>
    <row r="22" spans="1:28" x14ac:dyDescent="0.45">
      <c r="A22" s="25" t="s">
        <v>204</v>
      </c>
      <c r="B22" s="49"/>
      <c r="C22" s="119"/>
      <c r="D22" s="119"/>
      <c r="E22" s="119"/>
      <c r="F22" s="119"/>
      <c r="H22" s="6" t="s">
        <v>113</v>
      </c>
      <c r="I22" s="49"/>
      <c r="J22" s="119"/>
      <c r="K22" s="119"/>
      <c r="L22" s="62"/>
      <c r="M22" s="1"/>
      <c r="N22" s="1"/>
      <c r="O22" s="1"/>
      <c r="P22" s="23"/>
      <c r="Q22" s="23"/>
      <c r="R22" s="23"/>
      <c r="S22" s="180"/>
      <c r="T22" s="76"/>
      <c r="U22" s="76"/>
      <c r="V22" s="77"/>
      <c r="W22" s="76"/>
      <c r="X22" s="76"/>
      <c r="Y22" s="77"/>
      <c r="Z22" s="33"/>
      <c r="AA22" s="33"/>
      <c r="AB22" s="33"/>
    </row>
    <row r="23" spans="1:28" x14ac:dyDescent="0.45">
      <c r="A23" s="21"/>
      <c r="B23" s="108" t="s">
        <v>52</v>
      </c>
      <c r="C23" s="109" t="s">
        <v>203</v>
      </c>
      <c r="D23" s="168"/>
      <c r="E23" s="168"/>
      <c r="F23" s="168"/>
      <c r="H23" s="5" t="s">
        <v>152</v>
      </c>
      <c r="I23" s="5"/>
      <c r="J23" s="119"/>
      <c r="K23" s="119"/>
      <c r="L23" s="62"/>
      <c r="M23" s="1"/>
      <c r="N23" s="1"/>
      <c r="O23" s="1"/>
      <c r="P23" s="1"/>
      <c r="Q23" s="1"/>
      <c r="R23" s="1"/>
      <c r="S23" s="180"/>
      <c r="T23" s="76"/>
      <c r="U23" s="76"/>
      <c r="V23" s="77"/>
      <c r="W23" s="76"/>
      <c r="X23" s="76"/>
      <c r="Y23" s="77"/>
      <c r="Z23" s="33"/>
      <c r="AA23" s="33"/>
      <c r="AB23" s="33"/>
    </row>
    <row r="24" spans="1:28" x14ac:dyDescent="0.45">
      <c r="A24" s="5" t="s">
        <v>112</v>
      </c>
      <c r="C24" s="109"/>
      <c r="D24" s="168"/>
      <c r="E24" s="168"/>
      <c r="F24" s="168"/>
      <c r="H24" s="165" t="s">
        <v>66</v>
      </c>
      <c r="I24" s="174">
        <v>-3.3300000000000003E-2</v>
      </c>
      <c r="J24" s="119"/>
      <c r="K24" s="119"/>
      <c r="L24" s="74"/>
      <c r="M24" s="10"/>
      <c r="N24" s="10"/>
      <c r="O24" s="10"/>
      <c r="S24" s="180"/>
      <c r="T24" s="76"/>
      <c r="U24" s="76"/>
      <c r="V24" s="77"/>
      <c r="W24" s="76"/>
      <c r="X24" s="76"/>
      <c r="Y24" s="77"/>
      <c r="Z24" s="33"/>
      <c r="AA24" s="33"/>
      <c r="AB24" s="33"/>
    </row>
    <row r="25" spans="1:28" x14ac:dyDescent="0.45">
      <c r="A25" s="3" t="s">
        <v>66</v>
      </c>
      <c r="B25" s="49">
        <v>0.16669999999999999</v>
      </c>
      <c r="C25" s="111">
        <v>1</v>
      </c>
      <c r="D25" s="166"/>
      <c r="E25" s="166"/>
      <c r="F25" s="166"/>
      <c r="H25" s="165" t="s">
        <v>67</v>
      </c>
      <c r="I25" s="174">
        <v>1</v>
      </c>
      <c r="J25" s="119"/>
      <c r="K25" s="119"/>
      <c r="L25" s="75"/>
      <c r="M25" s="10"/>
      <c r="N25" s="1"/>
      <c r="O25" s="27"/>
      <c r="P25" s="27"/>
      <c r="Q25" s="27"/>
      <c r="R25" s="27"/>
      <c r="S25" s="180"/>
      <c r="T25" s="76"/>
      <c r="U25" s="76"/>
      <c r="V25" s="77"/>
      <c r="W25" s="76"/>
      <c r="X25" s="76"/>
      <c r="Y25" s="77"/>
      <c r="Z25" s="33"/>
      <c r="AA25" s="33"/>
      <c r="AB25" s="33"/>
    </row>
    <row r="26" spans="1:28" x14ac:dyDescent="0.45">
      <c r="A26" s="3" t="s">
        <v>67</v>
      </c>
      <c r="B26" s="49">
        <v>0.3</v>
      </c>
      <c r="C26" s="111">
        <v>-1.7</v>
      </c>
      <c r="D26" s="166"/>
      <c r="E26" s="166"/>
      <c r="F26" s="166"/>
      <c r="H26" s="6" t="s">
        <v>211</v>
      </c>
      <c r="L26" s="40"/>
      <c r="M26" s="24"/>
      <c r="N26" s="24"/>
      <c r="O26" s="24"/>
      <c r="P26" s="24"/>
      <c r="Q26" s="24"/>
      <c r="R26" s="24"/>
      <c r="S26" s="180"/>
      <c r="T26" s="76"/>
      <c r="U26" s="76"/>
      <c r="V26" s="77"/>
      <c r="W26" s="76"/>
      <c r="X26" s="76"/>
      <c r="Y26" s="77"/>
      <c r="Z26" s="33"/>
      <c r="AA26" s="33"/>
      <c r="AB26" s="33"/>
    </row>
    <row r="27" spans="1:28" x14ac:dyDescent="0.45">
      <c r="A27" s="25" t="s">
        <v>205</v>
      </c>
      <c r="C27" s="109"/>
      <c r="D27" s="168"/>
      <c r="E27" s="168"/>
      <c r="F27" s="168"/>
      <c r="H27" s="167"/>
      <c r="I27" s="165" t="s">
        <v>153</v>
      </c>
      <c r="J27" s="167" t="s">
        <v>52</v>
      </c>
      <c r="K27" s="167"/>
      <c r="L27" s="62"/>
      <c r="M27" s="10"/>
      <c r="N27" s="1"/>
      <c r="O27" s="10"/>
      <c r="P27" s="1"/>
      <c r="Q27" s="1"/>
      <c r="R27" s="1"/>
      <c r="S27" s="180"/>
      <c r="T27" s="76"/>
      <c r="U27" s="76"/>
      <c r="V27" s="77"/>
      <c r="W27" s="76"/>
      <c r="X27" s="76"/>
      <c r="Y27" s="77"/>
      <c r="Z27" s="33"/>
      <c r="AA27" s="33"/>
      <c r="AB27" s="33"/>
    </row>
    <row r="28" spans="1:28" x14ac:dyDescent="0.45">
      <c r="A28" s="50"/>
      <c r="B28" s="49" t="s">
        <v>52</v>
      </c>
      <c r="C28" s="109" t="s">
        <v>203</v>
      </c>
      <c r="D28" s="168"/>
      <c r="E28" s="168"/>
      <c r="F28" s="168"/>
      <c r="H28" s="5" t="s">
        <v>152</v>
      </c>
      <c r="I28" s="68"/>
      <c r="J28" s="68"/>
      <c r="K28" s="68"/>
      <c r="L28" s="62"/>
      <c r="M28" s="1"/>
      <c r="N28" s="1"/>
      <c r="O28" s="1"/>
      <c r="P28" s="23"/>
      <c r="Q28" s="23"/>
      <c r="R28" s="23"/>
      <c r="S28" s="180"/>
      <c r="T28" s="76"/>
      <c r="U28" s="76"/>
      <c r="V28" s="77"/>
      <c r="W28" s="76"/>
      <c r="X28" s="76"/>
      <c r="Y28" s="77"/>
      <c r="Z28" s="33"/>
      <c r="AA28" s="33"/>
      <c r="AB28" s="33"/>
    </row>
    <row r="29" spans="1:28" x14ac:dyDescent="0.45">
      <c r="A29" s="4" t="s">
        <v>112</v>
      </c>
      <c r="B29" s="49"/>
      <c r="C29" s="111"/>
      <c r="D29" s="166"/>
      <c r="E29" s="166"/>
      <c r="F29" s="166"/>
      <c r="H29" s="167" t="s">
        <v>66</v>
      </c>
      <c r="I29" s="68">
        <v>-0.2</v>
      </c>
      <c r="J29" s="68">
        <v>-0.3</v>
      </c>
      <c r="K29" s="68"/>
      <c r="L29" s="62"/>
      <c r="M29" s="1"/>
      <c r="N29" s="1"/>
      <c r="O29" s="1"/>
      <c r="P29" s="1"/>
      <c r="Q29" s="1"/>
      <c r="R29" s="1"/>
      <c r="S29" s="180"/>
      <c r="T29" s="76"/>
      <c r="U29" s="76"/>
      <c r="V29" s="77"/>
      <c r="W29" s="76"/>
      <c r="X29" s="76"/>
      <c r="Y29" s="77"/>
      <c r="Z29" s="33"/>
      <c r="AA29" s="33"/>
      <c r="AB29" s="33"/>
    </row>
    <row r="30" spans="1:28" x14ac:dyDescent="0.45">
      <c r="A30" s="3" t="s">
        <v>66</v>
      </c>
      <c r="B30" s="49">
        <v>0.2</v>
      </c>
      <c r="C30" s="111">
        <v>1</v>
      </c>
      <c r="D30" s="166"/>
      <c r="E30" s="166"/>
      <c r="F30" s="166"/>
      <c r="H30" s="167" t="s">
        <v>67</v>
      </c>
      <c r="I30" s="68">
        <v>1.5</v>
      </c>
      <c r="J30" s="173">
        <v>1.9</v>
      </c>
      <c r="K30" s="173"/>
      <c r="L30" s="74"/>
      <c r="M30" s="1"/>
      <c r="N30" s="1"/>
      <c r="O30" s="24"/>
      <c r="P30" s="1"/>
      <c r="Q30" s="1"/>
      <c r="R30" s="1"/>
      <c r="S30" s="180"/>
      <c r="T30" s="76"/>
      <c r="U30" s="76"/>
      <c r="V30" s="77"/>
      <c r="W30" s="76"/>
      <c r="X30" s="76"/>
      <c r="Y30" s="77"/>
      <c r="Z30" s="33"/>
      <c r="AA30" s="33"/>
      <c r="AB30" s="33"/>
    </row>
    <row r="31" spans="1:28" x14ac:dyDescent="0.45">
      <c r="A31" s="3" t="s">
        <v>67</v>
      </c>
      <c r="B31" s="49">
        <v>0.22</v>
      </c>
      <c r="C31" s="111">
        <v>-1.7</v>
      </c>
      <c r="D31" s="166"/>
      <c r="E31" s="166"/>
      <c r="F31" s="166"/>
      <c r="H31" s="6" t="s">
        <v>154</v>
      </c>
      <c r="J31" s="119"/>
      <c r="K31" s="119"/>
      <c r="L31" s="75"/>
      <c r="M31" s="10"/>
      <c r="N31" s="1"/>
      <c r="O31" s="27"/>
      <c r="P31" s="27"/>
      <c r="Q31" s="27"/>
      <c r="R31" s="27"/>
      <c r="S31" s="180"/>
      <c r="T31" s="76"/>
      <c r="U31" s="76"/>
      <c r="V31" s="77"/>
      <c r="W31" s="76"/>
      <c r="X31" s="76"/>
      <c r="Y31" s="77"/>
      <c r="Z31" s="33"/>
      <c r="AA31" s="33"/>
      <c r="AB31" s="33"/>
    </row>
    <row r="32" spans="1:28" x14ac:dyDescent="0.45">
      <c r="A32" s="25" t="s">
        <v>206</v>
      </c>
      <c r="C32" s="109"/>
      <c r="D32" s="168"/>
      <c r="E32" s="168"/>
      <c r="F32" s="168"/>
      <c r="H32" s="5" t="s">
        <v>152</v>
      </c>
      <c r="I32" s="68"/>
      <c r="J32" s="111"/>
      <c r="K32" s="166"/>
      <c r="L32" s="40"/>
      <c r="M32" s="24"/>
      <c r="N32" s="24"/>
      <c r="O32" s="24"/>
      <c r="P32" s="24"/>
      <c r="Q32" s="24"/>
      <c r="R32" s="24"/>
      <c r="S32" s="180"/>
      <c r="T32" s="76"/>
      <c r="U32" s="76"/>
      <c r="V32" s="77"/>
      <c r="W32" s="76"/>
      <c r="X32" s="76"/>
      <c r="Y32" s="77"/>
      <c r="Z32" s="33"/>
      <c r="AA32" s="33"/>
      <c r="AB32" s="33"/>
    </row>
    <row r="33" spans="1:28" x14ac:dyDescent="0.45">
      <c r="B33" s="108" t="s">
        <v>52</v>
      </c>
      <c r="C33" s="108" t="s">
        <v>203</v>
      </c>
      <c r="H33" s="167" t="s">
        <v>66</v>
      </c>
      <c r="I33" s="68">
        <v>-0.1154</v>
      </c>
      <c r="J33" s="111"/>
      <c r="K33" s="166"/>
      <c r="L33" s="62"/>
      <c r="M33" s="10"/>
      <c r="N33" s="1"/>
      <c r="O33" s="1"/>
      <c r="S33" s="180"/>
      <c r="T33" s="76"/>
      <c r="U33" s="76"/>
      <c r="V33" s="77"/>
      <c r="W33" s="76"/>
      <c r="X33" s="76"/>
      <c r="Y33" s="77"/>
      <c r="Z33" s="33"/>
      <c r="AA33" s="33"/>
      <c r="AB33" s="33"/>
    </row>
    <row r="34" spans="1:28" x14ac:dyDescent="0.45">
      <c r="A34" s="5" t="s">
        <v>112</v>
      </c>
      <c r="H34" s="167" t="s">
        <v>67</v>
      </c>
      <c r="I34" s="68">
        <v>1.3923000000000001</v>
      </c>
      <c r="J34" s="111"/>
      <c r="K34" s="166"/>
      <c r="L34" s="62"/>
      <c r="M34" s="1"/>
      <c r="N34" s="1"/>
      <c r="O34" s="23"/>
      <c r="P34" s="1"/>
      <c r="Q34" s="1"/>
      <c r="R34" s="1"/>
      <c r="S34" s="180"/>
      <c r="T34" s="76"/>
      <c r="U34" s="76"/>
      <c r="V34" s="77"/>
      <c r="W34" s="76"/>
      <c r="X34" s="76"/>
      <c r="Y34" s="77"/>
      <c r="Z34" s="33"/>
      <c r="AA34" s="33"/>
      <c r="AB34" s="33"/>
    </row>
    <row r="35" spans="1:28" x14ac:dyDescent="0.45">
      <c r="A35" s="5" t="s">
        <v>66</v>
      </c>
      <c r="B35" s="108">
        <v>6.9800000000000001E-2</v>
      </c>
      <c r="C35" s="108">
        <v>1</v>
      </c>
      <c r="H35" s="6" t="s">
        <v>212</v>
      </c>
      <c r="I35" s="68"/>
      <c r="J35" s="166"/>
      <c r="K35" s="166"/>
      <c r="L35" s="62"/>
      <c r="M35" s="1"/>
      <c r="N35" s="1"/>
      <c r="O35" s="1"/>
      <c r="P35" s="1"/>
      <c r="Q35" s="1"/>
      <c r="R35" s="1"/>
      <c r="S35" s="180"/>
      <c r="T35" s="76"/>
      <c r="U35" s="76"/>
      <c r="V35" s="77"/>
      <c r="W35" s="76"/>
      <c r="X35" s="76"/>
      <c r="Y35" s="77"/>
      <c r="Z35" s="33"/>
      <c r="AA35" s="33"/>
      <c r="AB35" s="33"/>
    </row>
    <row r="36" spans="1:28" x14ac:dyDescent="0.45">
      <c r="A36" s="5" t="s">
        <v>67</v>
      </c>
      <c r="B36" s="108">
        <v>0.53259999999999996</v>
      </c>
      <c r="C36" s="108">
        <v>-1.7</v>
      </c>
      <c r="H36" s="68"/>
      <c r="I36" s="167" t="s">
        <v>80</v>
      </c>
      <c r="J36" s="167" t="s">
        <v>155</v>
      </c>
      <c r="K36" s="167"/>
      <c r="L36" s="74"/>
      <c r="M36" s="10"/>
      <c r="N36" s="10"/>
      <c r="O36" s="10"/>
      <c r="S36" s="180"/>
      <c r="T36" s="76"/>
      <c r="U36" s="76"/>
      <c r="V36" s="77"/>
      <c r="W36" s="76"/>
      <c r="X36" s="76"/>
      <c r="Y36" s="77"/>
      <c r="Z36" s="33"/>
      <c r="AA36" s="33"/>
      <c r="AB36" s="33"/>
    </row>
    <row r="37" spans="1:28" x14ac:dyDescent="0.45">
      <c r="A37" s="25" t="s">
        <v>207</v>
      </c>
      <c r="H37" s="5" t="s">
        <v>150</v>
      </c>
      <c r="I37" s="68"/>
      <c r="J37" s="68"/>
      <c r="K37" s="68"/>
      <c r="L37" s="75"/>
      <c r="M37" s="10"/>
      <c r="N37" s="1"/>
      <c r="O37" s="27"/>
      <c r="P37" s="27"/>
      <c r="Q37" s="27"/>
      <c r="R37" s="27"/>
      <c r="S37" s="180"/>
      <c r="T37" s="76"/>
      <c r="U37" s="76"/>
      <c r="V37" s="77"/>
      <c r="W37" s="76"/>
      <c r="X37" s="76"/>
      <c r="Y37" s="77"/>
      <c r="Z37" s="33"/>
      <c r="AA37" s="33"/>
      <c r="AB37" s="33"/>
    </row>
    <row r="38" spans="1:28" x14ac:dyDescent="0.45">
      <c r="B38" s="108" t="s">
        <v>153</v>
      </c>
      <c r="C38" s="108" t="s">
        <v>52</v>
      </c>
      <c r="H38" s="167" t="s">
        <v>66</v>
      </c>
      <c r="I38" s="68">
        <v>0.6</v>
      </c>
      <c r="J38" s="68">
        <v>-0.3</v>
      </c>
      <c r="K38" s="68"/>
      <c r="L38" s="40"/>
      <c r="M38" s="24"/>
      <c r="N38" s="10"/>
      <c r="O38" s="1"/>
      <c r="P38" s="24"/>
      <c r="Q38" s="24"/>
      <c r="R38" s="24"/>
      <c r="S38" s="180"/>
      <c r="T38" s="76"/>
      <c r="U38" s="76"/>
      <c r="V38" s="77"/>
      <c r="W38" s="76"/>
      <c r="X38" s="76"/>
      <c r="Y38" s="77"/>
      <c r="Z38" s="33"/>
      <c r="AA38" s="33"/>
      <c r="AB38" s="33"/>
    </row>
    <row r="39" spans="1:28" x14ac:dyDescent="0.45">
      <c r="A39" s="5" t="s">
        <v>112</v>
      </c>
      <c r="H39" s="167" t="s">
        <v>67</v>
      </c>
      <c r="I39" s="68">
        <v>-1.1000000000000001</v>
      </c>
      <c r="J39" s="173">
        <v>2.5</v>
      </c>
      <c r="K39" s="173"/>
      <c r="L39" s="62"/>
      <c r="M39" s="10"/>
      <c r="N39" s="1"/>
      <c r="O39" s="10"/>
      <c r="P39" s="1"/>
      <c r="Q39" s="1"/>
      <c r="R39" s="1"/>
      <c r="S39" s="180"/>
      <c r="T39" s="76"/>
      <c r="U39" s="76"/>
      <c r="V39" s="77"/>
      <c r="W39" s="76"/>
      <c r="X39" s="76"/>
      <c r="Y39" s="77"/>
      <c r="Z39" s="33"/>
      <c r="AA39" s="33"/>
      <c r="AB39" s="33"/>
    </row>
    <row r="40" spans="1:28" x14ac:dyDescent="0.45">
      <c r="A40" s="5" t="s">
        <v>66</v>
      </c>
      <c r="B40" s="108">
        <v>2</v>
      </c>
      <c r="C40" s="108">
        <v>0.375</v>
      </c>
      <c r="H40" s="65"/>
      <c r="I40" s="127"/>
      <c r="J40" s="111"/>
      <c r="K40" s="166"/>
      <c r="L40" s="62"/>
      <c r="M40" s="10"/>
      <c r="N40" s="1"/>
      <c r="O40" s="1"/>
      <c r="P40" s="23"/>
      <c r="Q40" s="23"/>
      <c r="R40" s="23"/>
      <c r="S40" s="180"/>
      <c r="T40" s="76"/>
      <c r="U40" s="76"/>
      <c r="V40" s="77"/>
      <c r="W40" s="76"/>
      <c r="X40" s="76"/>
      <c r="Y40" s="77"/>
      <c r="Z40" s="33"/>
      <c r="AA40" s="33"/>
      <c r="AB40" s="33"/>
    </row>
    <row r="41" spans="1:28" x14ac:dyDescent="0.45">
      <c r="A41" s="5" t="s">
        <v>67</v>
      </c>
      <c r="B41" s="108">
        <v>-2.1</v>
      </c>
      <c r="C41" s="108">
        <v>0.17499999999999999</v>
      </c>
      <c r="H41" s="6" t="s">
        <v>209</v>
      </c>
      <c r="I41" s="49"/>
      <c r="J41" s="119"/>
      <c r="K41" s="119"/>
      <c r="L41" s="62"/>
      <c r="M41" s="1"/>
      <c r="N41" s="1"/>
      <c r="O41" s="1"/>
      <c r="P41" s="1"/>
      <c r="Q41" s="1"/>
      <c r="R41" s="1"/>
      <c r="S41" s="180"/>
      <c r="T41" s="76"/>
      <c r="U41" s="76"/>
      <c r="V41" s="77"/>
      <c r="W41" s="76"/>
      <c r="X41" s="76"/>
      <c r="Y41" s="77"/>
      <c r="Z41" s="33"/>
      <c r="AA41" s="33"/>
      <c r="AB41" s="33"/>
    </row>
    <row r="42" spans="1:28" x14ac:dyDescent="0.45">
      <c r="A42" s="6" t="s">
        <v>208</v>
      </c>
      <c r="H42" s="68"/>
      <c r="I42" s="167" t="s">
        <v>80</v>
      </c>
      <c r="J42" s="167" t="s">
        <v>155</v>
      </c>
      <c r="K42" s="167"/>
      <c r="L42" s="74"/>
      <c r="M42" s="10"/>
      <c r="N42" s="10"/>
      <c r="O42" s="10"/>
      <c r="S42" s="180"/>
      <c r="T42" s="76"/>
      <c r="U42" s="76"/>
      <c r="V42" s="77"/>
      <c r="W42" s="76"/>
      <c r="X42" s="76"/>
      <c r="Y42" s="77"/>
      <c r="Z42" s="33"/>
      <c r="AA42" s="33"/>
      <c r="AB42" s="33"/>
    </row>
    <row r="43" spans="1:28" x14ac:dyDescent="0.45">
      <c r="B43" s="485" t="s">
        <v>85</v>
      </c>
      <c r="C43" s="485"/>
      <c r="D43" s="485"/>
      <c r="E43" s="485" t="s">
        <v>86</v>
      </c>
      <c r="F43" s="485"/>
      <c r="G43" s="486"/>
      <c r="H43" s="5" t="s">
        <v>150</v>
      </c>
      <c r="I43" s="68"/>
      <c r="J43" s="68"/>
      <c r="K43" s="68"/>
      <c r="L43" s="75"/>
      <c r="M43" s="10"/>
      <c r="N43" s="1"/>
      <c r="O43" s="27"/>
      <c r="P43" s="27"/>
      <c r="Q43" s="27"/>
      <c r="R43" s="27"/>
      <c r="S43" s="180"/>
      <c r="T43" s="76"/>
      <c r="U43" s="76"/>
      <c r="V43" s="77"/>
      <c r="W43" s="76"/>
      <c r="X43" s="76"/>
      <c r="Y43" s="77"/>
      <c r="Z43" s="33"/>
      <c r="AA43" s="33"/>
      <c r="AB43" s="33"/>
    </row>
    <row r="44" spans="1:28" x14ac:dyDescent="0.45">
      <c r="B44" s="108" t="s">
        <v>68</v>
      </c>
      <c r="C44" s="108" t="s">
        <v>78</v>
      </c>
      <c r="D44" s="165" t="s">
        <v>52</v>
      </c>
      <c r="E44" s="165" t="s">
        <v>68</v>
      </c>
      <c r="F44" s="165" t="s">
        <v>78</v>
      </c>
      <c r="G44" s="64" t="s">
        <v>52</v>
      </c>
      <c r="H44" s="167" t="s">
        <v>66</v>
      </c>
      <c r="I44" s="175">
        <v>1</v>
      </c>
      <c r="J44" s="175">
        <v>-0.3</v>
      </c>
      <c r="K44" s="175"/>
      <c r="L44" s="40"/>
      <c r="M44" s="24"/>
      <c r="N44" s="24"/>
      <c r="O44" s="24"/>
      <c r="P44" s="24"/>
      <c r="Q44" s="24"/>
      <c r="R44" s="24"/>
      <c r="S44" s="180"/>
      <c r="T44" s="76"/>
      <c r="U44" s="76"/>
      <c r="V44" s="77"/>
      <c r="W44" s="76"/>
      <c r="X44" s="76"/>
      <c r="Y44" s="77"/>
      <c r="Z44" s="33"/>
      <c r="AA44" s="33"/>
      <c r="AB44" s="33"/>
    </row>
    <row r="45" spans="1:28" x14ac:dyDescent="0.45">
      <c r="A45" s="5" t="s">
        <v>150</v>
      </c>
      <c r="H45" s="167" t="s">
        <v>67</v>
      </c>
      <c r="I45" s="175">
        <v>-3</v>
      </c>
      <c r="J45" s="175">
        <v>2.8</v>
      </c>
      <c r="K45" s="175"/>
      <c r="L45" s="62"/>
      <c r="M45" s="10"/>
      <c r="N45" s="1"/>
      <c r="O45" s="10"/>
      <c r="P45" s="1"/>
      <c r="Q45" s="1"/>
      <c r="R45" s="1"/>
      <c r="S45" s="180"/>
      <c r="T45" s="76"/>
      <c r="U45" s="76"/>
      <c r="V45" s="77"/>
      <c r="W45" s="76"/>
      <c r="X45" s="76"/>
      <c r="Y45" s="77"/>
      <c r="Z45" s="33"/>
      <c r="AA45" s="33"/>
      <c r="AB45" s="33"/>
    </row>
    <row r="46" spans="1:28" x14ac:dyDescent="0.45">
      <c r="A46" s="5" t="s">
        <v>66</v>
      </c>
      <c r="B46" s="108">
        <v>0.03</v>
      </c>
      <c r="C46" s="108">
        <v>0.01</v>
      </c>
      <c r="D46" s="165">
        <v>6.0000000000000001E-3</v>
      </c>
      <c r="E46" s="165">
        <v>0.06</v>
      </c>
      <c r="F46" s="165">
        <v>0.02</v>
      </c>
      <c r="G46" s="64">
        <v>1.2E-2</v>
      </c>
      <c r="H46" s="6" t="s">
        <v>210</v>
      </c>
      <c r="I46" s="175"/>
      <c r="J46" s="175"/>
      <c r="K46" s="175"/>
      <c r="L46" s="62"/>
      <c r="M46" s="1"/>
      <c r="N46" s="1"/>
      <c r="O46" s="1"/>
      <c r="P46" s="23"/>
      <c r="Q46" s="23"/>
      <c r="R46" s="23"/>
      <c r="S46" s="180"/>
      <c r="T46" s="76"/>
      <c r="U46" s="76"/>
      <c r="V46" s="77"/>
      <c r="W46" s="76"/>
      <c r="X46" s="76"/>
      <c r="Y46" s="77"/>
      <c r="Z46" s="33"/>
      <c r="AA46" s="33"/>
      <c r="AB46" s="33"/>
    </row>
    <row r="47" spans="1:28" x14ac:dyDescent="0.45">
      <c r="A47" s="5" t="s">
        <v>67</v>
      </c>
      <c r="B47" s="108">
        <v>0</v>
      </c>
      <c r="C47" s="108">
        <v>0.2</v>
      </c>
      <c r="D47" s="165">
        <v>0.4</v>
      </c>
      <c r="E47" s="165">
        <v>0</v>
      </c>
      <c r="F47" s="165">
        <v>0.2</v>
      </c>
      <c r="G47" s="64">
        <v>0.4</v>
      </c>
      <c r="H47" s="68"/>
      <c r="I47" s="167" t="s">
        <v>80</v>
      </c>
      <c r="J47" s="167" t="s">
        <v>155</v>
      </c>
      <c r="K47" s="167"/>
      <c r="L47" s="62"/>
      <c r="M47" s="1"/>
      <c r="N47" s="1"/>
      <c r="O47" s="1"/>
      <c r="P47" s="1"/>
      <c r="Q47" s="1"/>
      <c r="R47" s="1"/>
      <c r="S47" s="180"/>
      <c r="T47" s="76"/>
      <c r="U47" s="76"/>
      <c r="V47" s="77"/>
      <c r="W47" s="76"/>
      <c r="X47" s="76"/>
      <c r="Y47" s="77"/>
      <c r="Z47" s="33"/>
      <c r="AA47" s="33"/>
      <c r="AB47" s="33"/>
    </row>
    <row r="48" spans="1:28" x14ac:dyDescent="0.45">
      <c r="A48" s="6" t="s">
        <v>252</v>
      </c>
      <c r="H48" s="5" t="s">
        <v>150</v>
      </c>
      <c r="I48" s="68"/>
      <c r="J48" s="68"/>
      <c r="K48" s="68"/>
      <c r="L48" s="74"/>
      <c r="M48" s="10"/>
      <c r="N48" s="10"/>
      <c r="O48" s="10"/>
      <c r="S48" s="180"/>
      <c r="T48" s="76"/>
      <c r="U48" s="76"/>
      <c r="V48" s="77"/>
      <c r="W48" s="76"/>
      <c r="X48" s="76"/>
      <c r="Y48" s="77"/>
      <c r="Z48" s="33"/>
      <c r="AA48" s="33"/>
      <c r="AB48" s="33"/>
    </row>
    <row r="49" spans="1:28" x14ac:dyDescent="0.45">
      <c r="A49" s="68"/>
      <c r="B49" s="167" t="s">
        <v>80</v>
      </c>
      <c r="C49" s="167" t="s">
        <v>155</v>
      </c>
      <c r="H49" s="165" t="s">
        <v>66</v>
      </c>
      <c r="I49" s="68">
        <v>0.42859999999999998</v>
      </c>
      <c r="J49" s="68">
        <v>-0.3</v>
      </c>
      <c r="K49" s="68"/>
      <c r="L49" s="75"/>
      <c r="M49" s="10"/>
      <c r="N49" s="1"/>
      <c r="O49" s="27"/>
      <c r="P49" s="27"/>
      <c r="Q49" s="27"/>
      <c r="R49" s="27"/>
      <c r="S49" s="180"/>
      <c r="T49" s="76"/>
      <c r="U49" s="76"/>
      <c r="V49" s="77"/>
      <c r="W49" s="76"/>
      <c r="X49" s="76"/>
      <c r="Y49" s="77"/>
      <c r="Z49" s="33"/>
      <c r="AA49" s="33"/>
      <c r="AB49" s="33"/>
    </row>
    <row r="50" spans="1:28" x14ac:dyDescent="0.45">
      <c r="A50" s="5" t="s">
        <v>150</v>
      </c>
      <c r="B50" s="68"/>
      <c r="C50" s="68"/>
      <c r="H50" s="165" t="s">
        <v>67</v>
      </c>
      <c r="I50" s="68">
        <v>-0.5857</v>
      </c>
      <c r="J50" s="68">
        <v>2.5</v>
      </c>
      <c r="K50" s="68"/>
      <c r="L50" s="40"/>
      <c r="M50" s="24"/>
      <c r="N50" s="24"/>
      <c r="O50" s="24"/>
      <c r="P50" s="24"/>
      <c r="Q50" s="24"/>
      <c r="R50" s="24"/>
      <c r="S50" s="180"/>
      <c r="T50" s="76"/>
      <c r="U50" s="76"/>
      <c r="V50" s="77"/>
      <c r="W50" s="76"/>
      <c r="X50" s="76"/>
      <c r="Y50" s="77"/>
      <c r="Z50" s="33"/>
      <c r="AA50" s="33"/>
      <c r="AB50" s="33"/>
    </row>
    <row r="51" spans="1:28" x14ac:dyDescent="0.45">
      <c r="A51" s="188" t="s">
        <v>66</v>
      </c>
      <c r="B51" s="68">
        <v>1.1111</v>
      </c>
      <c r="C51" s="68">
        <v>-1.1111</v>
      </c>
      <c r="H51" s="6" t="s">
        <v>46</v>
      </c>
      <c r="I51" s="60"/>
      <c r="J51" s="129"/>
      <c r="K51" s="129"/>
      <c r="L51" s="62"/>
      <c r="M51" s="10"/>
      <c r="N51" s="1"/>
      <c r="O51" s="10"/>
      <c r="P51" s="1"/>
      <c r="Q51" s="1"/>
      <c r="R51" s="1"/>
      <c r="S51" s="180"/>
      <c r="T51" s="76"/>
      <c r="U51" s="76"/>
      <c r="V51" s="77"/>
      <c r="W51" s="76"/>
      <c r="X51" s="76"/>
      <c r="Y51" s="77"/>
      <c r="Z51" s="33"/>
      <c r="AA51" s="33"/>
      <c r="AB51" s="33"/>
    </row>
    <row r="52" spans="1:28" x14ac:dyDescent="0.45">
      <c r="A52" s="188" t="s">
        <v>67</v>
      </c>
      <c r="B52" s="68">
        <v>0</v>
      </c>
      <c r="C52" s="173">
        <v>2.2222</v>
      </c>
      <c r="H52" s="167"/>
      <c r="I52" s="165" t="s">
        <v>153</v>
      </c>
      <c r="J52" s="167" t="s">
        <v>52</v>
      </c>
      <c r="K52" s="167"/>
      <c r="L52" s="62"/>
      <c r="M52" s="1"/>
      <c r="N52" s="1"/>
      <c r="O52" s="1"/>
      <c r="P52" s="23"/>
      <c r="Q52" s="23"/>
      <c r="R52" s="23"/>
      <c r="S52" s="180"/>
      <c r="T52" s="76"/>
      <c r="U52" s="76"/>
      <c r="V52" s="77"/>
      <c r="W52" s="76"/>
      <c r="X52" s="76"/>
      <c r="Y52" s="77"/>
      <c r="Z52" s="33"/>
      <c r="AA52" s="33"/>
      <c r="AB52" s="33"/>
    </row>
    <row r="53" spans="1:28" x14ac:dyDescent="0.45">
      <c r="H53" s="5" t="s">
        <v>152</v>
      </c>
      <c r="I53" s="68"/>
      <c r="J53" s="68"/>
      <c r="K53" s="68"/>
      <c r="L53" s="62"/>
      <c r="M53" s="1"/>
      <c r="N53" s="1"/>
      <c r="O53" s="1"/>
      <c r="P53" s="1"/>
      <c r="Q53" s="1"/>
      <c r="R53" s="1"/>
      <c r="S53" s="180"/>
      <c r="T53" s="76"/>
      <c r="U53" s="76"/>
      <c r="V53" s="77"/>
      <c r="W53" s="76"/>
      <c r="X53" s="76"/>
      <c r="Y53" s="77"/>
      <c r="Z53" s="33"/>
      <c r="AA53" s="33"/>
      <c r="AB53" s="33"/>
    </row>
    <row r="54" spans="1:28" x14ac:dyDescent="0.45">
      <c r="H54" s="165" t="s">
        <v>66</v>
      </c>
      <c r="I54" s="68">
        <v>0.58330000000000004</v>
      </c>
      <c r="J54" s="68">
        <v>0.3</v>
      </c>
      <c r="K54" s="68"/>
      <c r="L54" s="40"/>
      <c r="M54" s="24"/>
      <c r="N54" s="1"/>
      <c r="O54" s="1"/>
      <c r="P54" s="1"/>
      <c r="Q54" s="1"/>
      <c r="R54" s="1"/>
      <c r="S54" s="180"/>
      <c r="T54" s="76"/>
      <c r="U54" s="76"/>
      <c r="V54" s="77"/>
      <c r="W54" s="76"/>
      <c r="X54" s="76"/>
      <c r="Y54" s="77"/>
      <c r="Z54" s="33"/>
      <c r="AA54" s="33"/>
      <c r="AB54" s="33"/>
    </row>
    <row r="55" spans="1:28" x14ac:dyDescent="0.45">
      <c r="H55" s="165" t="s">
        <v>67</v>
      </c>
      <c r="I55" s="68">
        <v>-0.58330000000000004</v>
      </c>
      <c r="J55" s="68">
        <v>0.04</v>
      </c>
      <c r="K55" s="68"/>
      <c r="L55" s="62"/>
      <c r="M55" s="1"/>
      <c r="N55" s="1"/>
      <c r="O55" s="1"/>
      <c r="P55" s="1"/>
      <c r="Q55" s="1"/>
      <c r="R55" s="1"/>
      <c r="S55" s="180"/>
      <c r="T55" s="76"/>
      <c r="U55" s="76"/>
      <c r="V55" s="77"/>
      <c r="W55" s="76"/>
      <c r="X55" s="76"/>
      <c r="Y55" s="77"/>
      <c r="Z55" s="33"/>
      <c r="AA55" s="33"/>
      <c r="AB55" s="33"/>
    </row>
    <row r="56" spans="1:28" x14ac:dyDescent="0.45">
      <c r="H56" s="60"/>
      <c r="J56" s="128"/>
      <c r="K56" s="128"/>
      <c r="L56" s="62"/>
      <c r="M56" s="1"/>
      <c r="N56" s="1"/>
      <c r="O56" s="1"/>
      <c r="P56" s="1"/>
      <c r="Q56" s="1"/>
      <c r="R56" s="1"/>
      <c r="S56" s="180"/>
      <c r="T56" s="76"/>
      <c r="U56" s="76"/>
      <c r="V56" s="77"/>
      <c r="W56" s="76"/>
      <c r="X56" s="76"/>
      <c r="Y56" s="77"/>
      <c r="Z56" s="33"/>
      <c r="AA56" s="33"/>
      <c r="AB56" s="33"/>
    </row>
    <row r="57" spans="1:28" x14ac:dyDescent="0.45">
      <c r="H57" s="25" t="s">
        <v>213</v>
      </c>
      <c r="I57" s="49"/>
      <c r="J57" s="111"/>
      <c r="K57" s="166"/>
      <c r="L57" s="62"/>
      <c r="M57" s="1"/>
      <c r="N57" s="1"/>
      <c r="O57" s="1"/>
      <c r="P57" s="1"/>
      <c r="Q57" s="1"/>
      <c r="R57" s="1"/>
      <c r="S57" s="180"/>
      <c r="T57" s="76"/>
      <c r="U57" s="76"/>
      <c r="V57" s="77"/>
      <c r="W57" s="76"/>
      <c r="X57" s="76"/>
      <c r="Y57" s="77"/>
      <c r="Z57" s="33"/>
      <c r="AA57" s="33"/>
      <c r="AB57" s="33"/>
    </row>
    <row r="58" spans="1:28" x14ac:dyDescent="0.45">
      <c r="H58" s="22" t="s">
        <v>77</v>
      </c>
      <c r="L58" s="74"/>
      <c r="M58" s="10"/>
      <c r="N58" s="10"/>
      <c r="O58" s="10"/>
      <c r="S58" s="180"/>
      <c r="T58" s="76"/>
      <c r="U58" s="76"/>
      <c r="V58" s="77"/>
      <c r="W58" s="76"/>
      <c r="X58" s="76"/>
      <c r="Y58" s="77"/>
      <c r="Z58" s="33"/>
      <c r="AA58" s="33"/>
      <c r="AB58" s="33"/>
    </row>
    <row r="59" spans="1:28" x14ac:dyDescent="0.45">
      <c r="I59" s="110" t="s">
        <v>80</v>
      </c>
      <c r="J59" s="72" t="s">
        <v>155</v>
      </c>
      <c r="K59" s="72"/>
      <c r="L59" s="75"/>
      <c r="M59" s="10"/>
      <c r="N59" s="10"/>
      <c r="O59" s="10"/>
      <c r="S59" s="180"/>
      <c r="T59" s="76"/>
      <c r="U59" s="76"/>
      <c r="V59" s="77"/>
      <c r="W59" s="76"/>
      <c r="X59" s="76"/>
      <c r="Y59" s="77"/>
      <c r="Z59" s="33"/>
      <c r="AA59" s="33"/>
      <c r="AB59" s="33"/>
    </row>
    <row r="60" spans="1:28" x14ac:dyDescent="0.45">
      <c r="A60" s="1"/>
      <c r="B60" s="111"/>
      <c r="C60" s="111"/>
      <c r="D60" s="166"/>
      <c r="E60" s="166"/>
      <c r="F60" s="166"/>
      <c r="G60" s="112"/>
      <c r="H60" s="49" t="s">
        <v>66</v>
      </c>
      <c r="I60" s="108">
        <v>2.7300000000000001E-2</v>
      </c>
      <c r="J60" s="109">
        <v>-3.3300000000000003E-2</v>
      </c>
      <c r="L60" s="40"/>
      <c r="M60" s="12"/>
      <c r="N60" s="12"/>
      <c r="O60" s="12"/>
      <c r="P60" s="24"/>
      <c r="Q60" s="24"/>
      <c r="R60" s="24"/>
      <c r="S60" s="180"/>
      <c r="T60" s="76"/>
      <c r="U60" s="76"/>
      <c r="V60" s="77"/>
      <c r="W60" s="76"/>
      <c r="X60" s="76"/>
      <c r="Y60" s="77"/>
      <c r="Z60" s="33"/>
      <c r="AA60" s="33"/>
      <c r="AB60" s="33"/>
    </row>
    <row r="61" spans="1:28" x14ac:dyDescent="0.45">
      <c r="A61" s="2"/>
      <c r="B61" s="48"/>
      <c r="C61" s="48"/>
      <c r="D61" s="48"/>
      <c r="E61" s="48"/>
      <c r="F61" s="48"/>
      <c r="G61" s="120"/>
      <c r="H61" s="49" t="s">
        <v>67</v>
      </c>
      <c r="I61" s="108">
        <v>-0.36359999999999998</v>
      </c>
      <c r="J61" s="128">
        <v>3</v>
      </c>
      <c r="K61" s="128"/>
      <c r="L61" s="62"/>
      <c r="M61" s="1"/>
      <c r="N61" s="1"/>
      <c r="O61" s="10"/>
      <c r="P61" s="1"/>
      <c r="Q61" s="1"/>
      <c r="R61" s="1"/>
      <c r="S61" s="180"/>
      <c r="T61" s="76"/>
      <c r="U61" s="76"/>
      <c r="V61" s="77"/>
      <c r="W61" s="76"/>
      <c r="X61" s="76"/>
      <c r="Y61" s="77"/>
      <c r="Z61" s="33"/>
      <c r="AA61" s="33"/>
      <c r="AB61" s="33"/>
    </row>
    <row r="62" spans="1:28" x14ac:dyDescent="0.45">
      <c r="A62" s="2"/>
      <c r="B62" s="121"/>
      <c r="C62" s="121"/>
      <c r="D62" s="121"/>
      <c r="E62" s="121"/>
      <c r="F62" s="121"/>
      <c r="G62" s="122"/>
      <c r="H62" s="25" t="s">
        <v>214</v>
      </c>
      <c r="I62" s="49"/>
      <c r="J62" s="166"/>
      <c r="K62" s="166"/>
      <c r="L62" s="62"/>
      <c r="M62" s="1"/>
      <c r="N62" s="1"/>
      <c r="O62" s="10"/>
      <c r="P62" s="1"/>
      <c r="Q62" s="1"/>
      <c r="R62" s="1"/>
      <c r="S62" s="180"/>
      <c r="T62" s="76"/>
      <c r="U62" s="76"/>
      <c r="V62" s="77"/>
      <c r="W62" s="76"/>
      <c r="X62" s="76"/>
      <c r="Y62" s="77"/>
      <c r="Z62" s="33"/>
      <c r="AA62" s="33"/>
      <c r="AB62" s="33"/>
    </row>
    <row r="63" spans="1:28" x14ac:dyDescent="0.45">
      <c r="A63" s="1"/>
      <c r="B63" s="111"/>
      <c r="C63" s="111"/>
      <c r="D63" s="166"/>
      <c r="E63" s="166"/>
      <c r="F63" s="166"/>
      <c r="G63" s="112"/>
      <c r="H63" s="68"/>
      <c r="I63" s="167" t="s">
        <v>80</v>
      </c>
      <c r="J63" s="167" t="s">
        <v>81</v>
      </c>
      <c r="K63" s="167"/>
      <c r="L63" s="62"/>
      <c r="M63" s="1"/>
      <c r="N63" s="1"/>
      <c r="O63" s="10"/>
      <c r="P63" s="1"/>
      <c r="Q63" s="1"/>
      <c r="R63" s="1"/>
      <c r="S63" s="180"/>
      <c r="T63" s="76"/>
      <c r="U63" s="76"/>
      <c r="V63" s="77"/>
      <c r="W63" s="76"/>
      <c r="X63" s="76"/>
      <c r="Y63" s="77"/>
      <c r="Z63" s="33"/>
      <c r="AA63" s="33"/>
      <c r="AB63" s="33"/>
    </row>
    <row r="64" spans="1:28" x14ac:dyDescent="0.45">
      <c r="A64" s="1"/>
      <c r="B64" s="111"/>
      <c r="C64" s="111"/>
      <c r="D64" s="166"/>
      <c r="E64" s="166"/>
      <c r="F64" s="166"/>
      <c r="G64" s="112"/>
      <c r="H64" s="5" t="s">
        <v>152</v>
      </c>
      <c r="I64" s="68"/>
      <c r="J64" s="68"/>
      <c r="K64" s="68"/>
      <c r="L64" s="74"/>
      <c r="M64" s="1"/>
      <c r="N64" s="1"/>
      <c r="O64" s="24"/>
      <c r="P64" s="1"/>
      <c r="Q64" s="1"/>
      <c r="R64" s="1"/>
      <c r="S64" s="180"/>
      <c r="T64" s="76"/>
      <c r="U64" s="76"/>
      <c r="V64" s="77"/>
      <c r="W64" s="76"/>
      <c r="X64" s="76"/>
      <c r="Y64" s="77"/>
      <c r="Z64" s="33"/>
      <c r="AA64" s="33"/>
      <c r="AB64" s="33"/>
    </row>
    <row r="65" spans="1:28" x14ac:dyDescent="0.45">
      <c r="A65" s="1"/>
      <c r="B65" s="111"/>
      <c r="C65" s="111"/>
      <c r="D65" s="166"/>
      <c r="E65" s="166"/>
      <c r="F65" s="166"/>
      <c r="G65" s="112"/>
      <c r="H65" s="165" t="s">
        <v>66</v>
      </c>
      <c r="I65" s="68">
        <v>3.7499999999999999E-2</v>
      </c>
      <c r="J65" s="68">
        <v>-0.06</v>
      </c>
      <c r="K65" s="68"/>
      <c r="L65" s="75"/>
      <c r="M65" s="10"/>
      <c r="N65" s="10"/>
      <c r="O65" s="10"/>
      <c r="S65" s="180"/>
      <c r="T65" s="76"/>
      <c r="U65" s="76"/>
      <c r="V65" s="77"/>
      <c r="W65" s="76"/>
      <c r="X65" s="76"/>
      <c r="Y65" s="77"/>
      <c r="Z65" s="33"/>
      <c r="AA65" s="33"/>
      <c r="AB65" s="33"/>
    </row>
    <row r="66" spans="1:28" x14ac:dyDescent="0.45">
      <c r="A66" s="1"/>
      <c r="B66" s="111"/>
      <c r="C66" s="111"/>
      <c r="D66" s="166"/>
      <c r="E66" s="166"/>
      <c r="F66" s="166"/>
      <c r="G66" s="112"/>
      <c r="H66" s="165" t="s">
        <v>67</v>
      </c>
      <c r="I66" s="68">
        <v>-1.55</v>
      </c>
      <c r="J66" s="68">
        <v>5.68</v>
      </c>
      <c r="K66" s="68"/>
      <c r="L66" s="40"/>
      <c r="M66" s="12"/>
      <c r="N66" s="12"/>
      <c r="O66" s="12"/>
      <c r="P66" s="12"/>
      <c r="Q66" s="12"/>
      <c r="R66" s="12"/>
      <c r="S66" s="180"/>
      <c r="T66" s="76"/>
      <c r="U66" s="76"/>
      <c r="V66" s="77"/>
      <c r="W66" s="76"/>
      <c r="X66" s="76"/>
      <c r="Y66" s="77"/>
      <c r="Z66" s="33"/>
      <c r="AA66" s="33"/>
      <c r="AB66" s="33"/>
    </row>
    <row r="67" spans="1:28" x14ac:dyDescent="0.45">
      <c r="A67" s="1"/>
      <c r="B67" s="111"/>
      <c r="C67" s="111"/>
      <c r="D67" s="166"/>
      <c r="E67" s="166"/>
      <c r="F67" s="166"/>
      <c r="G67" s="112"/>
      <c r="H67" s="6" t="s">
        <v>156</v>
      </c>
      <c r="I67" s="49"/>
      <c r="J67" s="111"/>
      <c r="K67" s="166"/>
      <c r="L67" s="62"/>
      <c r="M67" s="1"/>
      <c r="N67" s="1"/>
      <c r="O67" s="10"/>
      <c r="P67" s="1"/>
      <c r="Q67" s="1"/>
      <c r="R67" s="1"/>
      <c r="S67" s="180"/>
      <c r="T67" s="76"/>
      <c r="U67" s="76"/>
      <c r="V67" s="77"/>
      <c r="W67" s="76"/>
      <c r="X67" s="76"/>
      <c r="Y67" s="77"/>
      <c r="Z67" s="33"/>
      <c r="AA67" s="33"/>
      <c r="AB67" s="33"/>
    </row>
    <row r="68" spans="1:28" x14ac:dyDescent="0.45">
      <c r="A68" s="4"/>
      <c r="B68" s="49"/>
      <c r="C68" s="49"/>
      <c r="D68" s="49"/>
      <c r="E68" s="49"/>
      <c r="F68" s="49"/>
      <c r="G68" s="112"/>
      <c r="H68" s="44" t="s">
        <v>77</v>
      </c>
      <c r="J68" s="111"/>
      <c r="K68" s="166"/>
      <c r="L68" s="62"/>
      <c r="M68" s="23"/>
      <c r="N68" s="23"/>
      <c r="O68" s="10"/>
      <c r="P68" s="1"/>
      <c r="Q68" s="1"/>
      <c r="R68" s="1"/>
      <c r="S68" s="180"/>
      <c r="T68" s="76"/>
      <c r="U68" s="76"/>
      <c r="V68" s="77"/>
      <c r="W68" s="76"/>
      <c r="X68" s="76"/>
      <c r="Y68" s="77"/>
      <c r="Z68" s="33"/>
      <c r="AA68" s="33"/>
      <c r="AB68" s="33"/>
    </row>
    <row r="69" spans="1:28" x14ac:dyDescent="0.45">
      <c r="A69" s="1"/>
      <c r="H69" s="4"/>
      <c r="I69" s="49" t="s">
        <v>80</v>
      </c>
      <c r="J69" s="111" t="s">
        <v>81</v>
      </c>
      <c r="K69" s="166"/>
      <c r="L69" s="62"/>
      <c r="M69" s="1"/>
      <c r="N69" s="1"/>
      <c r="O69" s="10"/>
      <c r="P69" s="1"/>
      <c r="Q69" s="1"/>
      <c r="R69" s="1"/>
      <c r="S69" s="180"/>
      <c r="T69" s="76"/>
      <c r="U69" s="76"/>
      <c r="V69" s="77"/>
      <c r="W69" s="76"/>
      <c r="X69" s="76"/>
      <c r="Y69" s="77"/>
      <c r="Z69" s="33"/>
      <c r="AA69" s="33"/>
      <c r="AB69" s="33"/>
    </row>
    <row r="70" spans="1:28" x14ac:dyDescent="0.45">
      <c r="A70" s="1"/>
      <c r="H70" s="49" t="s">
        <v>66</v>
      </c>
      <c r="I70" s="108">
        <v>0.04</v>
      </c>
      <c r="J70" s="109">
        <v>-0.05</v>
      </c>
      <c r="L70" s="74"/>
      <c r="M70" s="10"/>
      <c r="N70" s="10"/>
      <c r="O70" s="10"/>
      <c r="S70" s="180"/>
      <c r="T70" s="76"/>
      <c r="U70" s="76"/>
      <c r="V70" s="77"/>
      <c r="W70" s="76"/>
      <c r="X70" s="76"/>
      <c r="Y70" s="77"/>
      <c r="Z70" s="33"/>
      <c r="AA70" s="33"/>
      <c r="AB70" s="33"/>
    </row>
    <row r="71" spans="1:28" x14ac:dyDescent="0.45">
      <c r="H71" s="49" t="s">
        <v>67</v>
      </c>
      <c r="I71" s="130">
        <v>-0.8</v>
      </c>
      <c r="J71" s="109">
        <v>4.25</v>
      </c>
      <c r="L71" s="75"/>
      <c r="M71" s="10"/>
      <c r="N71" s="10"/>
      <c r="O71" s="10"/>
      <c r="S71" s="180"/>
      <c r="T71" s="76"/>
      <c r="U71" s="76"/>
      <c r="V71" s="77"/>
      <c r="W71" s="76"/>
      <c r="X71" s="76"/>
      <c r="Y71" s="77"/>
      <c r="Z71" s="33"/>
      <c r="AA71" s="33"/>
      <c r="AB71" s="33"/>
    </row>
    <row r="72" spans="1:28" x14ac:dyDescent="0.45">
      <c r="H72" s="6" t="s">
        <v>82</v>
      </c>
      <c r="L72" s="40"/>
      <c r="M72" s="12"/>
      <c r="N72" s="12"/>
      <c r="O72" s="12"/>
      <c r="P72" s="24"/>
      <c r="Q72" s="24"/>
      <c r="R72" s="24"/>
      <c r="S72" s="180"/>
      <c r="T72" s="76"/>
      <c r="U72" s="76"/>
      <c r="V72" s="77"/>
      <c r="W72" s="76"/>
      <c r="X72" s="76"/>
      <c r="Y72" s="77"/>
      <c r="Z72" s="33"/>
      <c r="AA72" s="33"/>
      <c r="AB72" s="33"/>
    </row>
    <row r="73" spans="1:28" x14ac:dyDescent="0.45">
      <c r="H73" s="68" t="s">
        <v>87</v>
      </c>
      <c r="I73" s="68"/>
      <c r="J73" s="68"/>
      <c r="K73" s="68"/>
      <c r="L73" s="62"/>
      <c r="M73" s="1"/>
      <c r="N73" s="1"/>
      <c r="O73" s="10"/>
      <c r="P73" s="1"/>
      <c r="Q73" s="1"/>
      <c r="R73" s="1"/>
      <c r="S73" s="180"/>
      <c r="T73" s="76"/>
      <c r="U73" s="76"/>
      <c r="V73" s="77"/>
      <c r="W73" s="76"/>
      <c r="X73" s="76"/>
      <c r="Y73" s="77"/>
      <c r="Z73" s="33"/>
      <c r="AA73" s="33"/>
      <c r="AB73" s="33"/>
    </row>
    <row r="74" spans="1:28" x14ac:dyDescent="0.45">
      <c r="H74" s="167" t="s">
        <v>66</v>
      </c>
      <c r="I74" s="68">
        <v>3.5417000000000001</v>
      </c>
      <c r="J74" s="68"/>
      <c r="K74" s="68"/>
      <c r="L74" s="62"/>
      <c r="M74" s="1"/>
      <c r="N74" s="1"/>
      <c r="O74" s="10"/>
      <c r="P74" s="1"/>
      <c r="Q74" s="1"/>
      <c r="R74" s="1"/>
      <c r="S74" s="180"/>
      <c r="T74" s="76"/>
      <c r="U74" s="76"/>
      <c r="V74" s="77"/>
      <c r="W74" s="76"/>
      <c r="X74" s="76"/>
      <c r="Y74" s="77"/>
      <c r="Z74" s="33"/>
      <c r="AA74" s="33"/>
      <c r="AB74" s="33"/>
    </row>
    <row r="75" spans="1:28" x14ac:dyDescent="0.45">
      <c r="H75" s="167" t="s">
        <v>67</v>
      </c>
      <c r="I75" s="68">
        <v>-13.75</v>
      </c>
      <c r="J75" s="68"/>
      <c r="K75" s="68"/>
      <c r="L75" s="62"/>
      <c r="M75" s="1"/>
      <c r="N75" s="1"/>
      <c r="O75" s="10"/>
      <c r="S75" s="180"/>
      <c r="T75" s="76"/>
      <c r="U75" s="76"/>
      <c r="V75" s="77"/>
      <c r="W75" s="76"/>
      <c r="X75" s="76"/>
      <c r="Y75" s="77"/>
      <c r="Z75" s="33"/>
      <c r="AA75" s="33"/>
      <c r="AB75" s="33"/>
    </row>
    <row r="76" spans="1:28" x14ac:dyDescent="0.45">
      <c r="H76" s="167" t="s">
        <v>69</v>
      </c>
      <c r="I76" s="68">
        <v>15.808299999999999</v>
      </c>
      <c r="J76" s="68"/>
      <c r="K76" s="68"/>
      <c r="L76" s="74"/>
      <c r="M76" s="10"/>
      <c r="N76" s="10"/>
      <c r="O76" s="10"/>
      <c r="S76" s="180"/>
      <c r="T76" s="76"/>
      <c r="U76" s="76"/>
      <c r="V76" s="77"/>
      <c r="W76" s="76"/>
      <c r="X76" s="76"/>
      <c r="Y76" s="77"/>
      <c r="Z76" s="33"/>
      <c r="AA76" s="33"/>
      <c r="AB76" s="33"/>
    </row>
    <row r="77" spans="1:28" x14ac:dyDescent="0.45">
      <c r="H77" s="167" t="s">
        <v>70</v>
      </c>
      <c r="I77" s="68">
        <v>-4.5999999999999996</v>
      </c>
      <c r="J77" s="173"/>
      <c r="K77" s="173"/>
      <c r="L77" s="75"/>
      <c r="M77" s="10"/>
      <c r="N77" s="10"/>
      <c r="O77" s="10"/>
      <c r="S77" s="180"/>
      <c r="T77" s="76"/>
      <c r="U77" s="76"/>
      <c r="V77" s="77"/>
      <c r="W77" s="76"/>
      <c r="X77" s="76"/>
      <c r="Y77" s="77"/>
      <c r="Z77" s="33"/>
      <c r="AA77" s="33"/>
      <c r="AB77" s="33"/>
    </row>
    <row r="78" spans="1:28" x14ac:dyDescent="0.45">
      <c r="H78" s="6" t="s">
        <v>215</v>
      </c>
      <c r="I78" s="110"/>
      <c r="L78" s="40"/>
      <c r="M78" s="24"/>
      <c r="N78" s="24"/>
      <c r="O78" s="24"/>
      <c r="P78" s="24"/>
      <c r="Q78" s="24"/>
      <c r="R78" s="24"/>
      <c r="S78" s="180"/>
      <c r="T78" s="76"/>
      <c r="U78" s="76"/>
      <c r="V78" s="77"/>
      <c r="W78" s="76"/>
      <c r="X78" s="76"/>
      <c r="Y78" s="77"/>
      <c r="Z78" s="33"/>
      <c r="AA78" s="33"/>
      <c r="AB78" s="33"/>
    </row>
    <row r="79" spans="1:28" ht="33" customHeight="1" x14ac:dyDescent="0.45">
      <c r="H79" s="68"/>
      <c r="I79" s="176" t="s">
        <v>85</v>
      </c>
      <c r="J79" s="483" t="s">
        <v>217</v>
      </c>
      <c r="K79" s="483"/>
      <c r="L79" s="62"/>
      <c r="M79" s="1"/>
      <c r="N79" s="1"/>
      <c r="O79" s="10"/>
      <c r="S79" s="180"/>
      <c r="T79" s="76"/>
      <c r="U79" s="76"/>
      <c r="V79" s="77"/>
      <c r="W79" s="76"/>
      <c r="X79" s="76"/>
      <c r="Y79" s="77"/>
      <c r="Z79" s="33"/>
      <c r="AA79" s="33"/>
      <c r="AB79" s="33"/>
    </row>
    <row r="80" spans="1:28" x14ac:dyDescent="0.45">
      <c r="H80" s="68"/>
      <c r="I80" s="176"/>
      <c r="J80" s="5" t="s">
        <v>216</v>
      </c>
      <c r="K80" s="5" t="s">
        <v>68</v>
      </c>
      <c r="L80" s="62"/>
      <c r="M80" s="1"/>
      <c r="N80" s="1"/>
      <c r="O80" s="10"/>
      <c r="S80" s="180"/>
      <c r="T80" s="76"/>
      <c r="U80" s="76"/>
      <c r="V80" s="77"/>
      <c r="W80" s="76"/>
      <c r="X80" s="76"/>
      <c r="Y80" s="77"/>
      <c r="Z80" s="33"/>
      <c r="AA80" s="33"/>
      <c r="AB80" s="33"/>
    </row>
    <row r="81" spans="1:28" x14ac:dyDescent="0.45">
      <c r="H81" s="5" t="s">
        <v>152</v>
      </c>
      <c r="I81" s="68"/>
      <c r="J81" s="5"/>
      <c r="K81" s="68"/>
      <c r="L81" s="62"/>
      <c r="M81" s="1"/>
      <c r="N81" s="1"/>
      <c r="O81" s="10"/>
      <c r="S81" s="180"/>
      <c r="T81" s="76"/>
      <c r="U81" s="76"/>
      <c r="V81" s="77"/>
      <c r="W81" s="76"/>
      <c r="X81" s="76"/>
      <c r="Y81" s="77"/>
      <c r="Z81" s="33"/>
      <c r="AA81" s="33"/>
      <c r="AB81" s="33"/>
    </row>
    <row r="82" spans="1:28" x14ac:dyDescent="0.45">
      <c r="H82" s="167" t="s">
        <v>66</v>
      </c>
      <c r="I82" s="68">
        <v>1.0024999999999999E-2</v>
      </c>
      <c r="J82" s="68">
        <v>1.7749999999999998E-2</v>
      </c>
      <c r="K82" s="68">
        <v>4.8329999999999996E-3</v>
      </c>
      <c r="L82" s="74"/>
      <c r="M82" s="1"/>
      <c r="N82" s="1"/>
      <c r="O82" s="24"/>
      <c r="P82" s="1"/>
      <c r="Q82" s="1"/>
      <c r="R82" s="1"/>
      <c r="S82" s="180"/>
      <c r="T82" s="76"/>
      <c r="U82" s="76"/>
      <c r="V82" s="77"/>
      <c r="W82" s="76"/>
      <c r="X82" s="76"/>
      <c r="Y82" s="77"/>
      <c r="Z82" s="33"/>
      <c r="AA82" s="33"/>
      <c r="AB82" s="33"/>
    </row>
    <row r="83" spans="1:28" x14ac:dyDescent="0.45">
      <c r="H83" s="167" t="s">
        <v>67</v>
      </c>
      <c r="I83" s="68">
        <v>-4.4299999999999999E-3</v>
      </c>
      <c r="J83" s="68">
        <v>-0.77500000000000002</v>
      </c>
      <c r="K83" s="68">
        <v>0</v>
      </c>
      <c r="L83" s="75"/>
      <c r="M83" s="10"/>
      <c r="N83" s="484"/>
      <c r="O83" s="484"/>
      <c r="P83" s="168"/>
      <c r="Q83" s="168"/>
      <c r="R83" s="168"/>
      <c r="S83" s="180"/>
      <c r="T83" s="76"/>
      <c r="U83" s="76"/>
      <c r="V83" s="77"/>
      <c r="W83" s="76"/>
      <c r="X83" s="76"/>
      <c r="Y83" s="77"/>
      <c r="Z83" s="33"/>
      <c r="AA83" s="33"/>
      <c r="AB83" s="33"/>
    </row>
    <row r="84" spans="1:28" x14ac:dyDescent="0.45">
      <c r="H84" s="6" t="s">
        <v>218</v>
      </c>
      <c r="J84" s="111"/>
      <c r="K84" s="166"/>
      <c r="L84" s="40"/>
      <c r="M84" s="24"/>
      <c r="N84" s="24"/>
      <c r="O84" s="24"/>
      <c r="P84" s="24"/>
      <c r="Q84" s="24"/>
      <c r="R84" s="24"/>
      <c r="S84" s="180"/>
      <c r="T84" s="76"/>
      <c r="U84" s="76"/>
      <c r="V84" s="77"/>
      <c r="W84" s="76"/>
      <c r="X84" s="76"/>
      <c r="Y84" s="77"/>
      <c r="Z84" s="33"/>
      <c r="AA84" s="33"/>
      <c r="AB84" s="33"/>
    </row>
    <row r="85" spans="1:28" x14ac:dyDescent="0.45">
      <c r="H85" s="5" t="s">
        <v>152</v>
      </c>
      <c r="I85" s="68"/>
      <c r="J85" s="5"/>
      <c r="K85" s="131"/>
      <c r="L85" s="62"/>
      <c r="M85" s="1"/>
      <c r="N85" s="1"/>
      <c r="O85" s="10"/>
      <c r="S85" s="180"/>
      <c r="T85" s="76"/>
      <c r="U85" s="76"/>
      <c r="V85" s="77"/>
      <c r="W85" s="76"/>
      <c r="X85" s="76"/>
      <c r="Y85" s="77"/>
      <c r="Z85" s="33"/>
      <c r="AA85" s="33"/>
      <c r="AB85" s="33"/>
    </row>
    <row r="86" spans="1:28" x14ac:dyDescent="0.45">
      <c r="I86" s="5" t="s">
        <v>153</v>
      </c>
      <c r="J86" s="5" t="s">
        <v>52</v>
      </c>
      <c r="K86" s="165"/>
      <c r="L86" s="62"/>
      <c r="M86" s="1"/>
      <c r="N86" s="1"/>
      <c r="O86" s="10"/>
      <c r="S86" s="180"/>
      <c r="T86" s="76"/>
      <c r="U86" s="76"/>
      <c r="V86" s="77"/>
      <c r="W86" s="76"/>
      <c r="X86" s="76"/>
      <c r="Y86" s="77"/>
      <c r="Z86" s="33"/>
      <c r="AA86" s="33"/>
      <c r="AB86" s="33"/>
    </row>
    <row r="87" spans="1:28" x14ac:dyDescent="0.45">
      <c r="H87" s="167" t="s">
        <v>66</v>
      </c>
      <c r="I87" s="68">
        <v>1.01E-2</v>
      </c>
      <c r="J87" s="68">
        <v>5.6600000000000001E-3</v>
      </c>
      <c r="K87" s="167"/>
      <c r="L87" s="74"/>
      <c r="M87" s="10"/>
      <c r="N87" s="10"/>
      <c r="O87" s="10"/>
      <c r="S87" s="180"/>
      <c r="T87" s="76"/>
      <c r="U87" s="76"/>
      <c r="V87" s="77"/>
      <c r="W87" s="76"/>
      <c r="X87" s="76"/>
      <c r="Y87" s="77"/>
      <c r="Z87" s="33"/>
      <c r="AA87" s="33"/>
      <c r="AB87" s="33"/>
    </row>
    <row r="88" spans="1:28" x14ac:dyDescent="0.45">
      <c r="H88" s="167" t="s">
        <v>67</v>
      </c>
      <c r="I88" s="5">
        <v>0</v>
      </c>
      <c r="J88" s="68">
        <v>0.30943399999999999</v>
      </c>
      <c r="K88" s="167"/>
      <c r="L88" s="75"/>
      <c r="M88" s="10"/>
      <c r="N88" s="27"/>
      <c r="O88" s="27"/>
      <c r="P88" s="27"/>
      <c r="Q88" s="27"/>
      <c r="R88" s="27"/>
      <c r="S88" s="180"/>
      <c r="T88" s="76"/>
      <c r="U88" s="76"/>
      <c r="V88" s="77"/>
      <c r="W88" s="76"/>
      <c r="X88" s="76"/>
      <c r="Y88" s="77"/>
      <c r="Z88" s="33"/>
      <c r="AA88" s="33"/>
      <c r="AB88" s="33"/>
    </row>
    <row r="89" spans="1:28" x14ac:dyDescent="0.45">
      <c r="H89" s="285" t="s">
        <v>221</v>
      </c>
      <c r="I89" s="4"/>
      <c r="J89" s="286"/>
      <c r="K89" s="167"/>
      <c r="L89" s="40"/>
      <c r="M89" s="24"/>
      <c r="N89" s="24"/>
      <c r="O89" s="24"/>
      <c r="P89" s="24"/>
      <c r="Q89" s="24"/>
      <c r="R89" s="24"/>
      <c r="S89" s="180"/>
      <c r="T89" s="76"/>
      <c r="U89" s="76"/>
      <c r="V89" s="77"/>
      <c r="W89" s="76"/>
      <c r="X89" s="76"/>
      <c r="Y89" s="77"/>
      <c r="Z89" s="33"/>
      <c r="AA89" s="33"/>
      <c r="AB89" s="33"/>
    </row>
    <row r="90" spans="1:28" x14ac:dyDescent="0.45">
      <c r="H90" s="286"/>
      <c r="I90" s="287" t="s">
        <v>219</v>
      </c>
      <c r="J90" s="287" t="s">
        <v>220</v>
      </c>
      <c r="K90" s="167"/>
      <c r="L90" s="62"/>
      <c r="M90" s="1"/>
      <c r="N90" s="1"/>
      <c r="O90" s="10"/>
      <c r="S90" s="180"/>
      <c r="T90" s="76"/>
      <c r="U90" s="76"/>
      <c r="V90" s="77"/>
      <c r="W90" s="76"/>
      <c r="X90" s="76"/>
      <c r="Y90" s="77"/>
      <c r="Z90" s="33"/>
      <c r="AA90" s="33"/>
      <c r="AB90" s="33"/>
    </row>
    <row r="91" spans="1:28" x14ac:dyDescent="0.45">
      <c r="H91" s="4" t="s">
        <v>152</v>
      </c>
      <c r="I91" s="286"/>
      <c r="J91" s="286"/>
      <c r="K91" s="167"/>
      <c r="L91" s="62"/>
      <c r="M91" s="1"/>
      <c r="N91" s="1"/>
      <c r="O91" s="10"/>
      <c r="S91" s="180"/>
      <c r="T91" s="76"/>
      <c r="U91" s="76"/>
      <c r="V91" s="77"/>
      <c r="W91" s="76"/>
      <c r="X91" s="76"/>
      <c r="Y91" s="77"/>
      <c r="Z91" s="33"/>
      <c r="AA91" s="33"/>
      <c r="AB91" s="33"/>
    </row>
    <row r="92" spans="1:28" x14ac:dyDescent="0.45">
      <c r="H92" s="49" t="s">
        <v>66</v>
      </c>
      <c r="I92" s="286">
        <v>1.4500000000000001E-2</v>
      </c>
      <c r="J92" s="286">
        <v>-2.8400000000000002E-2</v>
      </c>
      <c r="K92" s="167"/>
      <c r="L92" s="62"/>
      <c r="M92" s="1"/>
      <c r="N92" s="1"/>
      <c r="O92" s="24"/>
      <c r="P92" s="1"/>
      <c r="Q92" s="1"/>
      <c r="R92" s="1"/>
      <c r="S92" s="180"/>
      <c r="T92" s="76"/>
      <c r="U92" s="76"/>
      <c r="V92" s="77"/>
      <c r="W92" s="76"/>
      <c r="X92" s="76"/>
      <c r="Y92" s="77"/>
      <c r="Z92" s="33"/>
      <c r="AA92" s="33"/>
      <c r="AB92" s="33"/>
    </row>
    <row r="93" spans="1:28" x14ac:dyDescent="0.45">
      <c r="A93" s="1"/>
      <c r="B93" s="111"/>
      <c r="C93" s="111"/>
      <c r="D93" s="166"/>
      <c r="E93" s="166"/>
      <c r="F93" s="166"/>
      <c r="G93" s="112"/>
      <c r="H93" s="49" t="s">
        <v>67</v>
      </c>
      <c r="I93" s="286">
        <v>0</v>
      </c>
      <c r="J93" s="286">
        <v>3.1583999999999999</v>
      </c>
      <c r="K93" s="167"/>
      <c r="L93" s="74"/>
      <c r="M93" s="10"/>
      <c r="N93" s="10"/>
      <c r="O93" s="10"/>
      <c r="S93" s="180"/>
      <c r="T93" s="76"/>
      <c r="U93" s="76"/>
      <c r="V93" s="77"/>
      <c r="W93" s="76"/>
      <c r="X93" s="76"/>
      <c r="Y93" s="77"/>
      <c r="Z93" s="33"/>
      <c r="AA93" s="33"/>
      <c r="AB93" s="33"/>
    </row>
    <row r="94" spans="1:28" x14ac:dyDescent="0.45">
      <c r="A94" s="48"/>
      <c r="B94" s="123"/>
      <c r="C94" s="123"/>
      <c r="D94" s="123"/>
      <c r="E94" s="123"/>
      <c r="F94" s="123"/>
      <c r="G94" s="124"/>
      <c r="H94" s="6" t="s">
        <v>157</v>
      </c>
      <c r="I94" s="49"/>
      <c r="J94" s="111"/>
      <c r="K94" s="166"/>
      <c r="L94" s="75"/>
      <c r="M94" s="10"/>
      <c r="N94" s="10"/>
      <c r="O94" s="10"/>
      <c r="S94" s="180"/>
      <c r="T94" s="76"/>
      <c r="U94" s="76"/>
      <c r="V94" s="77"/>
      <c r="W94" s="76"/>
      <c r="X94" s="76"/>
      <c r="Y94" s="77"/>
      <c r="Z94" s="33"/>
      <c r="AA94" s="33"/>
      <c r="AB94" s="33"/>
    </row>
    <row r="95" spans="1:28" x14ac:dyDescent="0.45">
      <c r="A95" s="48"/>
      <c r="B95" s="123"/>
      <c r="C95" s="123"/>
      <c r="D95" s="123"/>
      <c r="E95" s="123"/>
      <c r="F95" s="123"/>
      <c r="G95" s="124"/>
      <c r="H95" s="68"/>
      <c r="I95" s="5"/>
      <c r="J95" s="5" t="s">
        <v>222</v>
      </c>
      <c r="L95" s="75"/>
      <c r="M95" s="63"/>
      <c r="N95" s="484"/>
      <c r="O95" s="484"/>
      <c r="P95" s="168"/>
      <c r="Q95" s="168"/>
      <c r="R95" s="168"/>
      <c r="S95" s="180"/>
      <c r="T95" s="76"/>
      <c r="U95" s="76"/>
      <c r="V95" s="77"/>
      <c r="W95" s="76"/>
      <c r="X95" s="76"/>
      <c r="Y95" s="77"/>
      <c r="Z95" s="33"/>
      <c r="AA95" s="33"/>
      <c r="AB95" s="33"/>
    </row>
    <row r="96" spans="1:28" x14ac:dyDescent="0.45">
      <c r="A96" s="48"/>
      <c r="B96" s="123"/>
      <c r="C96" s="123"/>
      <c r="D96" s="123"/>
      <c r="E96" s="123"/>
      <c r="F96" s="123"/>
      <c r="G96" s="124"/>
      <c r="H96" s="5" t="s">
        <v>158</v>
      </c>
      <c r="I96" s="174"/>
      <c r="J96" s="68"/>
      <c r="K96" s="166"/>
      <c r="L96" s="40"/>
      <c r="M96" s="24"/>
      <c r="N96" s="24"/>
      <c r="O96" s="24"/>
      <c r="P96" s="24"/>
      <c r="Q96" s="24"/>
      <c r="R96" s="24"/>
      <c r="S96" s="180"/>
      <c r="T96" s="76"/>
      <c r="U96" s="76"/>
      <c r="V96" s="77"/>
      <c r="W96" s="76"/>
      <c r="X96" s="76"/>
      <c r="Y96" s="77"/>
      <c r="Z96" s="33"/>
      <c r="AA96" s="33"/>
      <c r="AB96" s="33"/>
    </row>
    <row r="97" spans="1:28" x14ac:dyDescent="0.45">
      <c r="A97" s="2"/>
      <c r="B97" s="121"/>
      <c r="C97" s="121"/>
      <c r="D97" s="121"/>
      <c r="E97" s="121"/>
      <c r="F97" s="121"/>
      <c r="G97" s="122"/>
      <c r="I97" s="55" t="s">
        <v>153</v>
      </c>
      <c r="J97" s="5" t="s">
        <v>52</v>
      </c>
      <c r="K97" s="166"/>
      <c r="L97" s="62"/>
      <c r="M97" s="1"/>
      <c r="N97" s="1"/>
      <c r="O97" s="10"/>
      <c r="S97" s="180"/>
      <c r="T97" s="76"/>
      <c r="U97" s="76"/>
      <c r="V97" s="77"/>
      <c r="W97" s="76"/>
      <c r="X97" s="76"/>
      <c r="Y97" s="77"/>
      <c r="Z97" s="33"/>
      <c r="AA97" s="33"/>
      <c r="AB97" s="33"/>
    </row>
    <row r="98" spans="1:28" x14ac:dyDescent="0.45">
      <c r="H98" s="165" t="s">
        <v>66</v>
      </c>
      <c r="I98" s="174">
        <v>1.7949E-2</v>
      </c>
      <c r="J98" s="68">
        <v>6.3829999999999998E-3</v>
      </c>
      <c r="K98" s="166"/>
      <c r="L98" s="62"/>
      <c r="M98" s="1"/>
      <c r="N98" s="1"/>
      <c r="O98" s="10"/>
      <c r="S98" s="180"/>
      <c r="T98" s="76"/>
      <c r="U98" s="76"/>
      <c r="V98" s="77"/>
      <c r="W98" s="76"/>
      <c r="X98" s="76"/>
      <c r="Y98" s="77"/>
      <c r="Z98" s="33"/>
      <c r="AA98" s="33"/>
      <c r="AB98" s="33"/>
    </row>
    <row r="99" spans="1:28" x14ac:dyDescent="0.45">
      <c r="H99" s="165" t="s">
        <v>67</v>
      </c>
      <c r="I99" s="174">
        <v>-0.61025600000000002</v>
      </c>
      <c r="J99" s="68">
        <v>0.234043</v>
      </c>
      <c r="L99" s="62"/>
      <c r="M99" s="1"/>
      <c r="N99" s="1"/>
      <c r="O99" s="24"/>
      <c r="P99" s="1"/>
      <c r="Q99" s="1"/>
      <c r="R99" s="1"/>
      <c r="S99" s="180"/>
      <c r="T99" s="76"/>
      <c r="U99" s="76"/>
      <c r="V99" s="77"/>
      <c r="W99" s="76"/>
      <c r="X99" s="76"/>
      <c r="Y99" s="77"/>
      <c r="Z99" s="33"/>
      <c r="AA99" s="33"/>
      <c r="AB99" s="33"/>
    </row>
    <row r="100" spans="1:28" x14ac:dyDescent="0.45">
      <c r="H100" s="25" t="s">
        <v>223</v>
      </c>
      <c r="I100" s="288"/>
      <c r="J100" s="166"/>
      <c r="K100" s="166"/>
      <c r="L100" s="40"/>
      <c r="M100" s="1"/>
      <c r="N100" s="7"/>
      <c r="O100" s="10"/>
      <c r="P100" s="1"/>
      <c r="Q100" s="1"/>
      <c r="R100" s="1"/>
      <c r="S100" s="180"/>
      <c r="T100" s="76"/>
      <c r="U100" s="76"/>
      <c r="V100" s="77"/>
      <c r="W100" s="76"/>
      <c r="X100" s="76"/>
      <c r="Y100" s="77"/>
      <c r="Z100" s="33"/>
      <c r="AA100" s="33"/>
      <c r="AB100" s="33"/>
    </row>
    <row r="101" spans="1:28" x14ac:dyDescent="0.45">
      <c r="H101" s="4" t="s">
        <v>152</v>
      </c>
      <c r="I101" s="4"/>
      <c r="J101" s="4"/>
      <c r="K101" s="166"/>
      <c r="M101" s="10"/>
      <c r="N101" s="10"/>
      <c r="O101" s="10"/>
      <c r="S101" s="180"/>
      <c r="T101" s="76"/>
      <c r="U101" s="76"/>
      <c r="V101" s="77"/>
      <c r="W101" s="76"/>
      <c r="X101" s="76"/>
      <c r="Y101" s="77"/>
      <c r="Z101" s="33"/>
      <c r="AA101" s="33"/>
      <c r="AB101" s="33"/>
    </row>
    <row r="102" spans="1:28" x14ac:dyDescent="0.45">
      <c r="A102" s="4"/>
      <c r="B102" s="49"/>
      <c r="C102" s="49"/>
      <c r="D102" s="49"/>
      <c r="E102" s="49"/>
      <c r="F102" s="49"/>
      <c r="G102" s="112"/>
      <c r="H102" s="4"/>
      <c r="I102" s="4" t="s">
        <v>153</v>
      </c>
      <c r="J102" s="4" t="s">
        <v>52</v>
      </c>
      <c r="K102" s="166"/>
      <c r="M102" s="10"/>
      <c r="N102" s="10"/>
      <c r="O102" s="10"/>
      <c r="S102" s="180"/>
      <c r="T102" s="76"/>
      <c r="U102" s="76"/>
      <c r="V102" s="77"/>
      <c r="W102" s="76"/>
      <c r="X102" s="76"/>
      <c r="Y102" s="77"/>
      <c r="Z102" s="33"/>
      <c r="AA102" s="33"/>
      <c r="AB102" s="33"/>
    </row>
    <row r="103" spans="1:28" x14ac:dyDescent="0.45">
      <c r="A103" s="4"/>
      <c r="B103" s="49"/>
      <c r="C103" s="49"/>
      <c r="D103" s="49"/>
      <c r="E103" s="49"/>
      <c r="F103" s="49"/>
      <c r="G103" s="112"/>
      <c r="H103" s="49" t="s">
        <v>66</v>
      </c>
      <c r="I103" s="4">
        <v>1.4999999999999999E-2</v>
      </c>
      <c r="J103" s="289">
        <v>3.44E-2</v>
      </c>
      <c r="K103" s="166"/>
      <c r="M103" s="10"/>
      <c r="N103" s="10"/>
      <c r="O103" s="10"/>
      <c r="S103" s="180"/>
      <c r="T103" s="76"/>
      <c r="U103" s="76"/>
      <c r="V103" s="77"/>
      <c r="W103" s="76"/>
      <c r="X103" s="76"/>
      <c r="Y103" s="77"/>
      <c r="Z103" s="33"/>
      <c r="AA103" s="33"/>
      <c r="AB103" s="33"/>
    </row>
    <row r="104" spans="1:28" x14ac:dyDescent="0.45">
      <c r="A104" s="1"/>
      <c r="H104" s="49" t="s">
        <v>67</v>
      </c>
      <c r="I104" s="286">
        <v>-0.67500000000000004</v>
      </c>
      <c r="J104" s="289">
        <v>-2.4443999999999999</v>
      </c>
      <c r="K104" s="166"/>
      <c r="M104" s="10"/>
      <c r="N104" s="10"/>
      <c r="O104" s="10"/>
      <c r="S104" s="180"/>
      <c r="T104" s="76"/>
      <c r="U104" s="76"/>
      <c r="V104" s="77"/>
      <c r="W104" s="76"/>
      <c r="X104" s="76"/>
      <c r="Y104" s="77"/>
      <c r="Z104" s="33"/>
      <c r="AA104" s="33"/>
      <c r="AB104" s="33"/>
    </row>
    <row r="105" spans="1:28" x14ac:dyDescent="0.45">
      <c r="A105" s="1"/>
      <c r="I105" s="111"/>
      <c r="J105" s="111"/>
      <c r="K105" s="166"/>
      <c r="M105" s="10"/>
      <c r="N105" s="10"/>
      <c r="O105" s="10"/>
      <c r="S105" s="180"/>
      <c r="T105" s="76"/>
      <c r="U105" s="76"/>
      <c r="V105" s="77"/>
      <c r="W105" s="76"/>
      <c r="X105" s="76"/>
      <c r="Y105" s="77"/>
      <c r="Z105" s="33"/>
      <c r="AA105" s="33"/>
      <c r="AB105" s="33"/>
    </row>
    <row r="106" spans="1:28" x14ac:dyDescent="0.45">
      <c r="I106" s="111"/>
      <c r="J106" s="111"/>
      <c r="K106" s="166"/>
      <c r="M106" s="10"/>
      <c r="N106" s="10"/>
      <c r="O106" s="10"/>
      <c r="S106" s="180"/>
      <c r="T106" s="76"/>
      <c r="U106" s="76"/>
      <c r="V106" s="77"/>
      <c r="W106" s="76"/>
      <c r="X106" s="76"/>
      <c r="Y106" s="77"/>
      <c r="Z106" s="33"/>
      <c r="AA106" s="33"/>
      <c r="AB106" s="33"/>
    </row>
    <row r="107" spans="1:28" x14ac:dyDescent="0.45">
      <c r="I107" s="111"/>
      <c r="J107" s="111"/>
      <c r="K107" s="166"/>
      <c r="M107" s="10"/>
      <c r="N107" s="10"/>
      <c r="O107" s="10"/>
      <c r="S107" s="180"/>
      <c r="T107" s="76"/>
      <c r="U107" s="76"/>
      <c r="V107" s="77"/>
      <c r="W107" s="76"/>
      <c r="X107" s="76"/>
      <c r="Y107" s="77"/>
      <c r="Z107" s="33"/>
      <c r="AA107" s="33"/>
    </row>
    <row r="108" spans="1:28" x14ac:dyDescent="0.45">
      <c r="I108" s="111"/>
      <c r="J108" s="111"/>
      <c r="K108" s="166"/>
      <c r="M108" s="10"/>
      <c r="N108" s="10"/>
      <c r="O108" s="10"/>
    </row>
    <row r="109" spans="1:28" x14ac:dyDescent="0.45">
      <c r="I109" s="111"/>
      <c r="J109" s="111"/>
      <c r="K109" s="166"/>
      <c r="M109" s="10"/>
      <c r="N109" s="10"/>
      <c r="O109" s="10"/>
    </row>
    <row r="110" spans="1:28" x14ac:dyDescent="0.45">
      <c r="I110" s="111"/>
      <c r="J110" s="111"/>
      <c r="K110" s="166"/>
      <c r="M110" s="10"/>
      <c r="N110" s="10"/>
      <c r="O110" s="10"/>
    </row>
    <row r="111" spans="1:28" x14ac:dyDescent="0.45">
      <c r="I111" s="111"/>
      <c r="J111" s="111"/>
      <c r="K111" s="166"/>
      <c r="M111" s="10"/>
      <c r="N111" s="10"/>
      <c r="O111" s="10"/>
    </row>
    <row r="112" spans="1:28" x14ac:dyDescent="0.45">
      <c r="I112" s="111"/>
      <c r="J112" s="111"/>
      <c r="K112" s="166"/>
      <c r="M112" s="10"/>
      <c r="N112" s="10"/>
      <c r="O112" s="10"/>
    </row>
    <row r="113" spans="9:15" x14ac:dyDescent="0.45">
      <c r="I113" s="111"/>
      <c r="J113" s="111"/>
      <c r="K113" s="166"/>
      <c r="M113" s="10"/>
      <c r="N113" s="10"/>
      <c r="O113" s="10"/>
    </row>
    <row r="114" spans="9:15" x14ac:dyDescent="0.45">
      <c r="M114" s="10"/>
      <c r="N114" s="10"/>
      <c r="O114" s="10"/>
    </row>
    <row r="115" spans="9:15" x14ac:dyDescent="0.45">
      <c r="M115" s="10"/>
      <c r="N115" s="10"/>
      <c r="O115" s="10"/>
    </row>
    <row r="116" spans="9:15" x14ac:dyDescent="0.45">
      <c r="M116" s="10"/>
      <c r="N116" s="10"/>
      <c r="O116" s="10"/>
    </row>
    <row r="117" spans="9:15" x14ac:dyDescent="0.45">
      <c r="M117" s="10"/>
      <c r="N117" s="10"/>
      <c r="O117" s="10"/>
    </row>
    <row r="118" spans="9:15" x14ac:dyDescent="0.45">
      <c r="M118" s="10"/>
      <c r="N118" s="10"/>
      <c r="O118" s="10"/>
    </row>
    <row r="119" spans="9:15" x14ac:dyDescent="0.45">
      <c r="M119" s="10"/>
      <c r="N119" s="10"/>
      <c r="O119" s="10"/>
    </row>
    <row r="120" spans="9:15" x14ac:dyDescent="0.45">
      <c r="M120" s="10"/>
      <c r="N120" s="10"/>
      <c r="O120" s="10"/>
    </row>
    <row r="121" spans="9:15" x14ac:dyDescent="0.45">
      <c r="M121" s="10"/>
      <c r="N121" s="10"/>
      <c r="O121" s="10"/>
    </row>
    <row r="122" spans="9:15" x14ac:dyDescent="0.45">
      <c r="M122" s="10"/>
      <c r="N122" s="10"/>
      <c r="O122" s="10"/>
    </row>
    <row r="123" spans="9:15" x14ac:dyDescent="0.45">
      <c r="M123" s="10"/>
      <c r="N123" s="10"/>
      <c r="O123" s="10"/>
    </row>
    <row r="124" spans="9:15" x14ac:dyDescent="0.45">
      <c r="M124" s="10"/>
      <c r="N124" s="10"/>
      <c r="O124" s="10"/>
    </row>
    <row r="125" spans="9:15" x14ac:dyDescent="0.45">
      <c r="M125" s="10"/>
      <c r="N125" s="10"/>
      <c r="O125" s="10"/>
    </row>
    <row r="126" spans="9:15" x14ac:dyDescent="0.45">
      <c r="M126" s="10"/>
      <c r="N126" s="10"/>
      <c r="O126" s="10"/>
    </row>
    <row r="322" spans="19:20" x14ac:dyDescent="0.45">
      <c r="S322" s="181"/>
      <c r="T322" s="10"/>
    </row>
    <row r="323" spans="19:20" x14ac:dyDescent="0.45">
      <c r="T323" s="10"/>
    </row>
    <row r="324" spans="19:20" x14ac:dyDescent="0.45">
      <c r="T324" s="10"/>
    </row>
    <row r="325" spans="19:20" x14ac:dyDescent="0.45">
      <c r="T325" s="10"/>
    </row>
  </sheetData>
  <sheetProtection algorithmName="SHA-512" hashValue="HVY/tDOXf5XiAVgHTFDhyt2a98iCBvC+F+d+Bqlz5+L54KWij6Ah9pZVpC78LTYsxQ+sI5O/BaUHrRG55SO8nA==" saltValue="9n0E/8AdL4LkhZurnysI6g==" spinCount="100000" sheet="1" objects="1" scenarios="1"/>
  <mergeCells count="5">
    <mergeCell ref="J79:K79"/>
    <mergeCell ref="N95:O95"/>
    <mergeCell ref="N83:O83"/>
    <mergeCell ref="E43:G43"/>
    <mergeCell ref="B43:D43"/>
  </mergeCells>
  <printOptions gridLines="1"/>
  <pageMargins left="0.7" right="0.7" top="0.75" bottom="0.75" header="0.3" footer="0.3"/>
  <pageSetup scale="20" fitToWidth="3" fitToHeight="0" orientation="portrait" r:id="rId1"/>
  <rowBreaks count="5" manualBreakCount="5">
    <brk id="155" max="16383" man="1"/>
    <brk id="199" max="16383" man="1"/>
    <brk id="350" max="16383" man="1"/>
    <brk id="507" max="16383" man="1"/>
    <brk id="666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06"/>
  <sheetViews>
    <sheetView topLeftCell="A33" workbookViewId="0">
      <selection activeCell="F43" sqref="F43"/>
    </sheetView>
  </sheetViews>
  <sheetFormatPr defaultRowHeight="14.25" x14ac:dyDescent="0.45"/>
  <cols>
    <col min="1" max="1" width="10.59765625" style="6" customWidth="1"/>
    <col min="2" max="2" width="15.59765625" customWidth="1"/>
    <col min="6" max="6" width="15" customWidth="1"/>
  </cols>
  <sheetData>
    <row r="1" spans="1:19" s="5" customFormat="1" x14ac:dyDescent="0.45">
      <c r="A1" s="6" t="s">
        <v>73</v>
      </c>
      <c r="E1" s="6" t="s">
        <v>244</v>
      </c>
    </row>
    <row r="2" spans="1:19" x14ac:dyDescent="0.45">
      <c r="L2" s="5"/>
      <c r="M2" s="5"/>
      <c r="N2" s="5"/>
      <c r="O2" s="5"/>
      <c r="P2" s="5"/>
      <c r="Q2" s="5"/>
      <c r="R2" s="5"/>
      <c r="S2" s="5"/>
    </row>
    <row r="3" spans="1:19" s="5" customFormat="1" x14ac:dyDescent="0.45">
      <c r="A3" s="6"/>
      <c r="B3" s="5" t="s">
        <v>16</v>
      </c>
      <c r="F3" t="s">
        <v>249</v>
      </c>
    </row>
    <row r="4" spans="1:19" x14ac:dyDescent="0.45">
      <c r="B4" s="5" t="s">
        <v>142</v>
      </c>
      <c r="F4" s="183" t="s">
        <v>251</v>
      </c>
      <c r="L4" s="5"/>
      <c r="M4" s="5"/>
      <c r="N4" s="5"/>
      <c r="O4" s="5"/>
      <c r="P4" s="5"/>
      <c r="Q4" s="5"/>
      <c r="R4" s="5"/>
      <c r="S4" s="5"/>
    </row>
    <row r="5" spans="1:19" x14ac:dyDescent="0.45">
      <c r="B5" t="s">
        <v>9</v>
      </c>
      <c r="E5" s="6" t="s">
        <v>288</v>
      </c>
      <c r="L5" s="5"/>
      <c r="M5" s="5"/>
      <c r="N5" s="5"/>
      <c r="O5" s="5"/>
      <c r="P5" s="5"/>
      <c r="Q5" s="5"/>
      <c r="R5" s="5"/>
    </row>
    <row r="6" spans="1:19" x14ac:dyDescent="0.45">
      <c r="B6" t="s">
        <v>10</v>
      </c>
      <c r="F6" s="5" t="s">
        <v>286</v>
      </c>
    </row>
    <row r="7" spans="1:19" s="5" customFormat="1" x14ac:dyDescent="0.45">
      <c r="A7" s="6"/>
      <c r="B7" t="s">
        <v>7</v>
      </c>
      <c r="F7" t="s">
        <v>287</v>
      </c>
    </row>
    <row r="8" spans="1:19" s="5" customFormat="1" x14ac:dyDescent="0.45">
      <c r="A8" s="6"/>
      <c r="B8" s="5" t="s">
        <v>143</v>
      </c>
      <c r="F8" s="5" t="s">
        <v>239</v>
      </c>
    </row>
    <row r="9" spans="1:19" x14ac:dyDescent="0.45">
      <c r="B9" s="5" t="s">
        <v>171</v>
      </c>
      <c r="E9" s="6" t="s">
        <v>250</v>
      </c>
    </row>
    <row r="10" spans="1:19" s="5" customFormat="1" x14ac:dyDescent="0.45">
      <c r="A10" s="6"/>
      <c r="B10" t="s">
        <v>8</v>
      </c>
    </row>
    <row r="11" spans="1:19" s="5" customFormat="1" x14ac:dyDescent="0.45">
      <c r="A11" s="6"/>
      <c r="B11" s="5" t="s">
        <v>52</v>
      </c>
      <c r="F11" s="5" t="s">
        <v>240</v>
      </c>
    </row>
    <row r="12" spans="1:19" s="5" customFormat="1" x14ac:dyDescent="0.45">
      <c r="A12" s="6"/>
      <c r="B12" s="5" t="s">
        <v>53</v>
      </c>
      <c r="F12" s="5" t="s">
        <v>255</v>
      </c>
    </row>
    <row r="13" spans="1:19" x14ac:dyDescent="0.45">
      <c r="B13" s="5" t="s">
        <v>55</v>
      </c>
      <c r="E13" s="6" t="s">
        <v>243</v>
      </c>
    </row>
    <row r="14" spans="1:19" s="5" customFormat="1" x14ac:dyDescent="0.45">
      <c r="A14" s="6" t="s">
        <v>74</v>
      </c>
    </row>
    <row r="15" spans="1:19" x14ac:dyDescent="0.45">
      <c r="F15" s="5" t="s">
        <v>225</v>
      </c>
    </row>
    <row r="16" spans="1:19" s="5" customFormat="1" x14ac:dyDescent="0.45">
      <c r="A16" s="6"/>
      <c r="B16" s="5" t="s">
        <v>97</v>
      </c>
      <c r="F16" t="s">
        <v>226</v>
      </c>
    </row>
    <row r="17" spans="1:6" s="5" customFormat="1" x14ac:dyDescent="0.45">
      <c r="A17" s="6"/>
      <c r="B17" s="5" t="s">
        <v>17</v>
      </c>
      <c r="F17" s="5" t="s">
        <v>181</v>
      </c>
    </row>
    <row r="18" spans="1:6" s="5" customFormat="1" x14ac:dyDescent="0.45">
      <c r="A18" s="6"/>
      <c r="B18" s="5" t="s">
        <v>18</v>
      </c>
      <c r="F18" s="5" t="s">
        <v>227</v>
      </c>
    </row>
    <row r="19" spans="1:6" s="5" customFormat="1" x14ac:dyDescent="0.45">
      <c r="A19" s="6"/>
      <c r="B19" s="5" t="s">
        <v>96</v>
      </c>
      <c r="F19" s="5" t="s">
        <v>228</v>
      </c>
    </row>
    <row r="20" spans="1:6" s="5" customFormat="1" x14ac:dyDescent="0.45">
      <c r="A20" s="6"/>
      <c r="B20" s="5" t="s">
        <v>95</v>
      </c>
      <c r="F20" s="5" t="s">
        <v>229</v>
      </c>
    </row>
    <row r="21" spans="1:6" ht="15" customHeight="1" x14ac:dyDescent="0.45">
      <c r="B21" s="5" t="s">
        <v>94</v>
      </c>
      <c r="E21" s="6" t="s">
        <v>241</v>
      </c>
    </row>
    <row r="22" spans="1:6" s="5" customFormat="1" x14ac:dyDescent="0.45">
      <c r="A22" s="6"/>
    </row>
    <row r="23" spans="1:6" x14ac:dyDescent="0.45">
      <c r="A23" s="6" t="s">
        <v>75</v>
      </c>
      <c r="F23" s="5">
        <v>1</v>
      </c>
    </row>
    <row r="24" spans="1:6" s="5" customFormat="1" x14ac:dyDescent="0.45">
      <c r="A24" s="6"/>
      <c r="B24" s="61" t="s">
        <v>144</v>
      </c>
      <c r="F24">
        <v>2</v>
      </c>
    </row>
    <row r="25" spans="1:6" s="5" customFormat="1" x14ac:dyDescent="0.45">
      <c r="A25" s="6"/>
      <c r="B25" s="61" t="s">
        <v>145</v>
      </c>
      <c r="F25" s="5">
        <v>3</v>
      </c>
    </row>
    <row r="26" spans="1:6" s="5" customFormat="1" x14ac:dyDescent="0.45">
      <c r="A26" s="6"/>
      <c r="B26" s="61" t="s">
        <v>146</v>
      </c>
      <c r="E26" s="6" t="s">
        <v>242</v>
      </c>
    </row>
    <row r="27" spans="1:6" s="5" customFormat="1" x14ac:dyDescent="0.45">
      <c r="A27" s="6"/>
      <c r="B27" s="61" t="s">
        <v>147</v>
      </c>
    </row>
    <row r="28" spans="1:6" s="5" customFormat="1" x14ac:dyDescent="0.45">
      <c r="A28" s="6"/>
      <c r="B28" s="61" t="s">
        <v>148</v>
      </c>
      <c r="F28" s="5" t="s">
        <v>238</v>
      </c>
    </row>
    <row r="29" spans="1:6" x14ac:dyDescent="0.45">
      <c r="B29" s="61" t="s">
        <v>149</v>
      </c>
      <c r="F29" s="5" t="s">
        <v>237</v>
      </c>
    </row>
    <row r="30" spans="1:6" x14ac:dyDescent="0.45">
      <c r="B30" t="s">
        <v>22</v>
      </c>
      <c r="F30" t="s">
        <v>236</v>
      </c>
    </row>
    <row r="31" spans="1:6" x14ac:dyDescent="0.45">
      <c r="B31" t="s">
        <v>23</v>
      </c>
    </row>
    <row r="32" spans="1:6" x14ac:dyDescent="0.45">
      <c r="B32" t="s">
        <v>24</v>
      </c>
      <c r="E32" s="6" t="s">
        <v>257</v>
      </c>
    </row>
    <row r="33" spans="1:6" x14ac:dyDescent="0.45">
      <c r="B33" t="s">
        <v>25</v>
      </c>
      <c r="F33" t="s">
        <v>258</v>
      </c>
    </row>
    <row r="34" spans="1:6" x14ac:dyDescent="0.45">
      <c r="B34" t="s">
        <v>30</v>
      </c>
      <c r="F34" t="s">
        <v>183</v>
      </c>
    </row>
    <row r="35" spans="1:6" x14ac:dyDescent="0.45">
      <c r="B35" t="s">
        <v>26</v>
      </c>
      <c r="F35" t="s">
        <v>259</v>
      </c>
    </row>
    <row r="36" spans="1:6" x14ac:dyDescent="0.45">
      <c r="B36" t="s">
        <v>27</v>
      </c>
    </row>
    <row r="37" spans="1:6" x14ac:dyDescent="0.45">
      <c r="B37" t="s">
        <v>28</v>
      </c>
      <c r="E37" s="6" t="s">
        <v>263</v>
      </c>
    </row>
    <row r="38" spans="1:6" x14ac:dyDescent="0.45">
      <c r="B38" t="s">
        <v>29</v>
      </c>
      <c r="F38" t="s">
        <v>264</v>
      </c>
    </row>
    <row r="39" spans="1:6" s="5" customFormat="1" x14ac:dyDescent="0.45">
      <c r="A39" s="6"/>
      <c r="B39" s="5" t="s">
        <v>57</v>
      </c>
      <c r="F39" s="5" t="s">
        <v>265</v>
      </c>
    </row>
    <row r="40" spans="1:6" s="5" customFormat="1" x14ac:dyDescent="0.45">
      <c r="A40" s="6"/>
      <c r="B40" s="5" t="s">
        <v>56</v>
      </c>
      <c r="F40" s="5" t="s">
        <v>266</v>
      </c>
    </row>
    <row r="41" spans="1:6" s="5" customFormat="1" x14ac:dyDescent="0.45">
      <c r="A41" s="6"/>
      <c r="B41" s="5" t="s">
        <v>58</v>
      </c>
    </row>
    <row r="42" spans="1:6" x14ac:dyDescent="0.45">
      <c r="B42" t="s">
        <v>31</v>
      </c>
      <c r="E42" s="6" t="s">
        <v>267</v>
      </c>
    </row>
    <row r="43" spans="1:6" x14ac:dyDescent="0.45">
      <c r="B43" t="s">
        <v>32</v>
      </c>
      <c r="F43">
        <v>1</v>
      </c>
    </row>
    <row r="44" spans="1:6" x14ac:dyDescent="0.45">
      <c r="B44" t="s">
        <v>33</v>
      </c>
      <c r="F44">
        <v>2</v>
      </c>
    </row>
    <row r="45" spans="1:6" s="5" customFormat="1" x14ac:dyDescent="0.45">
      <c r="A45" s="6"/>
      <c r="B45" s="5" t="s">
        <v>59</v>
      </c>
      <c r="F45" s="5">
        <v>3</v>
      </c>
    </row>
    <row r="46" spans="1:6" x14ac:dyDescent="0.45">
      <c r="B46" t="s">
        <v>36</v>
      </c>
      <c r="F46">
        <v>4</v>
      </c>
    </row>
    <row r="47" spans="1:6" x14ac:dyDescent="0.45">
      <c r="B47" t="s">
        <v>34</v>
      </c>
      <c r="F47" t="s">
        <v>364</v>
      </c>
    </row>
    <row r="48" spans="1:6" s="5" customFormat="1" x14ac:dyDescent="0.45">
      <c r="A48" s="6"/>
      <c r="B48" s="5" t="s">
        <v>60</v>
      </c>
    </row>
    <row r="49" spans="1:6" s="5" customFormat="1" x14ac:dyDescent="0.45">
      <c r="A49" s="6"/>
      <c r="B49" s="5" t="s">
        <v>61</v>
      </c>
      <c r="E49" s="6" t="s">
        <v>268</v>
      </c>
    </row>
    <row r="50" spans="1:6" s="5" customFormat="1" x14ac:dyDescent="0.45">
      <c r="A50" s="6"/>
      <c r="B50" s="5" t="s">
        <v>62</v>
      </c>
      <c r="F50" s="5" t="s">
        <v>269</v>
      </c>
    </row>
    <row r="51" spans="1:6" s="5" customFormat="1" x14ac:dyDescent="0.45">
      <c r="A51" s="6"/>
      <c r="B51" s="5" t="s">
        <v>40</v>
      </c>
      <c r="F51" s="5" t="s">
        <v>270</v>
      </c>
    </row>
    <row r="52" spans="1:6" x14ac:dyDescent="0.45">
      <c r="B52" t="s">
        <v>63</v>
      </c>
    </row>
    <row r="53" spans="1:6" x14ac:dyDescent="0.45">
      <c r="B53" t="s">
        <v>35</v>
      </c>
      <c r="E53" s="6" t="s">
        <v>272</v>
      </c>
      <c r="F53" s="5"/>
    </row>
    <row r="54" spans="1:6" s="5" customFormat="1" x14ac:dyDescent="0.45">
      <c r="A54" s="6"/>
      <c r="B54" s="5" t="s">
        <v>64</v>
      </c>
      <c r="E54" s="6"/>
      <c r="F54" s="5" t="s">
        <v>273</v>
      </c>
    </row>
    <row r="55" spans="1:6" x14ac:dyDescent="0.45">
      <c r="B55" t="s">
        <v>37</v>
      </c>
      <c r="E55" s="6"/>
      <c r="F55" s="5" t="s">
        <v>274</v>
      </c>
    </row>
    <row r="56" spans="1:6" x14ac:dyDescent="0.45">
      <c r="B56" t="s">
        <v>38</v>
      </c>
      <c r="E56" s="6"/>
      <c r="F56" s="5" t="s">
        <v>359</v>
      </c>
    </row>
    <row r="57" spans="1:6" x14ac:dyDescent="0.45">
      <c r="B57" t="s">
        <v>39</v>
      </c>
      <c r="E57" s="6"/>
      <c r="F57" s="5" t="s">
        <v>275</v>
      </c>
    </row>
    <row r="58" spans="1:6" x14ac:dyDescent="0.45">
      <c r="B58" t="s">
        <v>41</v>
      </c>
      <c r="E58" s="6"/>
      <c r="F58" s="5" t="s">
        <v>276</v>
      </c>
    </row>
    <row r="59" spans="1:6" s="5" customFormat="1" x14ac:dyDescent="0.45">
      <c r="A59" s="6"/>
      <c r="E59" s="6"/>
      <c r="F59" s="5" t="s">
        <v>277</v>
      </c>
    </row>
    <row r="60" spans="1:6" x14ac:dyDescent="0.45">
      <c r="A60" s="6" t="s">
        <v>76</v>
      </c>
      <c r="E60" s="6"/>
      <c r="F60" s="5" t="s">
        <v>278</v>
      </c>
    </row>
    <row r="61" spans="1:6" x14ac:dyDescent="0.45">
      <c r="E61" s="6"/>
      <c r="F61" s="5" t="s">
        <v>279</v>
      </c>
    </row>
    <row r="62" spans="1:6" x14ac:dyDescent="0.45">
      <c r="B62" t="s">
        <v>49</v>
      </c>
      <c r="E62" s="6"/>
      <c r="F62" s="5" t="s">
        <v>280</v>
      </c>
    </row>
    <row r="63" spans="1:6" x14ac:dyDescent="0.45">
      <c r="B63" t="s">
        <v>50</v>
      </c>
      <c r="E63" s="6"/>
      <c r="F63" s="5" t="s">
        <v>281</v>
      </c>
    </row>
    <row r="64" spans="1:6" x14ac:dyDescent="0.45">
      <c r="A64" s="6" t="s">
        <v>84</v>
      </c>
      <c r="E64" s="6"/>
      <c r="F64" s="5" t="s">
        <v>282</v>
      </c>
    </row>
    <row r="65" spans="2:6" x14ac:dyDescent="0.45">
      <c r="E65" s="6"/>
      <c r="F65" s="5" t="s">
        <v>283</v>
      </c>
    </row>
    <row r="66" spans="2:6" x14ac:dyDescent="0.45">
      <c r="B66" s="45" t="s">
        <v>85</v>
      </c>
      <c r="E66" s="6"/>
      <c r="F66" s="5" t="s">
        <v>284</v>
      </c>
    </row>
    <row r="67" spans="2:6" x14ac:dyDescent="0.45">
      <c r="B67" s="45" t="s">
        <v>86</v>
      </c>
    </row>
    <row r="68" spans="2:6" x14ac:dyDescent="0.45">
      <c r="B68" t="s">
        <v>253</v>
      </c>
    </row>
    <row r="69" spans="2:6" x14ac:dyDescent="0.45">
      <c r="B69" s="5"/>
    </row>
    <row r="70" spans="2:6" x14ac:dyDescent="0.45">
      <c r="B70" s="5"/>
    </row>
    <row r="71" spans="2:6" x14ac:dyDescent="0.45">
      <c r="B71" s="5"/>
    </row>
    <row r="72" spans="2:6" x14ac:dyDescent="0.45">
      <c r="B72" s="5"/>
    </row>
    <row r="73" spans="2:6" x14ac:dyDescent="0.45">
      <c r="B73" s="5"/>
    </row>
    <row r="74" spans="2:6" x14ac:dyDescent="0.45">
      <c r="B74" s="22"/>
    </row>
    <row r="76" spans="2:6" x14ac:dyDescent="0.45">
      <c r="B76" s="5"/>
    </row>
    <row r="77" spans="2:6" x14ac:dyDescent="0.45">
      <c r="B77" s="5"/>
    </row>
    <row r="78" spans="2:6" x14ac:dyDescent="0.45">
      <c r="B78" s="5"/>
    </row>
    <row r="79" spans="2:6" x14ac:dyDescent="0.45">
      <c r="B79" s="5"/>
    </row>
    <row r="81" spans="1:2" x14ac:dyDescent="0.45">
      <c r="B81" s="5"/>
    </row>
    <row r="82" spans="1:2" x14ac:dyDescent="0.45">
      <c r="B82" s="5"/>
    </row>
    <row r="83" spans="1:2" x14ac:dyDescent="0.45">
      <c r="B83" s="5"/>
    </row>
    <row r="84" spans="1:2" x14ac:dyDescent="0.45">
      <c r="B84" s="5"/>
    </row>
    <row r="85" spans="1:2" x14ac:dyDescent="0.45">
      <c r="B85" s="5"/>
    </row>
    <row r="86" spans="1:2" x14ac:dyDescent="0.45">
      <c r="B86" s="5"/>
    </row>
    <row r="87" spans="1:2" x14ac:dyDescent="0.45">
      <c r="B87" s="5"/>
    </row>
    <row r="88" spans="1:2" x14ac:dyDescent="0.45">
      <c r="B88" s="5"/>
    </row>
    <row r="89" spans="1:2" x14ac:dyDescent="0.45">
      <c r="B89" s="5"/>
    </row>
    <row r="90" spans="1:2" x14ac:dyDescent="0.45">
      <c r="B90" s="5"/>
    </row>
    <row r="91" spans="1:2" x14ac:dyDescent="0.45">
      <c r="B91" s="5"/>
    </row>
    <row r="92" spans="1:2" x14ac:dyDescent="0.45">
      <c r="A92" s="5"/>
      <c r="B92" s="5"/>
    </row>
    <row r="93" spans="1:2" x14ac:dyDescent="0.45">
      <c r="B93" s="5"/>
    </row>
    <row r="94" spans="1:2" x14ac:dyDescent="0.45">
      <c r="B94" s="5"/>
    </row>
    <row r="95" spans="1:2" x14ac:dyDescent="0.45">
      <c r="B95" s="5"/>
    </row>
    <row r="96" spans="1:2" x14ac:dyDescent="0.45">
      <c r="B96" s="5"/>
    </row>
    <row r="97" spans="1:2" x14ac:dyDescent="0.45">
      <c r="A97" s="5"/>
      <c r="B97" s="5"/>
    </row>
    <row r="98" spans="1:2" x14ac:dyDescent="0.45">
      <c r="A98" s="5"/>
      <c r="B98" s="5"/>
    </row>
    <row r="99" spans="1:2" x14ac:dyDescent="0.45">
      <c r="A99" s="5"/>
      <c r="B99" s="5"/>
    </row>
    <row r="100" spans="1:2" x14ac:dyDescent="0.45">
      <c r="A100" s="5"/>
      <c r="B100" s="5"/>
    </row>
    <row r="101" spans="1:2" x14ac:dyDescent="0.45">
      <c r="B101" s="5"/>
    </row>
    <row r="103" spans="1:2" x14ac:dyDescent="0.45">
      <c r="A103" s="6" t="s">
        <v>161</v>
      </c>
    </row>
    <row r="104" spans="1:2" x14ac:dyDescent="0.45">
      <c r="B104">
        <v>1</v>
      </c>
    </row>
    <row r="105" spans="1:2" x14ac:dyDescent="0.45">
      <c r="B105">
        <v>2</v>
      </c>
    </row>
    <row r="106" spans="1:2" x14ac:dyDescent="0.45">
      <c r="B106">
        <v>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Project Assessment</vt:lpstr>
      <vt:lpstr>Debit Calculator</vt:lpstr>
      <vt:lpstr>Existing Conditions</vt:lpstr>
      <vt:lpstr>Proposed Conditions</vt:lpstr>
      <vt:lpstr>Flow Alteration Module</vt:lpstr>
      <vt:lpstr>Reference Curves</vt:lpstr>
      <vt:lpstr>Pull Down Notes</vt:lpstr>
      <vt:lpstr>BedMaterial</vt:lpstr>
      <vt:lpstr>BEHI.NBS</vt:lpstr>
      <vt:lpstr>'Debit Calculator'!Print_Area</vt:lpstr>
      <vt:lpstr>'Existing Conditions'!Print_Area</vt:lpstr>
      <vt:lpstr>'Flow Alteration Module'!Print_Area</vt:lpstr>
      <vt:lpstr>'Project Assessment'!Print_Area</vt:lpstr>
      <vt:lpstr>'Proposed Conditions'!Print_Area</vt:lpstr>
      <vt:lpstr>StreamType</vt:lpstr>
      <vt:lpstr>Yes.No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cjones</cp:lastModifiedBy>
  <cp:lastPrinted>2020-07-06T20:51:50Z</cp:lastPrinted>
  <dcterms:created xsi:type="dcterms:W3CDTF">2014-08-22T20:36:47Z</dcterms:created>
  <dcterms:modified xsi:type="dcterms:W3CDTF">2020-07-06T20:54:56Z</dcterms:modified>
</cp:coreProperties>
</file>