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Y:\Shared\EPR Folder\CO\v1 FINAL VERSION\CSQT Final Documents\"/>
    </mc:Choice>
  </mc:AlternateContent>
  <xr:revisionPtr revIDLastSave="0" documentId="13_ncr:1_{42A34B70-B97C-46B6-8C85-DF45C7719D8D}" xr6:coauthVersionLast="45" xr6:coauthVersionMax="45" xr10:uidLastSave="{00000000-0000-0000-0000-000000000000}"/>
  <bookViews>
    <workbookView xWindow="-98" yWindow="-98" windowWidth="20715" windowHeight="13276" tabRatio="758" activeTab="2" xr2:uid="{F752CCF2-981F-463E-8154-FBBD6B40A3A4}"/>
  </bookViews>
  <sheets>
    <sheet name="Project Assessment" sheetId="10" r:id="rId1"/>
    <sheet name="Catchment Assessment" sheetId="11" r:id="rId2"/>
    <sheet name="Quantification Tool" sheetId="2" r:id="rId3"/>
    <sheet name="Monitoring Data" sheetId="13" r:id="rId4"/>
    <sheet name="Data Summary" sheetId="14" r:id="rId5"/>
    <sheet name="Flow Alteration Module" sheetId="17" r:id="rId6"/>
    <sheet name="Reference Curves" sheetId="1" r:id="rId7"/>
    <sheet name="Pull Down Notes" sheetId="3" state="hidden" r:id="rId8"/>
  </sheets>
  <definedNames>
    <definedName name="BedMaterial">'Pull Down Notes'!$B$16:$B$22</definedName>
    <definedName name="BedType" localSheetId="5">'Pull Down Notes'!#REF!</definedName>
    <definedName name="BedType">'Pull Down Notes'!#REF!</definedName>
    <definedName name="BEHI.NBS">'Pull Down Notes'!$B$25:$B$61</definedName>
    <definedName name="CatchmentAssessment">'Pull Down Notes'!$B$95:$B$97</definedName>
    <definedName name="CatchmentAssessmentQuat" localSheetId="5">'Pull Down Notes'!#REF!</definedName>
    <definedName name="CatchmentAssessmentQuat">'Pull Down Notes'!#REF!</definedName>
    <definedName name="DrainageArea" localSheetId="5">'Pull Down Notes'!#REF!</definedName>
    <definedName name="DrainageArea">'Pull Down Notes'!#REF!</definedName>
    <definedName name="Flow.Type" localSheetId="5">'Pull Down Notes'!#REF!</definedName>
    <definedName name="Flow.Type">'Pull Down Notes'!#REF!</definedName>
    <definedName name="Level">'Pull Down Notes'!$B$63:$B$65</definedName>
    <definedName name="_xlnm.Print_Area" localSheetId="5">'Flow Alteration Module'!$A$1:$H$71</definedName>
    <definedName name="_xlnm.Print_Area" localSheetId="3">'Monitoring Data'!$A$1:$I$362</definedName>
    <definedName name="_xlnm.Print_Area" localSheetId="0">'Project Assessment'!$A$1:$X$40</definedName>
    <definedName name="_xlnm.Print_Area" localSheetId="2">'Quantification Tool'!$A$3:$K$105</definedName>
    <definedName name="_xlnm.Print_Area" localSheetId="6">'Reference Curves'!$A$1</definedName>
    <definedName name="ProgramGoals">'Pull Down Notes'!$B$77:$B$79</definedName>
    <definedName name="Region">'Pull Down Notes'!#REF!</definedName>
    <definedName name="RiverBasins">'Pull Down Notes'!$B$81:$B$84</definedName>
    <definedName name="StreamType">'Pull Down Notes'!$B$1:$B$14</definedName>
    <definedName name="WaterTypes">'Pull Down Notes'!$B$86:$B$92</definedName>
    <definedName name="Yes.No">'Pull Down Notes'!$B$73:$B$74</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1" i="17" l="1"/>
  <c r="D71" i="17"/>
  <c r="G62" i="17"/>
  <c r="D62" i="17"/>
  <c r="G53" i="17"/>
  <c r="D53" i="17"/>
  <c r="G44" i="17"/>
  <c r="D44" i="17"/>
  <c r="D35" i="17"/>
  <c r="G35" i="17"/>
  <c r="G26" i="17"/>
  <c r="D26" i="17"/>
  <c r="F355" i="13"/>
  <c r="F322" i="13"/>
  <c r="F289" i="13"/>
  <c r="F256" i="13"/>
  <c r="F223" i="13"/>
  <c r="F190" i="13"/>
  <c r="F157" i="13"/>
  <c r="F124" i="13"/>
  <c r="F91" i="13"/>
  <c r="F58" i="13"/>
  <c r="F26" i="13"/>
  <c r="F25" i="13"/>
  <c r="G98" i="2"/>
  <c r="G65" i="2"/>
  <c r="F352" i="13"/>
  <c r="F319" i="13"/>
  <c r="F286" i="13"/>
  <c r="F253" i="13"/>
  <c r="F220" i="13"/>
  <c r="F187" i="13"/>
  <c r="F154" i="13"/>
  <c r="F121" i="13"/>
  <c r="F88" i="13"/>
  <c r="F55" i="13"/>
  <c r="F22" i="13"/>
  <c r="G95" i="2"/>
  <c r="G62" i="2"/>
  <c r="K15" i="1"/>
  <c r="G22" i="17" l="1"/>
  <c r="F317" i="13"/>
  <c r="F284" i="13"/>
  <c r="F251" i="13"/>
  <c r="F218" i="13"/>
  <c r="F119" i="13"/>
  <c r="F86" i="13"/>
  <c r="F53" i="13"/>
  <c r="F20" i="13"/>
  <c r="F359" i="13" l="1"/>
  <c r="F326" i="13"/>
  <c r="F293" i="13"/>
  <c r="F260" i="13"/>
  <c r="F227" i="13"/>
  <c r="F194" i="13"/>
  <c r="F161" i="13"/>
  <c r="F128" i="13"/>
  <c r="F95" i="13"/>
  <c r="F62" i="13"/>
  <c r="F29" i="13"/>
  <c r="G102" i="2"/>
  <c r="G69" i="2"/>
  <c r="C20" i="2" l="1"/>
  <c r="G60" i="2" l="1"/>
  <c r="G93" i="2"/>
  <c r="F185" i="13"/>
  <c r="F152" i="13"/>
  <c r="F350" i="13"/>
  <c r="F49" i="13"/>
  <c r="F82" i="13"/>
  <c r="F115" i="13"/>
  <c r="F148" i="13"/>
  <c r="F181" i="13"/>
  <c r="F214" i="13"/>
  <c r="F247" i="13"/>
  <c r="F280" i="13"/>
  <c r="F313" i="13"/>
  <c r="F346" i="13"/>
  <c r="G89" i="2"/>
  <c r="F342" i="13"/>
  <c r="F309" i="13"/>
  <c r="F276" i="13"/>
  <c r="F243" i="13"/>
  <c r="F210" i="13"/>
  <c r="F177" i="13"/>
  <c r="F144" i="13"/>
  <c r="F111" i="13"/>
  <c r="F78" i="13"/>
  <c r="F45" i="13"/>
  <c r="F12" i="13"/>
  <c r="G85" i="2"/>
  <c r="G52" i="2"/>
  <c r="F28" i="13" l="1"/>
  <c r="F61" i="13"/>
  <c r="F94" i="13"/>
  <c r="F127" i="13"/>
  <c r="F160" i="13"/>
  <c r="F193" i="13"/>
  <c r="F226" i="13"/>
  <c r="F259" i="13"/>
  <c r="F292" i="13"/>
  <c r="F325" i="13"/>
  <c r="F358" i="13"/>
  <c r="G68" i="2"/>
  <c r="F334" i="13" l="1"/>
  <c r="F301" i="13"/>
  <c r="F268" i="13"/>
  <c r="F235" i="13"/>
  <c r="F202" i="13"/>
  <c r="F169" i="13"/>
  <c r="F136" i="13"/>
  <c r="F103" i="13"/>
  <c r="F70" i="13"/>
  <c r="F37" i="13"/>
  <c r="F4" i="13"/>
  <c r="G77" i="2"/>
  <c r="G44" i="2"/>
  <c r="G43" i="2" l="1"/>
  <c r="H43" i="2" s="1"/>
  <c r="G46" i="2"/>
  <c r="H45" i="2" s="1"/>
  <c r="G51" i="2"/>
  <c r="G53" i="2"/>
  <c r="G54" i="2"/>
  <c r="G55" i="2"/>
  <c r="G57" i="2"/>
  <c r="G58" i="2"/>
  <c r="G59" i="2"/>
  <c r="G61" i="2"/>
  <c r="G63" i="2"/>
  <c r="F40" i="13"/>
  <c r="F106" i="13"/>
  <c r="F172" i="13"/>
  <c r="F205" i="13"/>
  <c r="F238" i="13"/>
  <c r="F271" i="13"/>
  <c r="F304" i="13"/>
  <c r="F361" i="13"/>
  <c r="F360" i="13"/>
  <c r="F357" i="13"/>
  <c r="F356" i="13"/>
  <c r="F354" i="13"/>
  <c r="F353" i="13"/>
  <c r="F351" i="13"/>
  <c r="F349" i="13"/>
  <c r="F348" i="13"/>
  <c r="F347" i="13"/>
  <c r="F345" i="13"/>
  <c r="F344" i="13"/>
  <c r="F343" i="13"/>
  <c r="F341" i="13"/>
  <c r="F340" i="13"/>
  <c r="F338" i="13"/>
  <c r="F336" i="13"/>
  <c r="F333" i="13"/>
  <c r="F328" i="13"/>
  <c r="F327" i="13"/>
  <c r="F324" i="13"/>
  <c r="F323" i="13"/>
  <c r="F321" i="13"/>
  <c r="F320" i="13"/>
  <c r="F318" i="13"/>
  <c r="F316" i="13"/>
  <c r="F315" i="13"/>
  <c r="F314" i="13"/>
  <c r="F312" i="13"/>
  <c r="F311" i="13"/>
  <c r="F310" i="13"/>
  <c r="F308" i="13"/>
  <c r="F307" i="13"/>
  <c r="F305" i="13"/>
  <c r="F303" i="13"/>
  <c r="F300" i="13"/>
  <c r="F295" i="13"/>
  <c r="F294" i="13"/>
  <c r="F291" i="13"/>
  <c r="F290" i="13"/>
  <c r="F288" i="13"/>
  <c r="F287" i="13"/>
  <c r="F285" i="13"/>
  <c r="F283" i="13"/>
  <c r="F282" i="13"/>
  <c r="F281" i="13"/>
  <c r="F279" i="13"/>
  <c r="F278" i="13"/>
  <c r="F277" i="13"/>
  <c r="F275" i="13"/>
  <c r="F274" i="13"/>
  <c r="F272" i="13"/>
  <c r="F270" i="13"/>
  <c r="F267" i="13"/>
  <c r="F262" i="13"/>
  <c r="F261" i="13"/>
  <c r="F258" i="13"/>
  <c r="F257" i="13"/>
  <c r="F255" i="13"/>
  <c r="F254" i="13"/>
  <c r="F252" i="13"/>
  <c r="F250" i="13"/>
  <c r="F249" i="13"/>
  <c r="F248" i="13"/>
  <c r="F246" i="13"/>
  <c r="F245" i="13"/>
  <c r="F244" i="13"/>
  <c r="F242" i="13"/>
  <c r="F241" i="13"/>
  <c r="F239" i="13"/>
  <c r="F237" i="13"/>
  <c r="F234" i="13"/>
  <c r="F229" i="13"/>
  <c r="F228" i="13"/>
  <c r="F225" i="13"/>
  <c r="F224" i="13"/>
  <c r="F222" i="13"/>
  <c r="F221" i="13"/>
  <c r="F219" i="13"/>
  <c r="F217" i="13"/>
  <c r="F216" i="13"/>
  <c r="F215" i="13"/>
  <c r="F213" i="13"/>
  <c r="G210" i="13" s="1"/>
  <c r="F212" i="13"/>
  <c r="F211" i="13"/>
  <c r="F209" i="13"/>
  <c r="F208" i="13"/>
  <c r="F206" i="13"/>
  <c r="F204" i="13"/>
  <c r="F201" i="13"/>
  <c r="F196" i="13"/>
  <c r="F195" i="13"/>
  <c r="F192" i="13"/>
  <c r="F191" i="13"/>
  <c r="F189" i="13"/>
  <c r="F188" i="13"/>
  <c r="F186" i="13"/>
  <c r="F184" i="13"/>
  <c r="F183" i="13"/>
  <c r="F182" i="13"/>
  <c r="F180" i="13"/>
  <c r="F179" i="13"/>
  <c r="F178" i="13"/>
  <c r="F176" i="13"/>
  <c r="F175" i="13"/>
  <c r="F173" i="13"/>
  <c r="F171" i="13"/>
  <c r="F168" i="13"/>
  <c r="F163" i="13"/>
  <c r="F162" i="13"/>
  <c r="F159" i="13"/>
  <c r="F158" i="13"/>
  <c r="F156" i="13"/>
  <c r="F155" i="13"/>
  <c r="F153" i="13"/>
  <c r="F151" i="13"/>
  <c r="F150" i="13"/>
  <c r="F149" i="13"/>
  <c r="F147" i="13"/>
  <c r="F146" i="13"/>
  <c r="F145" i="13"/>
  <c r="F143" i="13"/>
  <c r="F142" i="13"/>
  <c r="F140" i="13"/>
  <c r="F138" i="13"/>
  <c r="F135" i="13"/>
  <c r="F130" i="13"/>
  <c r="F129" i="13"/>
  <c r="F126" i="13"/>
  <c r="F125" i="13"/>
  <c r="F123" i="13"/>
  <c r="F122" i="13"/>
  <c r="F120" i="13"/>
  <c r="F118" i="13"/>
  <c r="F117" i="13"/>
  <c r="F116" i="13"/>
  <c r="F114" i="13"/>
  <c r="F113" i="13"/>
  <c r="F112" i="13"/>
  <c r="F110" i="13"/>
  <c r="F109" i="13"/>
  <c r="F107" i="13"/>
  <c r="F105" i="13"/>
  <c r="F102" i="13"/>
  <c r="F97" i="13"/>
  <c r="F96" i="13"/>
  <c r="F93" i="13"/>
  <c r="F92" i="13"/>
  <c r="F90" i="13"/>
  <c r="F89" i="13"/>
  <c r="F87" i="13"/>
  <c r="F85" i="13"/>
  <c r="F84" i="13"/>
  <c r="F83" i="13"/>
  <c r="F81" i="13"/>
  <c r="F80" i="13"/>
  <c r="F79" i="13"/>
  <c r="F77" i="13"/>
  <c r="F76" i="13"/>
  <c r="F74" i="13"/>
  <c r="F72" i="13"/>
  <c r="F69" i="13"/>
  <c r="F64" i="13"/>
  <c r="F63" i="13"/>
  <c r="F60" i="13"/>
  <c r="F59" i="13"/>
  <c r="F57" i="13"/>
  <c r="F56" i="13"/>
  <c r="F54" i="13"/>
  <c r="F52" i="13"/>
  <c r="F51" i="13"/>
  <c r="F50" i="13"/>
  <c r="F48" i="13"/>
  <c r="F47" i="13"/>
  <c r="F46" i="13"/>
  <c r="F44" i="13"/>
  <c r="F43" i="13"/>
  <c r="F41" i="13"/>
  <c r="F39" i="13"/>
  <c r="F36" i="13"/>
  <c r="F23" i="13"/>
  <c r="F21" i="13"/>
  <c r="F8" i="13"/>
  <c r="F6" i="13"/>
  <c r="F3" i="13"/>
  <c r="G79" i="2"/>
  <c r="G94" i="2"/>
  <c r="F306" i="13"/>
  <c r="H60" i="2" l="1"/>
  <c r="G49" i="2"/>
  <c r="G78" i="13"/>
  <c r="G276" i="13"/>
  <c r="H52" i="2"/>
  <c r="G342" i="13"/>
  <c r="G309" i="13"/>
  <c r="G243" i="13"/>
  <c r="G177" i="13"/>
  <c r="G111" i="13"/>
  <c r="G45" i="13"/>
  <c r="F240" i="13"/>
  <c r="F141" i="13"/>
  <c r="F75" i="13"/>
  <c r="F339" i="13"/>
  <c r="F174" i="13"/>
  <c r="F273" i="13"/>
  <c r="F108" i="13"/>
  <c r="F207" i="13"/>
  <c r="F42" i="13"/>
  <c r="G144" i="13"/>
  <c r="C6" i="2" l="1"/>
  <c r="G96" i="2" l="1"/>
  <c r="G76" i="2" l="1"/>
  <c r="C22" i="2" l="1"/>
  <c r="G47" i="2" l="1"/>
  <c r="G80" i="2"/>
  <c r="F7" i="13"/>
  <c r="F73" i="13"/>
  <c r="F337" i="13"/>
  <c r="F139" i="13"/>
  <c r="H11" i="2"/>
  <c r="H10" i="2"/>
  <c r="J9" i="2"/>
  <c r="H12" i="2" l="1"/>
  <c r="G50" i="2"/>
  <c r="H50" i="2" s="1"/>
  <c r="C21" i="2" l="1"/>
  <c r="F16" i="13" l="1"/>
  <c r="G56" i="2"/>
  <c r="H56" i="2" s="1"/>
  <c r="I50" i="2" s="1"/>
  <c r="G48" i="2"/>
  <c r="H47" i="2" s="1"/>
  <c r="I43" i="2" s="1"/>
  <c r="G81" i="2"/>
  <c r="F13" i="13"/>
  <c r="G86" i="2"/>
  <c r="F31" i="13" l="1"/>
  <c r="F27" i="13"/>
  <c r="F24" i="13"/>
  <c r="F18" i="13"/>
  <c r="F9" i="13"/>
  <c r="G335" i="13"/>
  <c r="G302" i="13"/>
  <c r="G269" i="13"/>
  <c r="G236" i="13"/>
  <c r="G203" i="13"/>
  <c r="G170" i="13"/>
  <c r="G137" i="13"/>
  <c r="G104" i="13"/>
  <c r="G71" i="13"/>
  <c r="G38" i="13"/>
  <c r="G5" i="13"/>
  <c r="G359" i="13" l="1"/>
  <c r="G358" i="13"/>
  <c r="G357" i="13"/>
  <c r="G356" i="13"/>
  <c r="O13" i="14" s="1"/>
  <c r="G354" i="13"/>
  <c r="O6" i="14"/>
  <c r="G325" i="13"/>
  <c r="G324" i="13"/>
  <c r="G323" i="13"/>
  <c r="N13" i="14" s="1"/>
  <c r="N6" i="14"/>
  <c r="G292" i="13"/>
  <c r="G291" i="13"/>
  <c r="G290" i="13"/>
  <c r="M13" i="14" s="1"/>
  <c r="G259" i="13"/>
  <c r="G258" i="13"/>
  <c r="G257" i="13"/>
  <c r="L13" i="14" s="1"/>
  <c r="G226" i="13"/>
  <c r="G225" i="13"/>
  <c r="G224" i="13"/>
  <c r="K13" i="14" s="1"/>
  <c r="G193" i="13"/>
  <c r="G192" i="13"/>
  <c r="G191" i="13"/>
  <c r="J13" i="14" s="1"/>
  <c r="G160" i="13"/>
  <c r="G159" i="13"/>
  <c r="G158" i="13"/>
  <c r="I13" i="14" s="1"/>
  <c r="G127" i="13"/>
  <c r="G126" i="13"/>
  <c r="G125" i="13"/>
  <c r="H13" i="14" s="1"/>
  <c r="G94" i="13"/>
  <c r="G93" i="13"/>
  <c r="G92" i="13"/>
  <c r="G61" i="13"/>
  <c r="G60" i="13"/>
  <c r="G59" i="13"/>
  <c r="G28" i="13"/>
  <c r="G27" i="13"/>
  <c r="G26" i="13"/>
  <c r="E13" i="14" s="1"/>
  <c r="F19" i="13"/>
  <c r="F17" i="13"/>
  <c r="F15" i="13"/>
  <c r="F14" i="13"/>
  <c r="F11" i="13"/>
  <c r="F10" i="13"/>
  <c r="G12" i="13" l="1"/>
  <c r="H354" i="13"/>
  <c r="F13" i="14"/>
  <c r="G13" i="14"/>
  <c r="H358" i="13"/>
  <c r="G350" i="13"/>
  <c r="G333" i="13"/>
  <c r="G337" i="13"/>
  <c r="G346" i="13"/>
  <c r="G340" i="13"/>
  <c r="G317" i="13"/>
  <c r="G326" i="13"/>
  <c r="H325" i="13" s="1"/>
  <c r="G321" i="13"/>
  <c r="H321" i="13" s="1"/>
  <c r="J6" i="14"/>
  <c r="G300" i="13"/>
  <c r="M6" i="14"/>
  <c r="K6" i="14"/>
  <c r="G304" i="13"/>
  <c r="G271" i="13"/>
  <c r="G293" i="13"/>
  <c r="H292" i="13" s="1"/>
  <c r="G313" i="13"/>
  <c r="G288" i="13"/>
  <c r="H288" i="13" s="1"/>
  <c r="G274" i="13"/>
  <c r="G284" i="13"/>
  <c r="G267" i="13"/>
  <c r="G280" i="13"/>
  <c r="G260" i="13"/>
  <c r="H259" i="13" s="1"/>
  <c r="G255" i="13"/>
  <c r="H255" i="13" s="1"/>
  <c r="L6" i="14"/>
  <c r="G227" i="13"/>
  <c r="H226" i="13" s="1"/>
  <c r="G238" i="13"/>
  <c r="G251" i="13"/>
  <c r="G234" i="13"/>
  <c r="G247" i="13"/>
  <c r="G201" i="13"/>
  <c r="G222" i="13"/>
  <c r="H222" i="13" s="1"/>
  <c r="G172" i="13"/>
  <c r="G194" i="13"/>
  <c r="H193" i="13" s="1"/>
  <c r="G168" i="13"/>
  <c r="G218" i="13"/>
  <c r="G205" i="13"/>
  <c r="G181" i="13"/>
  <c r="G185" i="13"/>
  <c r="G214" i="13"/>
  <c r="G208" i="13"/>
  <c r="I6" i="14"/>
  <c r="G189" i="13"/>
  <c r="H189" i="13" s="1"/>
  <c r="G161" i="13"/>
  <c r="H160" i="13" s="1"/>
  <c r="G142" i="13"/>
  <c r="G156" i="13"/>
  <c r="H156" i="13" s="1"/>
  <c r="G139" i="13"/>
  <c r="G135" i="13"/>
  <c r="G148" i="13"/>
  <c r="G152" i="13"/>
  <c r="G128" i="13"/>
  <c r="H127" i="13" s="1"/>
  <c r="G123" i="13"/>
  <c r="H123" i="13" s="1"/>
  <c r="G24" i="13"/>
  <c r="H24" i="13" s="1"/>
  <c r="I24" i="13" s="1"/>
  <c r="H6" i="14"/>
  <c r="G6" i="14"/>
  <c r="G106" i="13"/>
  <c r="G119" i="13"/>
  <c r="G115" i="13"/>
  <c r="G102" i="13"/>
  <c r="G95" i="13"/>
  <c r="H94" i="13" s="1"/>
  <c r="F6" i="14"/>
  <c r="G90" i="13"/>
  <c r="H90" i="13" s="1"/>
  <c r="E6" i="14"/>
  <c r="G76" i="13"/>
  <c r="G86" i="13"/>
  <c r="G69" i="13"/>
  <c r="G73" i="13"/>
  <c r="G82" i="13"/>
  <c r="G62" i="13"/>
  <c r="H61" i="13" s="1"/>
  <c r="G40" i="13"/>
  <c r="G3" i="13"/>
  <c r="G10" i="13"/>
  <c r="G57" i="13"/>
  <c r="H57" i="13" s="1"/>
  <c r="G53" i="13"/>
  <c r="G16" i="13"/>
  <c r="G36" i="13"/>
  <c r="G49" i="13"/>
  <c r="G7" i="13"/>
  <c r="G20" i="13"/>
  <c r="G41" i="17"/>
  <c r="H333" i="13" l="1"/>
  <c r="O7" i="14"/>
  <c r="H340" i="13"/>
  <c r="H300" i="13"/>
  <c r="H267" i="13"/>
  <c r="H274" i="13"/>
  <c r="H234" i="13"/>
  <c r="H201" i="13"/>
  <c r="H208" i="13"/>
  <c r="H135" i="13"/>
  <c r="H142" i="13"/>
  <c r="H102" i="13"/>
  <c r="H69" i="13"/>
  <c r="H3" i="13"/>
  <c r="I3" i="13" s="1"/>
  <c r="H36" i="13"/>
  <c r="H10" i="13"/>
  <c r="I10" i="13" s="1"/>
  <c r="G4" i="14"/>
  <c r="H4" i="14"/>
  <c r="I4" i="14"/>
  <c r="J4" i="14"/>
  <c r="K4" i="14"/>
  <c r="L4" i="14"/>
  <c r="M4" i="14"/>
  <c r="N4" i="14"/>
  <c r="O4" i="14"/>
  <c r="J30" i="14"/>
  <c r="K30" i="14"/>
  <c r="O30" i="14"/>
  <c r="N30" i="14"/>
  <c r="M30" i="14"/>
  <c r="L30" i="14"/>
  <c r="I30" i="14"/>
  <c r="H30" i="14"/>
  <c r="G30" i="14"/>
  <c r="F30" i="14"/>
  <c r="F4" i="14"/>
  <c r="H78" i="2" l="1"/>
  <c r="H21" i="14" l="1"/>
  <c r="I21" i="14"/>
  <c r="G97" i="2" l="1"/>
  <c r="G64" i="2"/>
  <c r="G82" i="2" l="1"/>
  <c r="F282" i="1"/>
  <c r="C282" i="1"/>
  <c r="G91" i="2" l="1"/>
  <c r="G101" i="2"/>
  <c r="G100" i="2"/>
  <c r="G67" i="2"/>
  <c r="G104" i="2"/>
  <c r="G71" i="2"/>
  <c r="G99" i="2" l="1"/>
  <c r="G66" i="2"/>
  <c r="G70" i="17" l="1"/>
  <c r="G69" i="17"/>
  <c r="G68" i="17"/>
  <c r="G67" i="17"/>
  <c r="G66" i="17"/>
  <c r="D70" i="17"/>
  <c r="D69" i="17"/>
  <c r="D68" i="17"/>
  <c r="D67" i="17"/>
  <c r="D66" i="17"/>
  <c r="G61" i="17"/>
  <c r="G60" i="17"/>
  <c r="G59" i="17"/>
  <c r="G58" i="17"/>
  <c r="G57" i="17"/>
  <c r="D61" i="17"/>
  <c r="D60" i="17"/>
  <c r="D59" i="17"/>
  <c r="D58" i="17"/>
  <c r="D57" i="17"/>
  <c r="G52" i="17"/>
  <c r="G51" i="17"/>
  <c r="G50" i="17"/>
  <c r="G49" i="17"/>
  <c r="G48" i="17"/>
  <c r="D52" i="17"/>
  <c r="D51" i="17"/>
  <c r="D50" i="17"/>
  <c r="D49" i="17"/>
  <c r="D48" i="17"/>
  <c r="G25" i="17"/>
  <c r="G24" i="17"/>
  <c r="G23" i="17"/>
  <c r="G21" i="17"/>
  <c r="D25" i="17"/>
  <c r="D24" i="17"/>
  <c r="D23" i="17"/>
  <c r="D22" i="17"/>
  <c r="D21" i="17"/>
  <c r="G34" i="17"/>
  <c r="G33" i="17"/>
  <c r="G32" i="17"/>
  <c r="G31" i="17"/>
  <c r="G30" i="17"/>
  <c r="D34" i="17"/>
  <c r="D33" i="17"/>
  <c r="D32" i="17"/>
  <c r="D31" i="17"/>
  <c r="D30" i="17"/>
  <c r="G43" i="17"/>
  <c r="G42" i="17"/>
  <c r="G40" i="17"/>
  <c r="G39" i="17"/>
  <c r="D43" i="17"/>
  <c r="D42" i="17"/>
  <c r="D41" i="17"/>
  <c r="D40" i="17"/>
  <c r="D39" i="17"/>
  <c r="E66" i="17" l="1"/>
  <c r="N31" i="14" s="1"/>
  <c r="H57" i="17"/>
  <c r="M31" i="14" s="1"/>
  <c r="E57" i="17"/>
  <c r="L31" i="14" s="1"/>
  <c r="H66" i="17"/>
  <c r="O31" i="14" s="1"/>
  <c r="H48" i="17"/>
  <c r="K31" i="14" s="1"/>
  <c r="E48" i="17"/>
  <c r="J31" i="14" s="1"/>
  <c r="H39" i="17"/>
  <c r="I31" i="14" s="1"/>
  <c r="H30" i="17"/>
  <c r="E30" i="17"/>
  <c r="H21" i="17"/>
  <c r="E21" i="17"/>
  <c r="G12" i="17"/>
  <c r="E39" i="17"/>
  <c r="I32" i="14" l="1"/>
  <c r="J32" i="14"/>
  <c r="K32" i="14"/>
  <c r="M32" i="14"/>
  <c r="E32" i="14"/>
  <c r="L32" i="14"/>
  <c r="N32" i="14"/>
  <c r="O32" i="14"/>
  <c r="H31" i="14"/>
  <c r="H32" i="14" s="1"/>
  <c r="G10" i="17" l="1"/>
  <c r="G14" i="17" s="1"/>
  <c r="D31" i="14"/>
  <c r="D32" i="14" s="1"/>
  <c r="G9" i="17"/>
  <c r="C31" i="14"/>
  <c r="C32" i="14" s="1"/>
  <c r="G31" i="14"/>
  <c r="G32" i="14" s="1"/>
  <c r="F31" i="14"/>
  <c r="F32" i="14" s="1"/>
  <c r="E76" i="1"/>
  <c r="D76" i="1"/>
  <c r="C76" i="1"/>
  <c r="G70" i="2"/>
  <c r="G103" i="2"/>
  <c r="H68" i="2"/>
  <c r="H101" i="2"/>
  <c r="AH15" i="1"/>
  <c r="AE15" i="1"/>
  <c r="AB15" i="1"/>
  <c r="T85" i="1"/>
  <c r="S85" i="1"/>
  <c r="H66" i="2"/>
  <c r="C35" i="2" s="1"/>
  <c r="C13" i="14" s="1"/>
  <c r="G13" i="17" l="1"/>
  <c r="G15" i="17" s="1"/>
  <c r="H17" i="2" s="1"/>
  <c r="G11" i="17"/>
  <c r="C28" i="2"/>
  <c r="C6" i="14" s="1"/>
  <c r="D28" i="2"/>
  <c r="D6" i="14" s="1"/>
  <c r="H64" i="2"/>
  <c r="H97" i="2"/>
  <c r="H99" i="2"/>
  <c r="D35" i="2" s="1"/>
  <c r="D13" i="14" s="1"/>
  <c r="G16" i="17" l="1"/>
  <c r="H168" i="13" l="1"/>
  <c r="I321" i="13"/>
  <c r="I57" i="13"/>
  <c r="I288" i="13"/>
  <c r="I354" i="13"/>
  <c r="I255" i="13"/>
  <c r="I222" i="13"/>
  <c r="I189" i="13"/>
  <c r="I156" i="13"/>
  <c r="I123" i="13"/>
  <c r="H76" i="13"/>
  <c r="I90" i="13"/>
  <c r="G92" i="2"/>
  <c r="G90" i="2"/>
  <c r="G88" i="2"/>
  <c r="G87" i="2"/>
  <c r="G84" i="2"/>
  <c r="L576" i="1"/>
  <c r="K306" i="1"/>
  <c r="K305" i="1"/>
  <c r="H85" i="2" l="1"/>
  <c r="G83" i="2"/>
  <c r="H83" i="2" s="1"/>
  <c r="G43" i="13"/>
  <c r="H43" i="13" s="1"/>
  <c r="I43" i="13" s="1"/>
  <c r="G175" i="13"/>
  <c r="H175" i="13" s="1"/>
  <c r="I175" i="13" s="1"/>
  <c r="G307" i="13"/>
  <c r="H307" i="13" s="1"/>
  <c r="I307" i="13" s="1"/>
  <c r="G241" i="13"/>
  <c r="H241" i="13" s="1"/>
  <c r="I241" i="13" s="1"/>
  <c r="G109" i="13"/>
  <c r="H109" i="13" s="1"/>
  <c r="I109" i="13" s="1"/>
  <c r="I69" i="13"/>
  <c r="I135" i="13"/>
  <c r="I168" i="13"/>
  <c r="I234" i="13"/>
  <c r="I36" i="13"/>
  <c r="I94" i="13"/>
  <c r="I102" i="13"/>
  <c r="I292" i="13"/>
  <c r="I127" i="13"/>
  <c r="I259" i="13"/>
  <c r="I333" i="13"/>
  <c r="I300" i="13"/>
  <c r="I61" i="13"/>
  <c r="I208" i="13"/>
  <c r="I76" i="13"/>
  <c r="I325" i="13"/>
  <c r="I358" i="13"/>
  <c r="I340" i="13"/>
  <c r="I193" i="13"/>
  <c r="I160" i="13"/>
  <c r="I226" i="13"/>
  <c r="I142" i="13"/>
  <c r="I267" i="13"/>
  <c r="I201" i="13"/>
  <c r="I274" i="13"/>
  <c r="H93" i="2"/>
  <c r="D33" i="2" s="1"/>
  <c r="H89" i="2"/>
  <c r="I83" i="2" l="1"/>
  <c r="C33" i="2"/>
  <c r="J83" i="2" l="1"/>
  <c r="H29" i="2"/>
  <c r="C31" i="2"/>
  <c r="H67" i="2" l="1"/>
  <c r="O14" i="14" l="1"/>
  <c r="O12" i="14"/>
  <c r="N14" i="14"/>
  <c r="M14" i="14"/>
  <c r="M12" i="14"/>
  <c r="L14" i="14"/>
  <c r="K14" i="14"/>
  <c r="K12" i="14"/>
  <c r="J14" i="14"/>
  <c r="J12" i="14"/>
  <c r="I14" i="14"/>
  <c r="I12" i="14"/>
  <c r="H14" i="14"/>
  <c r="H12" i="14"/>
  <c r="G14" i="14"/>
  <c r="G12" i="14"/>
  <c r="F14" i="14"/>
  <c r="F12" i="14"/>
  <c r="F30" i="13"/>
  <c r="E14" i="14"/>
  <c r="G29" i="13" l="1"/>
  <c r="H28" i="13" s="1"/>
  <c r="I28" i="13" s="1"/>
  <c r="E12" i="14"/>
  <c r="O5" i="14"/>
  <c r="O11" i="14"/>
  <c r="O16" i="14"/>
  <c r="O10" i="14"/>
  <c r="M5" i="14"/>
  <c r="N12" i="14"/>
  <c r="O8" i="14"/>
  <c r="O15" i="14"/>
  <c r="L12" i="14"/>
  <c r="L16" i="14"/>
  <c r="M8" i="14"/>
  <c r="N8" i="14"/>
  <c r="N15" i="14"/>
  <c r="N5" i="14"/>
  <c r="N9" i="14"/>
  <c r="N11" i="14"/>
  <c r="M10" i="14"/>
  <c r="L11" i="14"/>
  <c r="M15" i="14"/>
  <c r="K10" i="14"/>
  <c r="M9" i="14"/>
  <c r="M11" i="14"/>
  <c r="M16" i="14"/>
  <c r="K16" i="14"/>
  <c r="L8" i="14"/>
  <c r="L10" i="14"/>
  <c r="J10" i="14"/>
  <c r="J15" i="14"/>
  <c r="L5" i="14"/>
  <c r="L9" i="14"/>
  <c r="F5" i="14"/>
  <c r="J11" i="14"/>
  <c r="K15" i="14"/>
  <c r="L7" i="14"/>
  <c r="J16" i="14"/>
  <c r="K8" i="14"/>
  <c r="I15" i="14"/>
  <c r="J7" i="14"/>
  <c r="K9" i="14"/>
  <c r="K5" i="14"/>
  <c r="J8" i="14"/>
  <c r="K11" i="14"/>
  <c r="K7" i="14"/>
  <c r="G8" i="14"/>
  <c r="J9" i="14"/>
  <c r="J5" i="14"/>
  <c r="F8" i="14"/>
  <c r="G10" i="14"/>
  <c r="H5" i="14"/>
  <c r="H16" i="14"/>
  <c r="I8" i="14"/>
  <c r="I10" i="14"/>
  <c r="I5" i="14"/>
  <c r="I9" i="14"/>
  <c r="H10" i="14"/>
  <c r="I11" i="14"/>
  <c r="I16" i="14"/>
  <c r="I7" i="14"/>
  <c r="G5" i="14"/>
  <c r="H8" i="14"/>
  <c r="G16" i="14"/>
  <c r="H9" i="14"/>
  <c r="F11" i="14"/>
  <c r="H11" i="14"/>
  <c r="H7" i="14"/>
  <c r="G9" i="14"/>
  <c r="F15" i="14"/>
  <c r="G11" i="14"/>
  <c r="G7" i="14"/>
  <c r="F16" i="14"/>
  <c r="F9" i="14"/>
  <c r="F7" i="14"/>
  <c r="F10" i="14"/>
  <c r="E15" i="14"/>
  <c r="E11" i="14"/>
  <c r="E10" i="14"/>
  <c r="E16" i="14" l="1"/>
  <c r="F24" i="14"/>
  <c r="N16" i="14"/>
  <c r="I24" i="14"/>
  <c r="M24" i="14"/>
  <c r="N7" i="14"/>
  <c r="H15" i="14"/>
  <c r="O24" i="14"/>
  <c r="K24" i="14"/>
  <c r="G15" i="14"/>
  <c r="J24" i="14"/>
  <c r="H24" i="14"/>
  <c r="M7" i="14"/>
  <c r="O9" i="14"/>
  <c r="L24" i="14"/>
  <c r="E24" i="14"/>
  <c r="L15" i="14"/>
  <c r="G24" i="14"/>
  <c r="N10" i="14"/>
  <c r="N24" i="14"/>
  <c r="D34" i="2"/>
  <c r="D12" i="14" s="1"/>
  <c r="O22" i="14" l="1"/>
  <c r="I23" i="14"/>
  <c r="H22" i="14"/>
  <c r="J25" i="14"/>
  <c r="J23" i="14"/>
  <c r="K23" i="14"/>
  <c r="M25" i="14"/>
  <c r="H23" i="14"/>
  <c r="N23" i="14"/>
  <c r="K25" i="14"/>
  <c r="H25" i="14"/>
  <c r="G23" i="14"/>
  <c r="I22" i="14"/>
  <c r="F25" i="14"/>
  <c r="O23" i="14"/>
  <c r="G25" i="14"/>
  <c r="F23" i="14"/>
  <c r="L23" i="14"/>
  <c r="M23" i="14"/>
  <c r="O25" i="14"/>
  <c r="I25" i="14"/>
  <c r="L25" i="14"/>
  <c r="N25" i="14"/>
  <c r="E25" i="14"/>
  <c r="I26" i="14" l="1"/>
  <c r="I27" i="14" s="1"/>
  <c r="O26" i="14"/>
  <c r="O27" i="14" s="1"/>
  <c r="H26" i="14"/>
  <c r="H27" i="14" s="1"/>
  <c r="L476" i="1"/>
  <c r="K176" i="1" l="1"/>
  <c r="G21" i="14" l="1"/>
  <c r="D36" i="14" s="1"/>
  <c r="E36" i="14" s="1"/>
  <c r="F36" i="14" s="1"/>
  <c r="F21" i="14"/>
  <c r="C36" i="14" s="1"/>
  <c r="K242" i="1"/>
  <c r="AD87" i="1"/>
  <c r="AC87" i="1"/>
  <c r="AB87" i="1"/>
  <c r="H100" i="2"/>
  <c r="I97" i="2" s="1"/>
  <c r="J97" i="2" s="1"/>
  <c r="H76" i="2"/>
  <c r="I64" i="2" l="1"/>
  <c r="H31" i="2"/>
  <c r="D31" i="2"/>
  <c r="D9" i="14" s="1"/>
  <c r="E9" i="14"/>
  <c r="H102" i="2"/>
  <c r="D38" i="2" s="1"/>
  <c r="D16" i="14" s="1"/>
  <c r="H69" i="2"/>
  <c r="D36" i="2"/>
  <c r="D14" i="14" s="1"/>
  <c r="D37" i="2"/>
  <c r="D15" i="14" s="1"/>
  <c r="D32" i="2"/>
  <c r="D10" i="14" s="1"/>
  <c r="E7" i="14"/>
  <c r="H80" i="2"/>
  <c r="D11" i="14"/>
  <c r="E8" i="14"/>
  <c r="C36" i="2"/>
  <c r="C14" i="14" s="1"/>
  <c r="D24" i="14" l="1"/>
  <c r="J50" i="2"/>
  <c r="I76" i="2"/>
  <c r="J76" i="2" s="1"/>
  <c r="C37" i="2"/>
  <c r="C15" i="14" s="1"/>
  <c r="I68" i="2"/>
  <c r="G33" i="2" s="1"/>
  <c r="E5" i="14"/>
  <c r="J43" i="2"/>
  <c r="D23" i="14"/>
  <c r="C30" i="2"/>
  <c r="C8" i="14" s="1"/>
  <c r="C29" i="2"/>
  <c r="C7" i="14" s="1"/>
  <c r="G22" i="14"/>
  <c r="G26" i="14" s="1"/>
  <c r="G27" i="14" s="1"/>
  <c r="C9" i="14"/>
  <c r="D30" i="2"/>
  <c r="D8" i="14" s="1"/>
  <c r="D27" i="2"/>
  <c r="D5" i="14" s="1"/>
  <c r="C34" i="2"/>
  <c r="C12" i="14" s="1"/>
  <c r="J22" i="14"/>
  <c r="J26" i="14" s="1"/>
  <c r="J27" i="14" s="1"/>
  <c r="D29" i="2"/>
  <c r="D7" i="14" s="1"/>
  <c r="E22" i="14"/>
  <c r="C38" i="2"/>
  <c r="C16" i="14" s="1"/>
  <c r="I101" i="2"/>
  <c r="J101" i="2" s="1"/>
  <c r="C32" i="2"/>
  <c r="C10" i="14" s="1"/>
  <c r="C27" i="2"/>
  <c r="C5" i="14" s="1"/>
  <c r="G31" i="2"/>
  <c r="J31" i="2" s="1"/>
  <c r="J64" i="2"/>
  <c r="M22" i="14"/>
  <c r="M26" i="14" s="1"/>
  <c r="M27" i="14" s="1"/>
  <c r="C11" i="14"/>
  <c r="G27" i="2" l="1"/>
  <c r="C24" i="14"/>
  <c r="C25" i="14"/>
  <c r="N22" i="14"/>
  <c r="N26" i="14" s="1"/>
  <c r="N27" i="14" s="1"/>
  <c r="L22" i="14"/>
  <c r="L26" i="14" s="1"/>
  <c r="L27" i="14" s="1"/>
  <c r="K22" i="14"/>
  <c r="K26" i="14" s="1"/>
  <c r="K27" i="14" s="1"/>
  <c r="F22" i="14"/>
  <c r="F26" i="14" s="1"/>
  <c r="F27" i="14" s="1"/>
  <c r="H33" i="2"/>
  <c r="J33" i="2" s="1"/>
  <c r="J68" i="2"/>
  <c r="E23" i="14"/>
  <c r="E26" i="14" s="1"/>
  <c r="E27" i="14" s="1"/>
  <c r="I31" i="2"/>
  <c r="H27" i="2"/>
  <c r="G29" i="2"/>
  <c r="J29" i="2" s="1"/>
  <c r="J27" i="2" l="1"/>
  <c r="C23" i="14"/>
  <c r="C22" i="14"/>
  <c r="D22" i="14"/>
  <c r="I33" i="2"/>
  <c r="D25" i="14"/>
  <c r="I27" i="2"/>
  <c r="I29" i="2"/>
  <c r="C26" i="14" l="1"/>
  <c r="C27" i="14" s="1"/>
  <c r="D26" i="14"/>
  <c r="D27" i="14" s="1"/>
  <c r="C38" i="14"/>
  <c r="D38" i="14"/>
  <c r="E38" i="14" s="1"/>
  <c r="F38" i="14" s="1"/>
  <c r="G38" i="14" s="1"/>
  <c r="H38" i="14" s="1"/>
  <c r="I38" i="14" s="1"/>
  <c r="J38" i="14" s="1"/>
  <c r="K38" i="14" s="1"/>
  <c r="L38" i="14" s="1"/>
  <c r="C37" i="14"/>
  <c r="D37" i="14" s="1"/>
  <c r="E37" i="14" s="1"/>
  <c r="F37" i="14" s="1"/>
  <c r="G37" i="14" s="1"/>
  <c r="H37" i="14" s="1"/>
  <c r="I37" i="14" s="1"/>
  <c r="J37" i="14" s="1"/>
  <c r="K37" i="14" s="1"/>
  <c r="L37" i="14" s="1"/>
  <c r="H14" i="2" l="1"/>
  <c r="H13" i="2"/>
  <c r="H9" i="2"/>
  <c r="H15" i="2" l="1"/>
  <c r="H18" i="2" s="1"/>
  <c r="O21" i="14"/>
  <c r="M21" i="14"/>
  <c r="H16" i="2" l="1"/>
  <c r="K10" i="2"/>
  <c r="J10" i="2"/>
  <c r="K21" i="14"/>
  <c r="N21" i="14"/>
  <c r="L21" i="14"/>
  <c r="J21" i="14"/>
  <c r="G36" i="14" s="1"/>
  <c r="H36" i="14" l="1"/>
  <c r="I36" i="14" s="1"/>
  <c r="J36" i="14" s="1"/>
  <c r="K36" i="14" s="1"/>
  <c r="L36" i="14" s="1"/>
  <c r="A36" i="14"/>
</calcChain>
</file>

<file path=xl/sharedStrings.xml><?xml version="1.0" encoding="utf-8"?>
<sst xmlns="http://schemas.openxmlformats.org/spreadsheetml/2006/main" count="1509" uniqueCount="430">
  <si>
    <t>Bank Height Ratio (BHR)</t>
  </si>
  <si>
    <t>Functional Category</t>
  </si>
  <si>
    <t>Function-Based Parameters</t>
  </si>
  <si>
    <t>Measurement Method</t>
  </si>
  <si>
    <t>Index</t>
  </si>
  <si>
    <t>Floodplain Connectivity</t>
  </si>
  <si>
    <t>Bank Height Ratio</t>
  </si>
  <si>
    <t>Entrenchment Ratio</t>
  </si>
  <si>
    <t>C</t>
  </si>
  <si>
    <t>E</t>
  </si>
  <si>
    <t>B</t>
  </si>
  <si>
    <t>Bc</t>
  </si>
  <si>
    <t>Field Value</t>
  </si>
  <si>
    <t>Index Value</t>
  </si>
  <si>
    <t>Parameter</t>
  </si>
  <si>
    <t>Category</t>
  </si>
  <si>
    <t>A</t>
  </si>
  <si>
    <t>Sand</t>
  </si>
  <si>
    <t>LWD Index</t>
  </si>
  <si>
    <t>Geomorphology</t>
  </si>
  <si>
    <t>Large Woody Debris</t>
  </si>
  <si>
    <t>L/VL</t>
  </si>
  <si>
    <t>L/L</t>
  </si>
  <si>
    <t>L/M</t>
  </si>
  <si>
    <t>L/H</t>
  </si>
  <si>
    <t>L/VH</t>
  </si>
  <si>
    <t>M/VL</t>
  </si>
  <si>
    <t>M/L</t>
  </si>
  <si>
    <t>M/M</t>
  </si>
  <si>
    <t>M/H</t>
  </si>
  <si>
    <t>L/Ex</t>
  </si>
  <si>
    <t>H/L</t>
  </si>
  <si>
    <t>H/M</t>
  </si>
  <si>
    <t>H/H</t>
  </si>
  <si>
    <t>VH/VL</t>
  </si>
  <si>
    <t>Ex/VL</t>
  </si>
  <si>
    <t>H/Ex</t>
  </si>
  <si>
    <t>Ex/M</t>
  </si>
  <si>
    <t>Ex/H</t>
  </si>
  <si>
    <t>Ex/VH</t>
  </si>
  <si>
    <t>VH/VH</t>
  </si>
  <si>
    <t>Ex/Ex</t>
  </si>
  <si>
    <t>Dominant BEHI/NBS</t>
  </si>
  <si>
    <t>Riparian Vegetation</t>
  </si>
  <si>
    <t>Bed Form Diversity</t>
  </si>
  <si>
    <t>Pool Spacing Ratio</t>
  </si>
  <si>
    <t>Pool Depth Ratio</t>
  </si>
  <si>
    <t>EXISTING CONDITION ASSESSMENT</t>
  </si>
  <si>
    <t>PROPOSED CONDITION ASSESSMENT</t>
  </si>
  <si>
    <t>Restoration Potential:</t>
  </si>
  <si>
    <t>Physicochemical</t>
  </si>
  <si>
    <t>Biology</t>
  </si>
  <si>
    <t>Yes</t>
  </si>
  <si>
    <t>No</t>
  </si>
  <si>
    <t>Notes</t>
  </si>
  <si>
    <t>1. Users input values that are highlighted based on restoration potential</t>
  </si>
  <si>
    <t>Existing Stream Length (ft)</t>
  </si>
  <si>
    <t>Existing Parameter</t>
  </si>
  <si>
    <t>Proposed Parameter</t>
  </si>
  <si>
    <t>CATCHMENT ASSESSMENT</t>
  </si>
  <si>
    <t xml:space="preserve">Date: </t>
  </si>
  <si>
    <t>Categories</t>
  </si>
  <si>
    <t>Description of Catchment Condition</t>
  </si>
  <si>
    <t>Other</t>
  </si>
  <si>
    <t>Programmatic Goals</t>
  </si>
  <si>
    <t>Select:</t>
  </si>
  <si>
    <t>Fish</t>
  </si>
  <si>
    <t>GEOMORPHOLOGY</t>
  </si>
  <si>
    <t>PHYSICOCHEMICAL</t>
  </si>
  <si>
    <t>BIOLOGY</t>
  </si>
  <si>
    <t>Stream Temperature:</t>
  </si>
  <si>
    <t>Temperature</t>
  </si>
  <si>
    <t>Proposed Stream Length (ft)</t>
  </si>
  <si>
    <t>F</t>
  </si>
  <si>
    <t>G</t>
  </si>
  <si>
    <t>Stream Slope (%):</t>
  </si>
  <si>
    <t>Percent Streambank Erosion (%)</t>
  </si>
  <si>
    <t>Gc</t>
  </si>
  <si>
    <t>M/Ex</t>
  </si>
  <si>
    <t>M/VH</t>
  </si>
  <si>
    <t>H/VL</t>
  </si>
  <si>
    <t>H/VH</t>
  </si>
  <si>
    <t>VH/L</t>
  </si>
  <si>
    <t>VH/M</t>
  </si>
  <si>
    <t>VH/H</t>
  </si>
  <si>
    <t>VH/Ex</t>
  </si>
  <si>
    <t>Ex/L</t>
  </si>
  <si>
    <t>Insert Aerial Photo of Project Reach</t>
  </si>
  <si>
    <t>Reach ID:</t>
  </si>
  <si>
    <t>FUNCTIONAL CATEGORY REPORT CARD</t>
  </si>
  <si>
    <t xml:space="preserve">Functional Category  </t>
  </si>
  <si>
    <t>ECS</t>
  </si>
  <si>
    <t>PCS</t>
  </si>
  <si>
    <t>Project Name:</t>
  </si>
  <si>
    <t>a</t>
  </si>
  <si>
    <t>b</t>
  </si>
  <si>
    <t>NF</t>
  </si>
  <si>
    <t>c</t>
  </si>
  <si>
    <t>d</t>
  </si>
  <si>
    <t>FUNCTION BASED PARAMETERS SUMMARY</t>
  </si>
  <si>
    <t>Poor</t>
  </si>
  <si>
    <t>Fair</t>
  </si>
  <si>
    <t>Good</t>
  </si>
  <si>
    <t>Rating (P/F/G)</t>
  </si>
  <si>
    <t>P</t>
  </si>
  <si>
    <t xml:space="preserve">This sheet provides the formulas used to calculate index values from the field values entered on the Quantification Tool worksheet.  Formulas are fit to known delineations between Functioning, Functioning-At-Risk and Not Functioning. </t>
  </si>
  <si>
    <t xml:space="preserve">This sheet is locked to prevent editing. If you have suggested changes based on watershed-specific data, please contact your local permitting agency or client. </t>
  </si>
  <si>
    <t>Reach Runoff</t>
  </si>
  <si>
    <t>Concentrated Flow Points</t>
  </si>
  <si>
    <t>Version Last Updated</t>
  </si>
  <si>
    <t xml:space="preserve">As-Built </t>
  </si>
  <si>
    <t>As-Built</t>
  </si>
  <si>
    <t>Overall Score</t>
  </si>
  <si>
    <t>Functional Feet</t>
  </si>
  <si>
    <t>Monitoring Year</t>
  </si>
  <si>
    <t>Last Monitoring Year</t>
  </si>
  <si>
    <t>2. Users select values from a pull-down menu</t>
  </si>
  <si>
    <t>Flow Alteration</t>
  </si>
  <si>
    <t>Fish Passage</t>
  </si>
  <si>
    <t>Organism Recruitment</t>
  </si>
  <si>
    <t>Urbanization</t>
  </si>
  <si>
    <t>Development: Oil, Gas, Wind, Pipeline, Mining, Timber Harvest, Roads</t>
  </si>
  <si>
    <t xml:space="preserve">High development in contributing watershed or some within 1 mile of project reach, or &gt;1 mile but available information indicates high potential for impacts to project reach. </t>
  </si>
  <si>
    <t>Moderate development or moderate potential for impacts and none within 1 mile of project reach.</t>
  </si>
  <si>
    <t>Sediment Supply</t>
  </si>
  <si>
    <t>Proposed Bed Material</t>
  </si>
  <si>
    <t>BEHI/NBS Scores</t>
  </si>
  <si>
    <t>Restoration Potential</t>
  </si>
  <si>
    <t>Yes/No</t>
  </si>
  <si>
    <t>River Basin</t>
  </si>
  <si>
    <t>Stream Temperature</t>
  </si>
  <si>
    <t>Overall Watershed Condition</t>
  </si>
  <si>
    <t>Macroinvertebrates</t>
  </si>
  <si>
    <t>Ba</t>
  </si>
  <si>
    <t>Cb</t>
  </si>
  <si>
    <t>Pool Spacing Ratio for C Stream Types</t>
  </si>
  <si>
    <t>Pool Spacing Ratio for Bc Stream Types</t>
  </si>
  <si>
    <t>Pool Spacing Ratio for B &amp; Ba Stream Types</t>
  </si>
  <si>
    <t>Rising Limb</t>
  </si>
  <si>
    <t>Falling limb</t>
  </si>
  <si>
    <t>Falling Limb</t>
  </si>
  <si>
    <t>Coefficients - Y = a * ln(X) + b</t>
  </si>
  <si>
    <t>Aggradation Ratio</t>
  </si>
  <si>
    <t>Mountains</t>
  </si>
  <si>
    <t>Plains</t>
  </si>
  <si>
    <t>Coefficients - Y = a * X^3 + b * X^2 + c * X + d</t>
  </si>
  <si>
    <t>Percent Riffle for Streams &lt; 3% slope</t>
  </si>
  <si>
    <t>Percent Riffle for Streams  &gt;=3% slope</t>
  </si>
  <si>
    <t>Vegetation Cover</t>
  </si>
  <si>
    <t>Herbaceous</t>
  </si>
  <si>
    <t>Contractors:</t>
  </si>
  <si>
    <t>Ecosystem Planning and Restoration (EPR) through a contract with the U.S. Environmental</t>
  </si>
  <si>
    <t>Projection Agency (Contract No. EP-C-17-001).</t>
  </si>
  <si>
    <t>Stream Mechanics as a sub-contractor to EPR</t>
  </si>
  <si>
    <t>Contributing Agencies:</t>
  </si>
  <si>
    <t>U.S. Environmental Protection Agency</t>
  </si>
  <si>
    <t>Reference Stream Type:</t>
  </si>
  <si>
    <t>FAR</t>
  </si>
  <si>
    <t>Nutrients</t>
  </si>
  <si>
    <t>Greenline Stability Rating</t>
  </si>
  <si>
    <t>Valley Type</t>
  </si>
  <si>
    <t>Site Information</t>
  </si>
  <si>
    <t>FUNCTIONAL CHANGE SUMMARY</t>
  </si>
  <si>
    <t>Mitigation - Credits</t>
  </si>
  <si>
    <t>Reach Description</t>
  </si>
  <si>
    <t>The Stream Quantification Tool Credits:</t>
  </si>
  <si>
    <t>Change in Stream Length (ft)</t>
  </si>
  <si>
    <t>MITIGATION SUMMARY</t>
  </si>
  <si>
    <t>Unconfined Alluvial</t>
  </si>
  <si>
    <t>Confined Alluvial</t>
  </si>
  <si>
    <t>Colluvial/V-Shaped</t>
  </si>
  <si>
    <t xml:space="preserve">Coefficients - Y = a * X + b </t>
  </si>
  <si>
    <t>Formulas are of the form: Y = a * X + b, OR Y = a * X^2 + b * X + c, OR Y = a * X^3 + b * X^2 + c * X + d where Y is the index value and X is the field value.</t>
  </si>
  <si>
    <t>Pool Spacing Ratio for Cb Stream Types</t>
  </si>
  <si>
    <t>Existing Functional Feet (FF)</t>
  </si>
  <si>
    <t>Proposed Functional Feet (FF)</t>
  </si>
  <si>
    <t>No development or no potential for impacts.</t>
  </si>
  <si>
    <t>In category 1, 2, or 3 or aquatic life uses not evaluated.</t>
  </si>
  <si>
    <t>In Category 4 due to nonsupport of aquatic life uses and aquatic life impairment actively being mitigated.</t>
  </si>
  <si>
    <t>In Category 5 due to nonsupport of aquatic life uses OR in Category 4 and aquatic life impairment not actively being mitigated.</t>
  </si>
  <si>
    <t>No impoundment upstream or downstream of project reach.</t>
  </si>
  <si>
    <t>Drainage Area (sq.mi.):</t>
  </si>
  <si>
    <t>Reference Vegetation Cover:</t>
  </si>
  <si>
    <t xml:space="preserve">Impoundments </t>
  </si>
  <si>
    <t>Valley Type:</t>
  </si>
  <si>
    <t>Land Use Coefficient</t>
  </si>
  <si>
    <t>Reach Hydrology &amp; Hydraulics</t>
  </si>
  <si>
    <t>No. of LWD Pieces/ 100 meters</t>
  </si>
  <si>
    <t>MWAT  (⁰C)</t>
  </si>
  <si>
    <t>Metric</t>
  </si>
  <si>
    <t>Native Fish Species Richness (% of Expected)</t>
  </si>
  <si>
    <t>SGCN Absent Score</t>
  </si>
  <si>
    <t>Function-Based Parameter</t>
  </si>
  <si>
    <t>Native Fish Species Richness (% of expected)</t>
  </si>
  <si>
    <t>Coefficients - Y = a  * X + b</t>
  </si>
  <si>
    <t>Percent Riffle (%)</t>
  </si>
  <si>
    <t>Plains - Rising Limb</t>
  </si>
  <si>
    <t>Plains - Falling Limb</t>
  </si>
  <si>
    <t>Restoration Approach</t>
  </si>
  <si>
    <t>High anthropogenic-caused sediment supply from upstream bank erosion and surface runoff.</t>
  </si>
  <si>
    <t>Moderate anthropogenic-caused sediment supply from upstream bank erosion and surface runoff.</t>
  </si>
  <si>
    <t>Lat:</t>
  </si>
  <si>
    <t>Long:</t>
  </si>
  <si>
    <t>Site Information and 
Reference Selection</t>
  </si>
  <si>
    <t>Silt/Clay</t>
  </si>
  <si>
    <t>Gravel</t>
  </si>
  <si>
    <t>Cobble</t>
  </si>
  <si>
    <t>Boulders</t>
  </si>
  <si>
    <t>Bedrock</t>
  </si>
  <si>
    <t xml:space="preserve">Overall Watershed Condition       </t>
  </si>
  <si>
    <t>Low anthropogenic-caused sediment supply. Upstream bank erosion and surface runoff is minimal.</t>
  </si>
  <si>
    <t>Percent Change in FF (%)</t>
  </si>
  <si>
    <t>Date</t>
  </si>
  <si>
    <t>Project Reach Stream Length - Existing (ft):</t>
  </si>
  <si>
    <t>Project Reach Stream Length - Proposed (ft):</t>
  </si>
  <si>
    <t xml:space="preserve">Partial </t>
  </si>
  <si>
    <t xml:space="preserve">Full </t>
  </si>
  <si>
    <t>FAR/NF</t>
  </si>
  <si>
    <t>Mountains &amp; Basins</t>
  </si>
  <si>
    <t>Woody Vegetation Cover (%)</t>
  </si>
  <si>
    <t>Herbaceous Vegetation Cover (%)</t>
  </si>
  <si>
    <t xml:space="preserve">Coefficients - Y = a * X+ b </t>
  </si>
  <si>
    <t>NF/FAR</t>
  </si>
  <si>
    <t>Herbaceous Vegetation Cover</t>
  </si>
  <si>
    <t>Percent Native Cover</t>
  </si>
  <si>
    <t>Percent Armoring</t>
  </si>
  <si>
    <t>Woody Vegetation Cover</t>
  </si>
  <si>
    <t>Pool Spacing Ratio for E Stream Types</t>
  </si>
  <si>
    <t xml:space="preserve">Coefficients - Y = a  * X + b </t>
  </si>
  <si>
    <t>Percent Native Cover (%)</t>
  </si>
  <si>
    <t>Percent Armoring (%)</t>
  </si>
  <si>
    <t>Lateral Migration</t>
  </si>
  <si>
    <t>REACH HYDROLOGY &amp; HYDRAULICS</t>
  </si>
  <si>
    <t>LWD - # Pieces / 100 meters</t>
  </si>
  <si>
    <t>Herbaceous Reference Vegetation Cover</t>
  </si>
  <si>
    <t>Unconfined Alluvial Valleys</t>
  </si>
  <si>
    <t>CS-I (MWF)</t>
  </si>
  <si>
    <t>CS-I</t>
  </si>
  <si>
    <t>CS-II</t>
  </si>
  <si>
    <t>WS-I</t>
  </si>
  <si>
    <t>WS-II</t>
  </si>
  <si>
    <t>WS-III</t>
  </si>
  <si>
    <t>Dissolved Oxygen</t>
  </si>
  <si>
    <t>Dissolved Oxygen Concentration (mg/L)</t>
  </si>
  <si>
    <t>Daily Maximum Temperature (⁰C)</t>
  </si>
  <si>
    <t>MWAT</t>
  </si>
  <si>
    <t>Dissolved Oxygen Concentration</t>
  </si>
  <si>
    <t>Field</t>
  </si>
  <si>
    <t>Flow Alteration Module - ALL METRICS</t>
  </si>
  <si>
    <t>CO MMI</t>
  </si>
  <si>
    <t>Baseflow Dynamics</t>
  </si>
  <si>
    <t>Average Depth (ft)</t>
  </si>
  <si>
    <t>Average Depth</t>
  </si>
  <si>
    <t>--</t>
  </si>
  <si>
    <t>Proposed Bankfull Width (ft):</t>
  </si>
  <si>
    <t>Affected Stream Length (ft):</t>
  </si>
  <si>
    <t>Mean Annual Q (O/E)</t>
  </si>
  <si>
    <t>Mean Aug Q (O/E)</t>
  </si>
  <si>
    <t>Mean Sept Q (O/E)</t>
  </si>
  <si>
    <t>Mean Jan Q (O/E)</t>
  </si>
  <si>
    <t>Mean Annual Peak Daily Q (O/E)</t>
  </si>
  <si>
    <t>MONITORING CONDITION ASSESSMENTS</t>
  </si>
  <si>
    <t>Year:</t>
  </si>
  <si>
    <t>CONDITION ASSESSMENTS</t>
  </si>
  <si>
    <t>EXISTING</t>
  </si>
  <si>
    <t>PROPOSED</t>
  </si>
  <si>
    <t>Affected Stream Length (ft)</t>
  </si>
  <si>
    <t>Biotype</t>
  </si>
  <si>
    <t>Wild Trout Biomass (% Change)</t>
  </si>
  <si>
    <t>High</t>
  </si>
  <si>
    <t>Moderate</t>
  </si>
  <si>
    <t>Low</t>
  </si>
  <si>
    <t>Biotype:</t>
  </si>
  <si>
    <t>Module</t>
  </si>
  <si>
    <t>Ecoregion:</t>
  </si>
  <si>
    <t>Ecoregion</t>
  </si>
  <si>
    <t>Basins</t>
  </si>
  <si>
    <t>Stream Productivity Class</t>
  </si>
  <si>
    <t>Stream Productivity Class:</t>
  </si>
  <si>
    <t>Biotypes 1 and 2</t>
  </si>
  <si>
    <t>Biotype 3</t>
  </si>
  <si>
    <t>Biotype 1</t>
  </si>
  <si>
    <t>Biotype 2</t>
  </si>
  <si>
    <t>Percent Side Channels (%)</t>
  </si>
  <si>
    <t>Percent Side Channels</t>
  </si>
  <si>
    <t>Arkansas</t>
  </si>
  <si>
    <t>Colorado</t>
  </si>
  <si>
    <t>Rio Grande</t>
  </si>
  <si>
    <t>South Platte</t>
  </si>
  <si>
    <t>North Platte</t>
  </si>
  <si>
    <t>Gunnison</t>
  </si>
  <si>
    <t>Yampa</t>
  </si>
  <si>
    <t>Dolores</t>
  </si>
  <si>
    <t>Green</t>
  </si>
  <si>
    <t>San Juan</t>
  </si>
  <si>
    <t>White</t>
  </si>
  <si>
    <t xml:space="preserve">River Basin: </t>
  </si>
  <si>
    <t>Colorado Parks and Wildlife</t>
  </si>
  <si>
    <t>Colorado Water Conservation Board</t>
  </si>
  <si>
    <t>Flow Alteration Module</t>
  </si>
  <si>
    <t>-</t>
  </si>
  <si>
    <t>PROJECT REACH FUNCTION BASED PARAMETERS SUMMARY</t>
  </si>
  <si>
    <t>PROJECT REACH FUNCTIONAL CATEGORY REPORT CARD</t>
  </si>
  <si>
    <t>Concentrated Flow Points (#/1000 LF)</t>
  </si>
  <si>
    <t>Substantial reduction or augmentation to one or more aspects of natural flow regime.</t>
  </si>
  <si>
    <t>Moderate reduction or augmentation to one or more aspects of natural flow regime.</t>
  </si>
  <si>
    <t>Little or no reduction or augmentation of natural flow regime.</t>
  </si>
  <si>
    <t>Urban or rapidly urbanizing with ongoing or imminent large scale development.</t>
  </si>
  <si>
    <t>Low density or rural communities or slow urban or  suburban growth.</t>
  </si>
  <si>
    <t>Reach isolated by upstream and downstream anthropogenic barriers within 10 miles; or barriers otherwise severely affect fish populations within the project reach.</t>
  </si>
  <si>
    <t>Reach isolated by upstream OR downstream anthropogenic barrier within 10 miles; or barriers otherwise have moderate effects on fish populations within the project reach.</t>
  </si>
  <si>
    <t>Colorado Integrated Report (305(b) and 303(d)) status</t>
  </si>
  <si>
    <t>CDPS Permits</t>
  </si>
  <si>
    <t>No CDPS permitted facilities upstream of the project reach.</t>
  </si>
  <si>
    <t>Module Existing Condition Score (mECS)</t>
  </si>
  <si>
    <t>Module Proposed Condition Score (mPCS)</t>
  </si>
  <si>
    <t xml:space="preserve">* Includes 20% multiplier for weighting </t>
  </si>
  <si>
    <t>Change in Functional Condition (mPCS - mECS) *</t>
  </si>
  <si>
    <t>7-Day Minimum (O/E)</t>
  </si>
  <si>
    <t>VL/VL</t>
  </si>
  <si>
    <t>VL/L</t>
  </si>
  <si>
    <t>VL/M</t>
  </si>
  <si>
    <t>VL/H</t>
  </si>
  <si>
    <t>VL/VH</t>
  </si>
  <si>
    <t>VL/Ex</t>
  </si>
  <si>
    <t>Fb</t>
  </si>
  <si>
    <t>D</t>
  </si>
  <si>
    <t>DA</t>
  </si>
  <si>
    <t>Cimarron</t>
  </si>
  <si>
    <t>Average Velocity (fps)</t>
  </si>
  <si>
    <r>
      <t xml:space="preserve">Additional information on reference curve development is provided in the Scientific Support for the Colorado Stream Quantification Tool, Beta Version. </t>
    </r>
    <r>
      <rPr>
        <i/>
        <sz val="11"/>
        <color theme="1"/>
        <rFont val="Calibri"/>
        <family val="2"/>
        <scheme val="minor"/>
      </rPr>
      <t>Colorado Stream Quantification Tool Steering Committee (CSQT SC). 2019. Scientific Support for the Colorado Stream Quantification Tool, Beta Version. U.S. Environmental Protection Agency, Office of Wetlands, Oceans and Watersheds (Contract # EP-C-17-001), Washington, D.C.</t>
    </r>
  </si>
  <si>
    <t>Proposed FF - Existing FF (ΔFF)</t>
  </si>
  <si>
    <r>
      <rPr>
        <sz val="12"/>
        <color theme="1"/>
        <rFont val="Calibri"/>
        <family val="2"/>
      </rPr>
      <t>Δ</t>
    </r>
    <r>
      <rPr>
        <sz val="12"/>
        <color theme="1"/>
        <rFont val="Calibri"/>
        <family val="2"/>
        <scheme val="minor"/>
      </rPr>
      <t>FF from Flow Alteration Module</t>
    </r>
  </si>
  <si>
    <t>Total Proposed FF - Existing FF (ΔFF)</t>
  </si>
  <si>
    <t>Scoring</t>
  </si>
  <si>
    <t>Entrenchment Ratio (ER) A and B Streams</t>
  </si>
  <si>
    <t>Predominantly natural land cover; or rural.</t>
  </si>
  <si>
    <t>No anthropogenic barriers within 10 miles upstream or downstream of the reach; or barriers otherwise have no effect on fish populations within a project reach.</t>
  </si>
  <si>
    <t>Project area located less than 1 mile upstream or downstream of an impoundment; or impoundments are less proximate, but have adverse effects within the project area.</t>
  </si>
  <si>
    <t>Project area is located 1 mile or more upstream or downstream of an impoundment.</t>
  </si>
  <si>
    <t>Natural plant community extends throughout majority of floodplain (~100 yr) and riparian corridor is mostly contiguous along contributing stream length.</t>
  </si>
  <si>
    <t xml:space="preserve">Channel immediately upstream or downstream of project reach (i.e., within 1 km or 0.62 mi) is concrete, piped, or hardened. </t>
  </si>
  <si>
    <t>Channel immediately upstream or downstream of project reach (i.e., within 1 km or 0.62 mi) has native bed and bank material.</t>
  </si>
  <si>
    <t>Channel immediately upstream or downstream of project reach (i.e., within 1 km or 0.62 mi) has native bed and bank material that is highly embedded by fine sediment.</t>
  </si>
  <si>
    <t>CDPS permitted facilities comprise a low to moderate percentage of the baseflow in the project reach AND no facilities are located within 2 miles upstream of project reach.</t>
  </si>
  <si>
    <t>CDPS permitted facilities comprise a high percentage of the baseflow in the project reach OR 1 or more facilities present within 2 miles upstream of project reach have a high potential to threaten aquatic life.</t>
  </si>
  <si>
    <t>Natural plant community occurs in portions of the floodplain (~100 yr) and moderate gaps in the riparian corridor vegetation occur in the contributing stream length.</t>
  </si>
  <si>
    <t>Natural plant community is limited within the floodplain (~100 yr) and riparian corridor is absent for substantial portions of the contributing stream length.</t>
  </si>
  <si>
    <t>2. Leave values blank for field values that were not measured</t>
  </si>
  <si>
    <t>Use this worksheet to calculate functional lift or loss associated with hydrologic alteration.</t>
  </si>
  <si>
    <t xml:space="preserve">Describe how any Categories rated as Poor were considered in the selection of the restoration potential of the reach: </t>
  </si>
  <si>
    <r>
      <rPr>
        <b/>
        <sz val="11"/>
        <color theme="1"/>
        <rFont val="Calibri"/>
        <family val="2"/>
        <scheme val="minor"/>
      </rPr>
      <t>Lead Agency:</t>
    </r>
    <r>
      <rPr>
        <sz val="11"/>
        <color theme="1"/>
        <rFont val="Calibri"/>
        <family val="2"/>
        <scheme val="minor"/>
      </rPr>
      <t xml:space="preserve"> U.S. Army Corps of Engineers, Albuquerque District, Pueblo Regulatory Office</t>
    </r>
  </si>
  <si>
    <t>Existing Sinuosity:</t>
  </si>
  <si>
    <t>Proposed Sinuosity:</t>
  </si>
  <si>
    <t>Rosgen Stream Types</t>
  </si>
  <si>
    <t>Flow Type</t>
  </si>
  <si>
    <t>Perennial</t>
  </si>
  <si>
    <t>Intermittent</t>
  </si>
  <si>
    <t>Ephemeral</t>
  </si>
  <si>
    <t>Strahler Stream Order:</t>
  </si>
  <si>
    <t>Strahler Stream Order</t>
  </si>
  <si>
    <t>First</t>
  </si>
  <si>
    <t>Third</t>
  </si>
  <si>
    <t>Second</t>
  </si>
  <si>
    <t>Fourth</t>
  </si>
  <si>
    <t>Fifth or greater</t>
  </si>
  <si>
    <t>ΔFF</t>
  </si>
  <si>
    <t>Functional 
Category</t>
  </si>
  <si>
    <t>Yield (ΔFF/ Proposed LF)</t>
  </si>
  <si>
    <t>Geology</t>
  </si>
  <si>
    <t>Process Domains</t>
  </si>
  <si>
    <t>Source</t>
  </si>
  <si>
    <t>Response</t>
  </si>
  <si>
    <t>Hydrology</t>
  </si>
  <si>
    <t>Regulated</t>
  </si>
  <si>
    <t>Free Flowing</t>
  </si>
  <si>
    <t>Baseflow-dominated</t>
  </si>
  <si>
    <t>Snow-dominated</t>
  </si>
  <si>
    <t>Rain-dominated</t>
  </si>
  <si>
    <t>Rain-on-snow dominated</t>
  </si>
  <si>
    <t>Storm-dominated</t>
  </si>
  <si>
    <t>Obligate</t>
  </si>
  <si>
    <t>Facultative</t>
  </si>
  <si>
    <t>Upland</t>
  </si>
  <si>
    <t>Channel-spanning large wood</t>
  </si>
  <si>
    <t>Large wood accumulations/jams</t>
  </si>
  <si>
    <t>Individual large wood pieces</t>
  </si>
  <si>
    <t>No large wood</t>
  </si>
  <si>
    <t>Large wood removed</t>
  </si>
  <si>
    <t>Beaver meadows</t>
  </si>
  <si>
    <t>Beaver dam complexes</t>
  </si>
  <si>
    <t>Individual beaver dams</t>
  </si>
  <si>
    <t>No evidence of beaver</t>
  </si>
  <si>
    <t>Beaver removed</t>
  </si>
  <si>
    <t>Summary</t>
  </si>
  <si>
    <t>Erosion Resistance:</t>
  </si>
  <si>
    <t>Stream Power:</t>
  </si>
  <si>
    <t>Biotic Interaction:</t>
  </si>
  <si>
    <t>Change in Overall Condition</t>
  </si>
  <si>
    <t>Sediment Regime:</t>
  </si>
  <si>
    <t>Transport</t>
  </si>
  <si>
    <t>All Regimes</t>
  </si>
  <si>
    <t>Entrenchment Ratio (ER) C Streams</t>
  </si>
  <si>
    <t>FAR/F</t>
  </si>
  <si>
    <t>Entrenchment Ratio (ER) Cb Streams</t>
  </si>
  <si>
    <t>Entrenchment Ratio (ER) E Streams</t>
  </si>
  <si>
    <t>3. Leave values blank for field values that were not measured and/or autopopulate.</t>
  </si>
  <si>
    <t>Process Drivers Information:</t>
  </si>
  <si>
    <t>The reference stream type is the stream type that should occur in a given landscape setting given the processes occurring at the watershed and reach scales. User should rely on process driver information and restoration end points to inform the reference stream type selection.</t>
  </si>
  <si>
    <t>Riparian Extent (%)</t>
  </si>
  <si>
    <t>Woody</t>
  </si>
  <si>
    <t>Coefficients - Y = a * X^2 + b * X + c</t>
  </si>
  <si>
    <t>Change in Condition Scores</t>
  </si>
  <si>
    <t>Weighted ΔFF (Proposed FF - Existing FF) *</t>
  </si>
  <si>
    <t>Bed Material:</t>
  </si>
  <si>
    <t>Flow Permanence:</t>
  </si>
  <si>
    <t>Voluntary Restoration or Enhancements</t>
  </si>
  <si>
    <t xml:space="preserve">CSQT Version 1.0 </t>
  </si>
  <si>
    <t>Colorado Department of Public Health and Environment</t>
  </si>
  <si>
    <t>Chlorophyll α</t>
  </si>
  <si>
    <t>FAR &amp; F</t>
  </si>
  <si>
    <r>
      <t xml:space="preserve">Chlorophyll </t>
    </r>
    <r>
      <rPr>
        <sz val="12"/>
        <color theme="1"/>
        <rFont val="Calibri"/>
        <family val="2"/>
      </rPr>
      <t>α</t>
    </r>
    <r>
      <rPr>
        <sz val="12"/>
        <color theme="1"/>
        <rFont val="Calibri"/>
        <family val="2"/>
        <scheme val="minor"/>
      </rPr>
      <t xml:space="preserve"> (mg/m2)</t>
    </r>
  </si>
  <si>
    <t xml:space="preserve">Applicable Reach(es)*: </t>
  </si>
  <si>
    <t xml:space="preserve">*If the Catchment Assessment form applies to multiple reaches within the project, the form only needs to be filled out once.  
If the form is not filled out below, list the name of the workbook that contains the filled out form in the space above.  </t>
  </si>
  <si>
    <t>Republican</t>
  </si>
  <si>
    <t>Affected Stream Length reflects the entire length influenced by proposed flow modification. This may differ from the project length on the QT Spreadsheet.</t>
  </si>
  <si>
    <t>CS-I &amp; CS-I MWF; W &lt; 20ft</t>
  </si>
  <si>
    <t>CS-I &amp; CS-I MWF; W &gt; 20ft</t>
  </si>
  <si>
    <t>Confined Alluvial, Colluvial/V-Shaped, or Bedrock Valleys</t>
  </si>
  <si>
    <t xml:space="preserve">Use this worksheet to calculate functional lift or to calculate functional loss using debit option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</si>
</sst>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
    <numFmt numFmtId="166" formatCode="0.000"/>
    <numFmt numFmtId="167" formatCode="0.00000"/>
  </numFmts>
  <fonts count="33" x14ac:knownFonts="1">
    <font>
      <sz val="11"/>
      <color theme="1"/>
      <name val="Calibri"/>
      <family val="2"/>
      <scheme val="minor"/>
    </font>
    <font>
      <b/>
      <sz val="11"/>
      <color theme="1"/>
      <name val="Calibri"/>
      <family val="2"/>
      <scheme val="minor"/>
    </font>
    <font>
      <sz val="10"/>
      <name val="Arial"/>
      <family val="2"/>
    </font>
    <font>
      <b/>
      <sz val="14"/>
      <name val="Arial"/>
      <family val="2"/>
    </font>
    <font>
      <sz val="11"/>
      <name val="Arial"/>
      <family val="2"/>
    </font>
    <font>
      <b/>
      <sz val="12"/>
      <name val="Arial"/>
      <family val="2"/>
    </font>
    <font>
      <b/>
      <sz val="13"/>
      <color theme="1"/>
      <name val="Calibri"/>
      <family val="2"/>
      <scheme val="minor"/>
    </font>
    <font>
      <sz val="11"/>
      <name val="Calibri"/>
      <family val="2"/>
      <scheme val="minor"/>
    </font>
    <font>
      <b/>
      <sz val="14"/>
      <color theme="1"/>
      <name val="Calibri"/>
      <family val="2"/>
      <scheme val="minor"/>
    </font>
    <font>
      <i/>
      <sz val="11"/>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sz val="14"/>
      <color theme="1"/>
      <name val="Calibri"/>
      <family val="2"/>
      <scheme val="minor"/>
    </font>
    <font>
      <sz val="11"/>
      <color theme="1"/>
      <name val="Calibri"/>
      <family val="2"/>
      <scheme val="minor"/>
    </font>
    <font>
      <sz val="11"/>
      <color rgb="FFFF0000"/>
      <name val="Calibri"/>
      <family val="2"/>
      <scheme val="minor"/>
    </font>
    <font>
      <sz val="11"/>
      <color rgb="FFFF0000"/>
      <name val="Calibri"/>
      <family val="2"/>
      <scheme val="minor"/>
    </font>
    <font>
      <sz val="11"/>
      <color theme="1"/>
      <name val="Calibri"/>
      <family val="2"/>
      <scheme val="minor"/>
    </font>
    <font>
      <b/>
      <sz val="16"/>
      <color theme="1"/>
      <name val="Calibri"/>
      <family val="2"/>
      <scheme val="minor"/>
    </font>
    <font>
      <sz val="12"/>
      <color theme="1"/>
      <name val="Calibri"/>
      <family val="2"/>
      <scheme val="minor"/>
    </font>
    <font>
      <sz val="18"/>
      <color rgb="FFFF0000"/>
      <name val="Calibri"/>
      <family val="2"/>
      <scheme val="minor"/>
    </font>
    <font>
      <b/>
      <sz val="11"/>
      <color theme="1"/>
      <name val="Calibri"/>
      <family val="2"/>
      <scheme val="minor"/>
    </font>
    <font>
      <b/>
      <sz val="12"/>
      <color theme="1"/>
      <name val="Calibri"/>
      <family val="2"/>
      <scheme val="minor"/>
    </font>
    <font>
      <sz val="12"/>
      <name val="Calibri"/>
      <family val="2"/>
      <scheme val="minor"/>
    </font>
    <font>
      <sz val="12"/>
      <color rgb="FF000000"/>
      <name val="Calibri"/>
      <family val="2"/>
      <scheme val="minor"/>
    </font>
    <font>
      <sz val="11"/>
      <color theme="1"/>
      <name val="Calibri"/>
      <family val="2"/>
      <scheme val="minor"/>
    </font>
    <font>
      <b/>
      <sz val="15"/>
      <color theme="1"/>
      <name val="Calibri"/>
      <family val="2"/>
      <scheme val="minor"/>
    </font>
    <font>
      <b/>
      <sz val="11"/>
      <color theme="1"/>
      <name val="Calibri"/>
      <family val="2"/>
      <scheme val="minor"/>
    </font>
    <font>
      <sz val="11"/>
      <color rgb="FF000000"/>
      <name val="Calibri"/>
      <family val="2"/>
      <scheme val="minor"/>
    </font>
    <font>
      <sz val="11"/>
      <name val="Calibri"/>
      <family val="2"/>
      <scheme val="minor"/>
    </font>
    <font>
      <sz val="14"/>
      <color rgb="FFFF0000"/>
      <name val="Calibri"/>
      <family val="2"/>
      <scheme val="minor"/>
    </font>
    <font>
      <sz val="12"/>
      <color theme="1"/>
      <name val="Calibri"/>
      <family val="2"/>
    </font>
  </fonts>
  <fills count="16">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7" tint="0.7999816888943144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59999389629810485"/>
        <bgColor indexed="65"/>
      </patternFill>
    </fill>
    <fill>
      <patternFill patternType="solid">
        <fgColor theme="8"/>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top style="thick">
        <color indexed="64"/>
      </top>
      <bottom style="thin">
        <color indexed="64"/>
      </bottom>
      <diagonal/>
    </border>
    <border>
      <left/>
      <right style="thick">
        <color indexed="64"/>
      </right>
      <top style="thick">
        <color indexed="64"/>
      </top>
      <bottom/>
      <diagonal/>
    </border>
    <border>
      <left style="thick">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ck">
        <color indexed="64"/>
      </right>
      <top/>
      <bottom/>
      <diagonal/>
    </border>
    <border>
      <left style="thick">
        <color indexed="64"/>
      </left>
      <right/>
      <top/>
      <bottom/>
      <diagonal/>
    </border>
    <border>
      <left/>
      <right style="thick">
        <color indexed="64"/>
      </right>
      <top/>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top/>
      <bottom/>
      <diagonal/>
    </border>
    <border>
      <left/>
      <right style="medium">
        <color indexed="64"/>
      </right>
      <top/>
      <bottom/>
      <diagonal/>
    </border>
    <border>
      <left style="hair">
        <color indexed="64"/>
      </left>
      <right style="hair">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hair">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s>
  <cellStyleXfs count="4">
    <xf numFmtId="0" fontId="0" fillId="0" borderId="0"/>
    <xf numFmtId="0" fontId="2" fillId="0" borderId="0"/>
    <xf numFmtId="9" fontId="15" fillId="0" borderId="0" applyFont="0" applyFill="0" applyBorder="0" applyAlignment="0" applyProtection="0"/>
    <xf numFmtId="0" fontId="15" fillId="14" borderId="0" applyNumberFormat="0" applyBorder="0" applyAlignment="0" applyProtection="0"/>
  </cellStyleXfs>
  <cellXfs count="624">
    <xf numFmtId="0" fontId="0" fillId="0" borderId="0" xfId="0"/>
    <xf numFmtId="0" fontId="1" fillId="0" borderId="0" xfId="0" applyFont="1"/>
    <xf numFmtId="2" fontId="0" fillId="0" borderId="0" xfId="0" applyNumberFormat="1"/>
    <xf numFmtId="0" fontId="4" fillId="0" borderId="0" xfId="1" applyFont="1"/>
    <xf numFmtId="0" fontId="4" fillId="0" borderId="0" xfId="1" applyFont="1" applyAlignment="1">
      <alignment horizontal="left"/>
    </xf>
    <xf numFmtId="0" fontId="4" fillId="0" borderId="0" xfId="1" applyFont="1" applyAlignment="1">
      <alignment vertical="center" wrapText="1"/>
    </xf>
    <xf numFmtId="0" fontId="5" fillId="7" borderId="18" xfId="1" applyFont="1" applyFill="1" applyBorder="1" applyAlignment="1">
      <alignment vertical="center" wrapText="1"/>
    </xf>
    <xf numFmtId="0" fontId="5" fillId="7" borderId="21" xfId="1" applyFont="1" applyFill="1" applyBorder="1" applyAlignment="1">
      <alignment vertical="center" wrapText="1"/>
    </xf>
    <xf numFmtId="0" fontId="4" fillId="7" borderId="28" xfId="1" applyFont="1" applyFill="1" applyBorder="1" applyAlignment="1">
      <alignment vertical="center"/>
    </xf>
    <xf numFmtId="0" fontId="6" fillId="0" borderId="0" xfId="0" applyFont="1"/>
    <xf numFmtId="0" fontId="2" fillId="0" borderId="0" xfId="1"/>
    <xf numFmtId="0" fontId="2" fillId="7" borderId="22" xfId="1" applyFill="1" applyBorder="1"/>
    <xf numFmtId="0" fontId="2" fillId="7" borderId="23" xfId="1" applyFill="1" applyBorder="1"/>
    <xf numFmtId="0" fontId="2" fillId="0" borderId="26" xfId="1" applyBorder="1" applyAlignment="1">
      <alignment horizontal="center" vertical="center" wrapText="1"/>
    </xf>
    <xf numFmtId="0" fontId="2" fillId="7" borderId="27" xfId="1" applyFill="1" applyBorder="1"/>
    <xf numFmtId="0" fontId="2" fillId="7" borderId="28" xfId="1" applyFill="1" applyBorder="1"/>
    <xf numFmtId="0" fontId="2" fillId="7" borderId="29" xfId="1" applyFill="1" applyBorder="1"/>
    <xf numFmtId="0" fontId="5" fillId="7" borderId="20" xfId="1" applyFont="1" applyFill="1" applyBorder="1" applyAlignment="1">
      <alignment horizontal="center" vertical="center" wrapText="1"/>
    </xf>
    <xf numFmtId="0" fontId="4" fillId="0" borderId="0" xfId="1" applyFont="1" applyAlignment="1">
      <alignment horizontal="left" vertical="center" wrapText="1"/>
    </xf>
    <xf numFmtId="0" fontId="5" fillId="7" borderId="8" xfId="1" applyFont="1" applyFill="1" applyBorder="1" applyAlignment="1">
      <alignment horizontal="center" vertical="center" wrapText="1"/>
    </xf>
    <xf numFmtId="0" fontId="2" fillId="0" borderId="32" xfId="1" applyBorder="1" applyAlignment="1">
      <alignment horizontal="center" vertical="center" wrapText="1"/>
    </xf>
    <xf numFmtId="0" fontId="2" fillId="0" borderId="33" xfId="1" applyBorder="1" applyAlignment="1">
      <alignment horizontal="center" vertical="center" wrapText="1"/>
    </xf>
    <xf numFmtId="0" fontId="11" fillId="7" borderId="7" xfId="0" applyFont="1" applyFill="1" applyBorder="1" applyAlignment="1" applyProtection="1">
      <alignment horizontal="center"/>
      <protection locked="0"/>
    </xf>
    <xf numFmtId="0" fontId="11" fillId="9" borderId="20" xfId="0" applyFont="1" applyFill="1" applyBorder="1"/>
    <xf numFmtId="0" fontId="11" fillId="10" borderId="10" xfId="0" applyFont="1" applyFill="1" applyBorder="1"/>
    <xf numFmtId="0" fontId="11" fillId="9" borderId="7" xfId="0" applyFont="1" applyFill="1" applyBorder="1" applyAlignment="1">
      <alignment horizontal="left"/>
    </xf>
    <xf numFmtId="0" fontId="11" fillId="11" borderId="7" xfId="0" applyFont="1" applyFill="1" applyBorder="1" applyAlignment="1">
      <alignment horizontal="left"/>
    </xf>
    <xf numFmtId="0" fontId="11" fillId="11" borderId="35" xfId="0" applyFont="1" applyFill="1" applyBorder="1"/>
    <xf numFmtId="0" fontId="0" fillId="0" borderId="39" xfId="0" applyBorder="1"/>
    <xf numFmtId="0" fontId="11" fillId="0" borderId="0" xfId="0" applyFont="1"/>
    <xf numFmtId="0" fontId="11" fillId="0" borderId="0" xfId="0" applyFont="1" applyAlignment="1">
      <alignment vertical="center"/>
    </xf>
    <xf numFmtId="0" fontId="11" fillId="0" borderId="0" xfId="0" applyFont="1" applyAlignment="1">
      <alignment horizontal="left" vertical="center"/>
    </xf>
    <xf numFmtId="0" fontId="8" fillId="0" borderId="0" xfId="0" applyFont="1" applyAlignment="1">
      <alignment vertical="center"/>
    </xf>
    <xf numFmtId="0" fontId="14" fillId="0" borderId="0" xfId="0" applyFont="1"/>
    <xf numFmtId="2" fontId="14" fillId="0" borderId="7" xfId="0" applyNumberFormat="1" applyFont="1" applyBorder="1" applyAlignment="1">
      <alignment horizontal="center" vertical="center"/>
    </xf>
    <xf numFmtId="0" fontId="10" fillId="0" borderId="10" xfId="0" applyFont="1" applyBorder="1"/>
    <xf numFmtId="2" fontId="14" fillId="12" borderId="7" xfId="0" applyNumberFormat="1" applyFont="1" applyFill="1" applyBorder="1" applyAlignment="1">
      <alignment horizontal="center" vertical="center"/>
    </xf>
    <xf numFmtId="0" fontId="0" fillId="0" borderId="0" xfId="0" applyAlignment="1">
      <alignment horizontal="center"/>
    </xf>
    <xf numFmtId="0" fontId="8" fillId="0" borderId="7" xfId="0" applyFont="1" applyBorder="1" applyAlignment="1">
      <alignment horizontal="center" vertical="center" wrapText="1"/>
    </xf>
    <xf numFmtId="0" fontId="12" fillId="0" borderId="7" xfId="0" applyFont="1" applyBorder="1" applyAlignment="1">
      <alignment horizontal="center"/>
    </xf>
    <xf numFmtId="0" fontId="13" fillId="11" borderId="20" xfId="0" applyFont="1" applyFill="1" applyBorder="1"/>
    <xf numFmtId="0" fontId="13" fillId="11" borderId="30" xfId="0" applyFont="1" applyFill="1" applyBorder="1"/>
    <xf numFmtId="0" fontId="0" fillId="0" borderId="40" xfId="0" applyBorder="1"/>
    <xf numFmtId="0" fontId="0" fillId="0" borderId="0" xfId="0" applyAlignment="1">
      <alignment vertical="center"/>
    </xf>
    <xf numFmtId="0" fontId="16" fillId="3" borderId="0" xfId="0" applyFont="1" applyFill="1"/>
    <xf numFmtId="0" fontId="0" fillId="0" borderId="4" xfId="0" applyBorder="1"/>
    <xf numFmtId="0" fontId="0" fillId="0" borderId="5" xfId="0" applyBorder="1"/>
    <xf numFmtId="0" fontId="0" fillId="0" borderId="6" xfId="0" applyBorder="1"/>
    <xf numFmtId="0" fontId="11" fillId="5" borderId="7" xfId="0" applyFont="1" applyFill="1" applyBorder="1" applyAlignment="1">
      <alignment horizontal="left"/>
    </xf>
    <xf numFmtId="0" fontId="11" fillId="0" borderId="7" xfId="0" applyFont="1" applyBorder="1" applyAlignment="1">
      <alignment vertical="center"/>
    </xf>
    <xf numFmtId="0" fontId="17" fillId="3" borderId="0" xfId="0" applyFont="1" applyFill="1"/>
    <xf numFmtId="0" fontId="18" fillId="3" borderId="0" xfId="0" applyFont="1" applyFill="1"/>
    <xf numFmtId="0" fontId="18" fillId="0" borderId="0" xfId="0" applyFont="1"/>
    <xf numFmtId="0" fontId="17" fillId="0" borderId="0" xfId="0" applyFont="1"/>
    <xf numFmtId="0" fontId="20" fillId="7" borderId="7" xfId="0" applyFont="1" applyFill="1" applyBorder="1" applyAlignment="1" applyProtection="1">
      <alignment horizontal="center"/>
      <protection locked="0"/>
    </xf>
    <xf numFmtId="0" fontId="20" fillId="13" borderId="7" xfId="0" applyFont="1" applyFill="1" applyBorder="1" applyAlignment="1" applyProtection="1">
      <alignment horizontal="center"/>
      <protection locked="0"/>
    </xf>
    <xf numFmtId="0" fontId="19" fillId="0" borderId="0" xfId="0" applyFont="1" applyAlignment="1">
      <alignment horizontal="center"/>
    </xf>
    <xf numFmtId="2" fontId="20" fillId="0" borderId="7" xfId="2" applyNumberFormat="1" applyFont="1" applyBorder="1" applyAlignment="1">
      <alignment horizontal="center"/>
    </xf>
    <xf numFmtId="0" fontId="20" fillId="0" borderId="7" xfId="0" applyFont="1" applyBorder="1" applyAlignment="1">
      <alignment horizontal="center"/>
    </xf>
    <xf numFmtId="1" fontId="20" fillId="0" borderId="7" xfId="0" applyNumberFormat="1" applyFont="1" applyBorder="1" applyAlignment="1">
      <alignment horizontal="center"/>
    </xf>
    <xf numFmtId="0" fontId="20" fillId="0" borderId="0" xfId="0" applyFont="1" applyAlignment="1">
      <alignment horizontal="left"/>
    </xf>
    <xf numFmtId="9" fontId="20" fillId="0" borderId="7" xfId="2" applyFont="1" applyBorder="1" applyAlignment="1">
      <alignment horizontal="center"/>
    </xf>
    <xf numFmtId="0" fontId="22" fillId="0" borderId="0" xfId="0" applyFont="1"/>
    <xf numFmtId="2" fontId="20" fillId="0" borderId="7" xfId="0" applyNumberFormat="1" applyFont="1" applyBorder="1" applyAlignment="1">
      <alignment horizontal="center"/>
    </xf>
    <xf numFmtId="2" fontId="20" fillId="0" borderId="0" xfId="0" applyNumberFormat="1" applyFont="1" applyAlignment="1">
      <alignment horizontal="center"/>
    </xf>
    <xf numFmtId="0" fontId="20" fillId="8" borderId="7" xfId="0" applyFont="1" applyFill="1" applyBorder="1" applyAlignment="1">
      <alignment horizontal="left"/>
    </xf>
    <xf numFmtId="0" fontId="20" fillId="9" borderId="7" xfId="0" applyFont="1" applyFill="1" applyBorder="1" applyAlignment="1">
      <alignment horizontal="left"/>
    </xf>
    <xf numFmtId="0" fontId="20" fillId="5" borderId="7" xfId="0" applyFont="1" applyFill="1" applyBorder="1" applyAlignment="1">
      <alignment horizontal="left"/>
    </xf>
    <xf numFmtId="0" fontId="20" fillId="11" borderId="7" xfId="0" applyFont="1" applyFill="1" applyBorder="1" applyAlignment="1">
      <alignment horizontal="left"/>
    </xf>
    <xf numFmtId="0" fontId="23" fillId="0" borderId="7" xfId="0" applyFont="1" applyBorder="1" applyAlignment="1">
      <alignment horizontal="center"/>
    </xf>
    <xf numFmtId="0" fontId="23" fillId="0" borderId="12" xfId="0" applyFont="1" applyBorder="1" applyAlignment="1">
      <alignment horizontal="center"/>
    </xf>
    <xf numFmtId="0" fontId="20" fillId="7" borderId="37" xfId="0" applyFont="1" applyFill="1" applyBorder="1" applyAlignment="1" applyProtection="1">
      <alignment horizontal="center"/>
      <protection locked="0"/>
    </xf>
    <xf numFmtId="0" fontId="20" fillId="7" borderId="8" xfId="0" applyFont="1" applyFill="1" applyBorder="1" applyAlignment="1" applyProtection="1">
      <alignment horizontal="center"/>
      <protection locked="0"/>
    </xf>
    <xf numFmtId="0" fontId="20" fillId="7" borderId="9" xfId="0" applyFont="1" applyFill="1" applyBorder="1" applyAlignment="1" applyProtection="1">
      <alignment horizontal="center"/>
      <protection locked="0"/>
    </xf>
    <xf numFmtId="0" fontId="20" fillId="8" borderId="0" xfId="0" applyFont="1" applyFill="1"/>
    <xf numFmtId="0" fontId="20" fillId="8" borderId="34" xfId="0" applyFont="1" applyFill="1" applyBorder="1"/>
    <xf numFmtId="0" fontId="20" fillId="9" borderId="38" xfId="0" applyFont="1" applyFill="1" applyBorder="1"/>
    <xf numFmtId="2" fontId="20" fillId="9" borderId="38" xfId="0" applyNumberFormat="1" applyFont="1" applyFill="1" applyBorder="1" applyAlignment="1">
      <alignment horizontal="center"/>
    </xf>
    <xf numFmtId="0" fontId="20" fillId="9" borderId="34" xfId="0" applyFont="1" applyFill="1" applyBorder="1"/>
    <xf numFmtId="0" fontId="20" fillId="9" borderId="0" xfId="0" applyFont="1" applyFill="1"/>
    <xf numFmtId="0" fontId="20" fillId="7" borderId="30" xfId="0" applyFont="1" applyFill="1" applyBorder="1" applyAlignment="1" applyProtection="1">
      <alignment horizontal="center"/>
      <protection locked="0"/>
    </xf>
    <xf numFmtId="0" fontId="20" fillId="7" borderId="20" xfId="0" applyFont="1" applyFill="1" applyBorder="1" applyAlignment="1" applyProtection="1">
      <alignment horizontal="center"/>
      <protection locked="0"/>
    </xf>
    <xf numFmtId="2" fontId="25" fillId="9" borderId="8" xfId="0" applyNumberFormat="1" applyFont="1" applyFill="1" applyBorder="1" applyAlignment="1">
      <alignment horizontal="center" vertical="center"/>
    </xf>
    <xf numFmtId="2" fontId="20" fillId="9" borderId="37" xfId="0" applyNumberFormat="1" applyFont="1" applyFill="1" applyBorder="1" applyAlignment="1">
      <alignment horizontal="center"/>
    </xf>
    <xf numFmtId="0" fontId="20" fillId="7" borderId="35" xfId="0" applyFont="1" applyFill="1" applyBorder="1" applyAlignment="1" applyProtection="1">
      <alignment horizontal="center"/>
      <protection locked="0"/>
    </xf>
    <xf numFmtId="0" fontId="20" fillId="10" borderId="12" xfId="0" applyFont="1" applyFill="1" applyBorder="1"/>
    <xf numFmtId="2" fontId="20" fillId="10" borderId="7" xfId="0" applyNumberFormat="1" applyFont="1" applyFill="1" applyBorder="1" applyAlignment="1">
      <alignment horizontal="center"/>
    </xf>
    <xf numFmtId="2" fontId="20" fillId="11" borderId="9" xfId="0" applyNumberFormat="1" applyFont="1" applyFill="1" applyBorder="1" applyAlignment="1">
      <alignment horizontal="center"/>
    </xf>
    <xf numFmtId="0" fontId="20" fillId="11" borderId="19" xfId="0" applyFont="1" applyFill="1" applyBorder="1"/>
    <xf numFmtId="2" fontId="20" fillId="11" borderId="37" xfId="0" applyNumberFormat="1" applyFont="1" applyFill="1" applyBorder="1" applyAlignment="1">
      <alignment horizontal="center"/>
    </xf>
    <xf numFmtId="0" fontId="20" fillId="11" borderId="31" xfId="0" applyFont="1" applyFill="1" applyBorder="1"/>
    <xf numFmtId="0" fontId="20" fillId="11" borderId="36" xfId="0" applyFont="1" applyFill="1" applyBorder="1"/>
    <xf numFmtId="0" fontId="26" fillId="0" borderId="0" xfId="0" applyFont="1"/>
    <xf numFmtId="0" fontId="26" fillId="0" borderId="0" xfId="0" applyFont="1" applyAlignment="1">
      <alignment vertical="center" wrapText="1"/>
    </xf>
    <xf numFmtId="0" fontId="28" fillId="0" borderId="0" xfId="0" applyFont="1"/>
    <xf numFmtId="0" fontId="26" fillId="0" borderId="1" xfId="0" applyFont="1" applyBorder="1" applyAlignment="1">
      <alignment vertical="center" wrapText="1"/>
    </xf>
    <xf numFmtId="0" fontId="26" fillId="0" borderId="2" xfId="0" applyFont="1" applyBorder="1"/>
    <xf numFmtId="0" fontId="26" fillId="0" borderId="3" xfId="0" applyFont="1" applyBorder="1"/>
    <xf numFmtId="0" fontId="26" fillId="0" borderId="39" xfId="0" applyFont="1" applyBorder="1"/>
    <xf numFmtId="0" fontId="26" fillId="0" borderId="2" xfId="0" applyFont="1" applyBorder="1" applyAlignment="1">
      <alignment vertical="center" wrapText="1"/>
    </xf>
    <xf numFmtId="0" fontId="26" fillId="0" borderId="3" xfId="0" applyFont="1" applyBorder="1" applyAlignment="1">
      <alignment vertical="center" wrapText="1"/>
    </xf>
    <xf numFmtId="2" fontId="26" fillId="0" borderId="2" xfId="0" applyNumberFormat="1" applyFont="1" applyBorder="1" applyAlignment="1">
      <alignment vertical="center" wrapText="1"/>
    </xf>
    <xf numFmtId="2" fontId="26" fillId="0" borderId="3" xfId="0" applyNumberFormat="1" applyFont="1" applyBorder="1" applyAlignment="1">
      <alignment vertical="center" wrapText="1"/>
    </xf>
    <xf numFmtId="0" fontId="26" fillId="0" borderId="4" xfId="0" applyFont="1" applyBorder="1" applyAlignment="1">
      <alignment vertical="center" wrapText="1"/>
    </xf>
    <xf numFmtId="0" fontId="26" fillId="2" borderId="5" xfId="0" applyFont="1" applyFill="1" applyBorder="1" applyAlignment="1">
      <alignment vertical="center" wrapText="1"/>
    </xf>
    <xf numFmtId="0" fontId="26" fillId="3" borderId="5" xfId="0" applyFont="1" applyFill="1" applyBorder="1" applyAlignment="1">
      <alignment vertical="center" wrapText="1"/>
    </xf>
    <xf numFmtId="0" fontId="26" fillId="3" borderId="5" xfId="0" applyFont="1" applyFill="1" applyBorder="1"/>
    <xf numFmtId="0" fontId="26" fillId="4" borderId="5" xfId="0" applyFont="1" applyFill="1" applyBorder="1" applyAlignment="1">
      <alignment vertical="center" wrapText="1"/>
    </xf>
    <xf numFmtId="0" fontId="26" fillId="4" borderId="6" xfId="0" applyFont="1" applyFill="1" applyBorder="1" applyAlignment="1">
      <alignment vertical="center" wrapText="1"/>
    </xf>
    <xf numFmtId="0" fontId="26" fillId="0" borderId="40" xfId="0" applyFont="1" applyBorder="1"/>
    <xf numFmtId="0" fontId="26" fillId="0" borderId="0" xfId="0" applyFont="1" applyAlignment="1">
      <alignment horizontal="center"/>
    </xf>
    <xf numFmtId="0" fontId="26" fillId="0" borderId="42" xfId="0" applyFont="1" applyBorder="1"/>
    <xf numFmtId="2" fontId="26" fillId="0" borderId="0" xfId="0" applyNumberFormat="1" applyFont="1"/>
    <xf numFmtId="0" fontId="29" fillId="0" borderId="0" xfId="0" applyFont="1"/>
    <xf numFmtId="0" fontId="26" fillId="0" borderId="0" xfId="0" applyFont="1" applyAlignment="1">
      <alignment vertical="center"/>
    </xf>
    <xf numFmtId="166" fontId="29" fillId="0" borderId="0" xfId="0" applyNumberFormat="1" applyFont="1"/>
    <xf numFmtId="0" fontId="26" fillId="0" borderId="0" xfId="0" applyFont="1" applyAlignment="1">
      <alignment horizontal="left"/>
    </xf>
    <xf numFmtId="165" fontId="26" fillId="0" borderId="0" xfId="0" applyNumberFormat="1" applyFont="1"/>
    <xf numFmtId="0" fontId="26" fillId="0" borderId="1" xfId="0" applyFont="1" applyBorder="1" applyAlignment="1">
      <alignment horizontal="left" vertical="center" wrapText="1"/>
    </xf>
    <xf numFmtId="16" fontId="30" fillId="0" borderId="0" xfId="0" quotePrefix="1" applyNumberFormat="1" applyFont="1" applyAlignment="1">
      <alignment horizontal="center"/>
    </xf>
    <xf numFmtId="0" fontId="30" fillId="0" borderId="0" xfId="0" quotePrefix="1" applyFont="1" applyAlignment="1">
      <alignment wrapText="1"/>
    </xf>
    <xf numFmtId="0" fontId="30" fillId="0" borderId="0" xfId="0" applyFont="1" applyAlignment="1">
      <alignment wrapText="1"/>
    </xf>
    <xf numFmtId="0" fontId="26" fillId="0" borderId="40" xfId="0" applyFont="1" applyBorder="1" applyAlignment="1">
      <alignment vertical="center" wrapText="1"/>
    </xf>
    <xf numFmtId="1" fontId="26" fillId="0" borderId="2" xfId="0" applyNumberFormat="1" applyFont="1" applyBorder="1" applyAlignment="1">
      <alignment vertical="center" wrapText="1"/>
    </xf>
    <xf numFmtId="0" fontId="26" fillId="0" borderId="0" xfId="0" applyFont="1" applyAlignment="1">
      <alignment horizontal="left" vertical="center"/>
    </xf>
    <xf numFmtId="0" fontId="26" fillId="2" borderId="5" xfId="0" applyFont="1" applyFill="1" applyBorder="1" applyAlignment="1">
      <alignment horizontal="right" vertical="center" wrapText="1"/>
    </xf>
    <xf numFmtId="0" fontId="26" fillId="3" borderId="5" xfId="0" applyFont="1" applyFill="1" applyBorder="1" applyAlignment="1">
      <alignment horizontal="right" vertical="center" wrapText="1"/>
    </xf>
    <xf numFmtId="0" fontId="26" fillId="4" borderId="5" xfId="0" applyFont="1" applyFill="1" applyBorder="1" applyAlignment="1">
      <alignment horizontal="right" vertical="center" wrapText="1"/>
    </xf>
    <xf numFmtId="0" fontId="26" fillId="4" borderId="6" xfId="0" applyFont="1" applyFill="1" applyBorder="1" applyAlignment="1">
      <alignment horizontal="right" vertical="center" wrapText="1"/>
    </xf>
    <xf numFmtId="0" fontId="26" fillId="0" borderId="0" xfId="0" applyFont="1" applyAlignment="1">
      <alignment wrapText="1"/>
    </xf>
    <xf numFmtId="164" fontId="26" fillId="0" borderId="2" xfId="0" applyNumberFormat="1" applyFont="1" applyBorder="1" applyAlignment="1">
      <alignment vertical="center" wrapText="1"/>
    </xf>
    <xf numFmtId="164" fontId="26" fillId="0" borderId="3" xfId="0" applyNumberFormat="1" applyFont="1" applyBorder="1" applyAlignment="1">
      <alignment vertical="center" wrapText="1"/>
    </xf>
    <xf numFmtId="164" fontId="26" fillId="0" borderId="0" xfId="0" applyNumberFormat="1" applyFont="1" applyAlignment="1">
      <alignment vertical="center" wrapText="1"/>
    </xf>
    <xf numFmtId="0" fontId="26" fillId="0" borderId="0" xfId="0" applyFont="1" applyAlignment="1">
      <alignment horizontal="right"/>
    </xf>
    <xf numFmtId="164" fontId="26" fillId="0" borderId="2" xfId="0" applyNumberFormat="1" applyFont="1" applyBorder="1"/>
    <xf numFmtId="164" fontId="26" fillId="0" borderId="0" xfId="0" applyNumberFormat="1" applyFont="1"/>
    <xf numFmtId="0" fontId="26" fillId="4" borderId="6" xfId="0" applyFont="1" applyFill="1" applyBorder="1"/>
    <xf numFmtId="1" fontId="26" fillId="0" borderId="40" xfId="0" applyNumberFormat="1" applyFont="1" applyBorder="1" applyAlignment="1">
      <alignment vertical="center" wrapText="1"/>
    </xf>
    <xf numFmtId="1" fontId="26" fillId="0" borderId="0" xfId="0" applyNumberFormat="1" applyFont="1" applyAlignment="1">
      <alignment vertical="center" wrapText="1"/>
    </xf>
    <xf numFmtId="1" fontId="26" fillId="0" borderId="2" xfId="0" applyNumberFormat="1" applyFont="1" applyBorder="1"/>
    <xf numFmtId="1" fontId="26" fillId="0" borderId="0" xfId="0" applyNumberFormat="1" applyFont="1"/>
    <xf numFmtId="0" fontId="0" fillId="0" borderId="1" xfId="0" applyBorder="1" applyAlignment="1">
      <alignment vertical="center" wrapText="1"/>
    </xf>
    <xf numFmtId="0" fontId="0" fillId="0" borderId="2" xfId="0" applyBorder="1"/>
    <xf numFmtId="0" fontId="20" fillId="0" borderId="38" xfId="0" applyFont="1" applyBorder="1" applyAlignment="1">
      <alignment horizontal="center"/>
    </xf>
    <xf numFmtId="0" fontId="29" fillId="0" borderId="0" xfId="0" applyFont="1" applyAlignment="1">
      <alignment horizontal="center" vertical="center"/>
    </xf>
    <xf numFmtId="0" fontId="29" fillId="0" borderId="2" xfId="0" applyFont="1" applyBorder="1" applyAlignment="1">
      <alignment horizontal="center" vertical="center"/>
    </xf>
    <xf numFmtId="0" fontId="24" fillId="9" borderId="38" xfId="0" applyFont="1" applyFill="1" applyBorder="1"/>
    <xf numFmtId="0" fontId="24" fillId="9" borderId="34" xfId="0" applyFont="1" applyFill="1" applyBorder="1"/>
    <xf numFmtId="0" fontId="11" fillId="9" borderId="30" xfId="0" applyFont="1" applyFill="1" applyBorder="1"/>
    <xf numFmtId="0" fontId="30" fillId="0" borderId="2" xfId="0" applyFont="1" applyBorder="1" applyAlignment="1">
      <alignment horizontal="right" vertical="center"/>
    </xf>
    <xf numFmtId="0" fontId="26" fillId="0" borderId="3" xfId="0" applyFont="1" applyBorder="1" applyAlignment="1">
      <alignment horizontal="right"/>
    </xf>
    <xf numFmtId="0" fontId="30" fillId="0" borderId="0" xfId="0" applyFont="1" applyAlignment="1">
      <alignment horizontal="right" vertical="center"/>
    </xf>
    <xf numFmtId="0" fontId="26" fillId="0" borderId="40" xfId="0" applyFont="1" applyBorder="1" applyAlignment="1">
      <alignment horizontal="right"/>
    </xf>
    <xf numFmtId="0" fontId="11" fillId="8" borderId="20" xfId="0" applyFont="1" applyFill="1" applyBorder="1"/>
    <xf numFmtId="0" fontId="20" fillId="8" borderId="38" xfId="0" applyFont="1" applyFill="1" applyBorder="1"/>
    <xf numFmtId="0" fontId="20" fillId="8" borderId="30" xfId="0" applyFont="1" applyFill="1" applyBorder="1"/>
    <xf numFmtId="0" fontId="13" fillId="10" borderId="31" xfId="0" applyFont="1" applyFill="1" applyBorder="1"/>
    <xf numFmtId="0" fontId="26" fillId="0" borderId="2" xfId="0" applyFont="1" applyBorder="1" applyAlignment="1">
      <alignment vertical="center"/>
    </xf>
    <xf numFmtId="0" fontId="26" fillId="0" borderId="3" xfId="0" applyFont="1" applyBorder="1" applyAlignment="1">
      <alignment vertical="center"/>
    </xf>
    <xf numFmtId="1" fontId="26" fillId="0" borderId="0" xfId="0" applyNumberFormat="1" applyFont="1" applyAlignment="1">
      <alignment vertical="center"/>
    </xf>
    <xf numFmtId="1" fontId="26" fillId="0" borderId="40" xfId="0" applyNumberFormat="1" applyFont="1" applyBorder="1" applyAlignment="1">
      <alignment vertical="center"/>
    </xf>
    <xf numFmtId="1" fontId="26" fillId="0" borderId="2" xfId="0" applyNumberFormat="1" applyFont="1" applyBorder="1" applyAlignment="1">
      <alignment vertical="center"/>
    </xf>
    <xf numFmtId="1" fontId="26" fillId="0" borderId="3" xfId="0" applyNumberFormat="1" applyFont="1" applyBorder="1" applyAlignment="1">
      <alignment vertical="center"/>
    </xf>
    <xf numFmtId="0" fontId="0" fillId="0" borderId="1" xfId="0" applyBorder="1"/>
    <xf numFmtId="167" fontId="26" fillId="0" borderId="0" xfId="0" applyNumberFormat="1" applyFont="1" applyAlignment="1">
      <alignment vertical="center"/>
    </xf>
    <xf numFmtId="0" fontId="21" fillId="0" borderId="0" xfId="0" applyFont="1"/>
    <xf numFmtId="2" fontId="20" fillId="0" borderId="7" xfId="0" applyNumberFormat="1" applyFont="1" applyBorder="1" applyAlignment="1">
      <alignment horizontal="center" vertical="center"/>
    </xf>
    <xf numFmtId="0" fontId="2" fillId="0" borderId="24" xfId="1" applyBorder="1" applyAlignment="1">
      <alignment vertical="center" wrapText="1"/>
    </xf>
    <xf numFmtId="0" fontId="2" fillId="0" borderId="24" xfId="1" applyBorder="1" applyAlignment="1">
      <alignment horizontal="center" vertical="center" wrapText="1"/>
    </xf>
    <xf numFmtId="0" fontId="2" fillId="0" borderId="25" xfId="1" applyBorder="1" applyAlignment="1">
      <alignment horizontal="center" vertical="center" wrapText="1"/>
    </xf>
    <xf numFmtId="0" fontId="2" fillId="0" borderId="13" xfId="1" applyBorder="1" applyAlignment="1">
      <alignment horizontal="center" vertical="center" wrapText="1"/>
    </xf>
    <xf numFmtId="0" fontId="2" fillId="0" borderId="41" xfId="1" applyBorder="1" applyAlignment="1">
      <alignment vertical="center" wrapText="1"/>
    </xf>
    <xf numFmtId="0" fontId="2" fillId="0" borderId="41" xfId="1" applyBorder="1" applyAlignment="1">
      <alignment horizontal="center" vertical="center" wrapText="1"/>
    </xf>
    <xf numFmtId="0" fontId="12" fillId="0" borderId="10" xfId="0" applyFont="1" applyBorder="1"/>
    <xf numFmtId="0" fontId="12" fillId="0" borderId="12" xfId="0" applyFont="1" applyBorder="1"/>
    <xf numFmtId="0" fontId="1" fillId="0" borderId="43" xfId="0" applyFont="1" applyBorder="1"/>
    <xf numFmtId="0" fontId="5" fillId="0" borderId="0" xfId="1" applyFont="1" applyAlignment="1">
      <alignment vertical="center"/>
    </xf>
    <xf numFmtId="2" fontId="25" fillId="9" borderId="37" xfId="0" applyNumberFormat="1" applyFont="1" applyFill="1" applyBorder="1" applyAlignment="1">
      <alignment horizontal="center" vertical="center"/>
    </xf>
    <xf numFmtId="2" fontId="20" fillId="9" borderId="19" xfId="0" applyNumberFormat="1" applyFont="1" applyFill="1" applyBorder="1" applyAlignment="1">
      <alignment horizontal="center"/>
    </xf>
    <xf numFmtId="2" fontId="20" fillId="9" borderId="31" xfId="0" applyNumberFormat="1" applyFont="1" applyFill="1" applyBorder="1" applyAlignment="1">
      <alignment horizontal="center"/>
    </xf>
    <xf numFmtId="2" fontId="20" fillId="9" borderId="36" xfId="0" applyNumberFormat="1" applyFont="1" applyFill="1" applyBorder="1" applyAlignment="1">
      <alignment horizontal="center"/>
    </xf>
    <xf numFmtId="2" fontId="20" fillId="10" borderId="9" xfId="0" applyNumberFormat="1" applyFont="1" applyFill="1" applyBorder="1" applyAlignment="1">
      <alignment horizontal="center"/>
    </xf>
    <xf numFmtId="2" fontId="8" fillId="12" borderId="7" xfId="0" applyNumberFormat="1" applyFont="1" applyFill="1" applyBorder="1" applyAlignment="1">
      <alignment horizontal="center"/>
    </xf>
    <xf numFmtId="164" fontId="8" fillId="12" borderId="7" xfId="0" applyNumberFormat="1" applyFont="1" applyFill="1" applyBorder="1" applyAlignment="1">
      <alignment horizontal="center"/>
    </xf>
    <xf numFmtId="164" fontId="8" fillId="12" borderId="7" xfId="0" applyNumberFormat="1" applyFont="1" applyFill="1" applyBorder="1" applyAlignment="1">
      <alignment horizontal="center" vertical="center"/>
    </xf>
    <xf numFmtId="0" fontId="10" fillId="7" borderId="11" xfId="0" applyFont="1" applyFill="1" applyBorder="1" applyAlignment="1" applyProtection="1">
      <alignment horizontal="center"/>
      <protection locked="0"/>
    </xf>
    <xf numFmtId="0" fontId="10" fillId="0" borderId="11" xfId="0" applyFont="1" applyBorder="1" applyAlignment="1">
      <alignment horizontal="right"/>
    </xf>
    <xf numFmtId="0" fontId="20" fillId="9" borderId="31" xfId="0" applyFont="1" applyFill="1" applyBorder="1"/>
    <xf numFmtId="2" fontId="20" fillId="9" borderId="9" xfId="0" applyNumberFormat="1" applyFont="1" applyFill="1" applyBorder="1" applyAlignment="1">
      <alignment horizontal="center" vertical="center"/>
    </xf>
    <xf numFmtId="2" fontId="20" fillId="9" borderId="37" xfId="0" applyNumberFormat="1" applyFont="1" applyFill="1" applyBorder="1" applyAlignment="1">
      <alignment horizontal="center" vertical="center"/>
    </xf>
    <xf numFmtId="2" fontId="20" fillId="9" borderId="8" xfId="0" applyNumberFormat="1" applyFont="1" applyFill="1" applyBorder="1" applyAlignment="1">
      <alignment horizontal="center"/>
    </xf>
    <xf numFmtId="0" fontId="24" fillId="9" borderId="31" xfId="0" applyFont="1" applyFill="1" applyBorder="1"/>
    <xf numFmtId="0" fontId="24" fillId="9" borderId="36" xfId="0" applyFont="1" applyFill="1" applyBorder="1"/>
    <xf numFmtId="0" fontId="20" fillId="9" borderId="19" xfId="0" applyFont="1" applyFill="1" applyBorder="1"/>
    <xf numFmtId="0" fontId="11" fillId="7" borderId="9" xfId="0" applyFont="1" applyFill="1" applyBorder="1" applyAlignment="1" applyProtection="1">
      <alignment horizontal="center" vertical="center"/>
      <protection locked="0"/>
    </xf>
    <xf numFmtId="2" fontId="20" fillId="8" borderId="36" xfId="0" applyNumberFormat="1" applyFont="1" applyFill="1" applyBorder="1" applyAlignment="1">
      <alignment horizontal="center"/>
    </xf>
    <xf numFmtId="2" fontId="20" fillId="8" borderId="31" xfId="0" applyNumberFormat="1" applyFont="1" applyFill="1" applyBorder="1" applyAlignment="1">
      <alignment horizontal="center"/>
    </xf>
    <xf numFmtId="0" fontId="20" fillId="9" borderId="20" xfId="0" applyFont="1" applyFill="1" applyBorder="1"/>
    <xf numFmtId="0" fontId="20" fillId="9" borderId="30" xfId="0" applyFont="1" applyFill="1" applyBorder="1"/>
    <xf numFmtId="0" fontId="24" fillId="9" borderId="30" xfId="0" applyFont="1" applyFill="1" applyBorder="1"/>
    <xf numFmtId="0" fontId="13" fillId="9" borderId="35" xfId="0" applyFont="1" applyFill="1" applyBorder="1"/>
    <xf numFmtId="0" fontId="20" fillId="9" borderId="35" xfId="0" applyFont="1" applyFill="1" applyBorder="1"/>
    <xf numFmtId="0" fontId="0" fillId="0" borderId="1" xfId="0" applyBorder="1" applyAlignment="1">
      <alignment horizontal="left" vertical="center"/>
    </xf>
    <xf numFmtId="0" fontId="0" fillId="0" borderId="1" xfId="0" applyBorder="1" applyAlignment="1">
      <alignment vertical="center"/>
    </xf>
    <xf numFmtId="0" fontId="0" fillId="0" borderId="4" xfId="0" applyBorder="1" applyAlignment="1">
      <alignment vertical="center" wrapText="1"/>
    </xf>
    <xf numFmtId="0" fontId="20" fillId="0" borderId="7" xfId="0" applyFont="1" applyBorder="1" applyAlignment="1">
      <alignment vertical="center"/>
    </xf>
    <xf numFmtId="0" fontId="31" fillId="0" borderId="34" xfId="0" applyFont="1" applyBorder="1" applyAlignment="1">
      <alignment vertical="center" wrapText="1"/>
    </xf>
    <xf numFmtId="0" fontId="13" fillId="10" borderId="20" xfId="0" applyFont="1" applyFill="1" applyBorder="1"/>
    <xf numFmtId="0" fontId="11" fillId="10" borderId="7" xfId="0" applyFont="1" applyFill="1" applyBorder="1" applyAlignment="1">
      <alignment horizontal="left" vertical="center"/>
    </xf>
    <xf numFmtId="2" fontId="11" fillId="9" borderId="37" xfId="0" applyNumberFormat="1" applyFont="1" applyFill="1" applyBorder="1" applyAlignment="1">
      <alignment horizontal="center" vertical="center"/>
    </xf>
    <xf numFmtId="0" fontId="13" fillId="10" borderId="35" xfId="0" applyFont="1" applyFill="1" applyBorder="1"/>
    <xf numFmtId="0" fontId="13" fillId="10" borderId="38" xfId="0" applyFont="1" applyFill="1" applyBorder="1"/>
    <xf numFmtId="0" fontId="13" fillId="10" borderId="34" xfId="0" applyFont="1" applyFill="1" applyBorder="1"/>
    <xf numFmtId="0" fontId="15" fillId="0" borderId="0" xfId="0" applyFont="1" applyAlignment="1">
      <alignment vertical="center" wrapText="1"/>
    </xf>
    <xf numFmtId="0" fontId="15" fillId="0" borderId="0" xfId="0" applyFont="1"/>
    <xf numFmtId="0" fontId="0" fillId="0" borderId="39" xfId="0" applyBorder="1" applyAlignment="1">
      <alignment vertical="center"/>
    </xf>
    <xf numFmtId="2" fontId="20" fillId="10" borderId="8" xfId="0" applyNumberFormat="1" applyFont="1" applyFill="1" applyBorder="1" applyAlignment="1">
      <alignment horizontal="center"/>
    </xf>
    <xf numFmtId="0" fontId="11" fillId="8" borderId="30" xfId="0" applyFont="1" applyFill="1" applyBorder="1"/>
    <xf numFmtId="2" fontId="20" fillId="11" borderId="7" xfId="0" applyNumberFormat="1" applyFont="1" applyFill="1" applyBorder="1" applyAlignment="1">
      <alignment horizontal="center"/>
    </xf>
    <xf numFmtId="1" fontId="29" fillId="0" borderId="2" xfId="0" applyNumberFormat="1" applyFont="1" applyBorder="1" applyAlignment="1">
      <alignment horizontal="center" vertical="center" wrapText="1"/>
    </xf>
    <xf numFmtId="1" fontId="29" fillId="0" borderId="2" xfId="0" applyNumberFormat="1" applyFont="1" applyBorder="1" applyAlignment="1">
      <alignment horizontal="center" vertical="center"/>
    </xf>
    <xf numFmtId="1" fontId="29" fillId="0" borderId="0" xfId="0" applyNumberFormat="1" applyFont="1" applyAlignment="1">
      <alignment horizontal="center" vertical="center" wrapText="1"/>
    </xf>
    <xf numFmtId="1" fontId="29" fillId="0" borderId="0" xfId="0" applyNumberFormat="1" applyFont="1" applyAlignment="1">
      <alignment horizontal="center" vertical="center"/>
    </xf>
    <xf numFmtId="1" fontId="26" fillId="0" borderId="3" xfId="0" applyNumberFormat="1" applyFont="1" applyBorder="1" applyAlignment="1">
      <alignment horizontal="center" vertical="center" wrapText="1"/>
    </xf>
    <xf numFmtId="1" fontId="26" fillId="0" borderId="0" xfId="0" applyNumberFormat="1" applyFont="1" applyAlignment="1">
      <alignment horizontal="center" vertical="center" wrapText="1"/>
    </xf>
    <xf numFmtId="1" fontId="26" fillId="0" borderId="40" xfId="0" applyNumberFormat="1" applyFont="1" applyBorder="1" applyAlignment="1">
      <alignment horizontal="center" vertical="center" wrapText="1"/>
    </xf>
    <xf numFmtId="0" fontId="24" fillId="8" borderId="0" xfId="0" applyFont="1" applyFill="1" applyAlignment="1">
      <alignment horizontal="left" wrapText="1"/>
    </xf>
    <xf numFmtId="0" fontId="24" fillId="8" borderId="38" xfId="0" applyFont="1" applyFill="1" applyBorder="1" applyAlignment="1">
      <alignment horizontal="left" wrapText="1"/>
    </xf>
    <xf numFmtId="0" fontId="11" fillId="7" borderId="8" xfId="0" applyFont="1" applyFill="1" applyBorder="1" applyAlignment="1" applyProtection="1">
      <alignment horizontal="center" vertical="center"/>
      <protection locked="0"/>
    </xf>
    <xf numFmtId="0" fontId="11" fillId="8" borderId="35" xfId="0" applyFont="1" applyFill="1" applyBorder="1" applyAlignment="1">
      <alignment vertical="center"/>
    </xf>
    <xf numFmtId="0" fontId="13" fillId="8" borderId="20" xfId="0" applyFont="1" applyFill="1" applyBorder="1" applyAlignment="1">
      <alignment horizontal="left" wrapText="1"/>
    </xf>
    <xf numFmtId="0" fontId="13" fillId="8" borderId="30" xfId="0" applyFont="1" applyFill="1" applyBorder="1" applyAlignment="1">
      <alignment horizontal="left" wrapText="1"/>
    </xf>
    <xf numFmtId="0" fontId="0" fillId="0" borderId="39" xfId="0" applyBorder="1" applyAlignment="1">
      <alignment vertical="center" wrapText="1"/>
    </xf>
    <xf numFmtId="0" fontId="20" fillId="0" borderId="0" xfId="0" applyFont="1" applyAlignment="1">
      <alignment horizontal="center"/>
    </xf>
    <xf numFmtId="2" fontId="20" fillId="8" borderId="8" xfId="0" applyNumberFormat="1" applyFont="1" applyFill="1" applyBorder="1" applyAlignment="1">
      <alignment horizontal="center"/>
    </xf>
    <xf numFmtId="2" fontId="20" fillId="8" borderId="37" xfId="0" applyNumberFormat="1" applyFont="1" applyFill="1" applyBorder="1" applyAlignment="1">
      <alignment horizontal="center"/>
    </xf>
    <xf numFmtId="0" fontId="10" fillId="0" borderId="11" xfId="0" applyFont="1" applyBorder="1"/>
    <xf numFmtId="2" fontId="20" fillId="7" borderId="20" xfId="0" applyNumberFormat="1" applyFont="1" applyFill="1" applyBorder="1" applyAlignment="1" applyProtection="1">
      <alignment horizontal="center"/>
      <protection locked="0"/>
    </xf>
    <xf numFmtId="2" fontId="20" fillId="7" borderId="30" xfId="0" applyNumberFormat="1" applyFont="1" applyFill="1" applyBorder="1" applyAlignment="1" applyProtection="1">
      <alignment horizontal="center"/>
      <protection locked="0"/>
    </xf>
    <xf numFmtId="2" fontId="20" fillId="7" borderId="35" xfId="0" applyNumberFormat="1" applyFont="1" applyFill="1" applyBorder="1" applyAlignment="1" applyProtection="1">
      <alignment horizontal="center"/>
      <protection locked="0"/>
    </xf>
    <xf numFmtId="0" fontId="9" fillId="0" borderId="31" xfId="0" applyFont="1" applyBorder="1" applyAlignment="1">
      <alignment horizontal="left" vertical="center"/>
    </xf>
    <xf numFmtId="2" fontId="26" fillId="0" borderId="2" xfId="0" applyNumberFormat="1" applyFont="1" applyBorder="1"/>
    <xf numFmtId="0" fontId="31" fillId="0" borderId="0" xfId="0" applyFont="1" applyAlignment="1">
      <alignment vertical="center" wrapText="1"/>
    </xf>
    <xf numFmtId="0" fontId="0" fillId="0" borderId="1" xfId="0" applyBorder="1" applyAlignment="1">
      <alignment horizontal="left" vertical="top"/>
    </xf>
    <xf numFmtId="165" fontId="29" fillId="0" borderId="0" xfId="0" applyNumberFormat="1" applyFont="1"/>
    <xf numFmtId="2" fontId="20" fillId="8" borderId="9" xfId="0" applyNumberFormat="1" applyFont="1" applyFill="1" applyBorder="1" applyAlignment="1">
      <alignment horizontal="center"/>
    </xf>
    <xf numFmtId="0" fontId="0" fillId="0" borderId="0" xfId="0" applyAlignment="1">
      <alignment horizontal="center" vertical="center" wrapText="1"/>
    </xf>
    <xf numFmtId="1" fontId="0" fillId="0" borderId="0" xfId="0" applyNumberFormat="1"/>
    <xf numFmtId="0" fontId="10" fillId="0" borderId="12" xfId="0" applyFont="1" applyBorder="1"/>
    <xf numFmtId="0" fontId="0" fillId="0" borderId="0" xfId="0" applyAlignment="1">
      <alignment vertical="center" wrapText="1"/>
    </xf>
    <xf numFmtId="0" fontId="0" fillId="0" borderId="39" xfId="0" applyBorder="1" applyAlignment="1">
      <alignment horizontal="left" vertical="center"/>
    </xf>
    <xf numFmtId="2" fontId="11" fillId="8" borderId="19" xfId="0" quotePrefix="1" applyNumberFormat="1" applyFont="1" applyFill="1" applyBorder="1" applyAlignment="1">
      <alignment horizontal="center"/>
    </xf>
    <xf numFmtId="0" fontId="11" fillId="8" borderId="35" xfId="0" applyFont="1" applyFill="1" applyBorder="1"/>
    <xf numFmtId="2" fontId="20" fillId="8" borderId="19" xfId="0" applyNumberFormat="1" applyFont="1" applyFill="1" applyBorder="1" applyAlignment="1">
      <alignment horizontal="center"/>
    </xf>
    <xf numFmtId="0" fontId="8" fillId="0" borderId="9" xfId="0" quotePrefix="1" applyFont="1" applyBorder="1" applyAlignment="1">
      <alignment horizontal="center" vertical="center" wrapText="1"/>
    </xf>
    <xf numFmtId="2" fontId="14" fillId="12" borderId="9" xfId="0" applyNumberFormat="1" applyFont="1" applyFill="1" applyBorder="1" applyAlignment="1">
      <alignment horizontal="center" vertical="center"/>
    </xf>
    <xf numFmtId="2" fontId="8" fillId="0" borderId="7" xfId="0" applyNumberFormat="1" applyFont="1" applyBorder="1" applyAlignment="1">
      <alignment horizontal="center" vertical="center" wrapText="1"/>
    </xf>
    <xf numFmtId="0" fontId="0" fillId="3" borderId="0" xfId="0" applyFill="1" applyAlignment="1">
      <alignment horizontal="center"/>
    </xf>
    <xf numFmtId="164" fontId="8" fillId="0" borderId="0" xfId="0" applyNumberFormat="1" applyFont="1" applyAlignment="1">
      <alignment horizontal="center" vertical="center"/>
    </xf>
    <xf numFmtId="0" fontId="8" fillId="0" borderId="0" xfId="0" applyFont="1" applyAlignment="1">
      <alignment horizontal="center"/>
    </xf>
    <xf numFmtId="164" fontId="8" fillId="0" borderId="0" xfId="0" applyNumberFormat="1" applyFont="1" applyAlignment="1">
      <alignment horizontal="center"/>
    </xf>
    <xf numFmtId="0" fontId="8" fillId="0" borderId="30" xfId="0" applyFont="1" applyBorder="1" applyAlignment="1">
      <alignment horizontal="center"/>
    </xf>
    <xf numFmtId="164" fontId="8" fillId="0" borderId="38" xfId="0" applyNumberFormat="1" applyFont="1" applyBorder="1" applyAlignment="1">
      <alignment horizontal="center" vertical="center"/>
    </xf>
    <xf numFmtId="2" fontId="11" fillId="7" borderId="30" xfId="0" applyNumberFormat="1" applyFont="1" applyFill="1" applyBorder="1" applyAlignment="1" applyProtection="1">
      <alignment horizontal="center"/>
      <protection locked="0"/>
    </xf>
    <xf numFmtId="166" fontId="18" fillId="0" borderId="0" xfId="0" applyNumberFormat="1" applyFont="1"/>
    <xf numFmtId="0" fontId="20" fillId="8" borderId="7" xfId="0" applyFont="1" applyFill="1" applyBorder="1" applyAlignment="1">
      <alignment horizontal="left" vertical="center"/>
    </xf>
    <xf numFmtId="1" fontId="8" fillId="0" borderId="7" xfId="0" applyNumberFormat="1" applyFont="1" applyBorder="1" applyAlignment="1">
      <alignment horizontal="center" vertical="center" wrapText="1"/>
    </xf>
    <xf numFmtId="1" fontId="8" fillId="0" borderId="8" xfId="0" applyNumberFormat="1" applyFont="1" applyBorder="1" applyAlignment="1">
      <alignment horizontal="center" vertical="center" wrapText="1"/>
    </xf>
    <xf numFmtId="2" fontId="11" fillId="12" borderId="7" xfId="0" applyNumberFormat="1" applyFont="1" applyFill="1" applyBorder="1" applyAlignment="1">
      <alignment horizontal="center" vertical="center"/>
    </xf>
    <xf numFmtId="2" fontId="11" fillId="0" borderId="7" xfId="0" applyNumberFormat="1" applyFont="1" applyBorder="1" applyAlignment="1">
      <alignment horizontal="center" vertical="center"/>
    </xf>
    <xf numFmtId="0" fontId="20" fillId="9" borderId="7" xfId="0" applyFont="1" applyFill="1" applyBorder="1" applyAlignment="1">
      <alignment horizontal="left" vertical="center"/>
    </xf>
    <xf numFmtId="0" fontId="11" fillId="9" borderId="7" xfId="0" applyFont="1" applyFill="1" applyBorder="1" applyAlignment="1">
      <alignment horizontal="left" vertical="center"/>
    </xf>
    <xf numFmtId="0" fontId="20" fillId="5" borderId="7" xfId="0" applyFont="1" applyFill="1" applyBorder="1" applyAlignment="1">
      <alignment horizontal="left" vertical="center"/>
    </xf>
    <xf numFmtId="0" fontId="11" fillId="5" borderId="7" xfId="0" applyFont="1" applyFill="1" applyBorder="1" applyAlignment="1">
      <alignment horizontal="left" vertical="center"/>
    </xf>
    <xf numFmtId="0" fontId="11" fillId="11" borderId="7" xfId="0" applyFont="1" applyFill="1" applyBorder="1" applyAlignment="1">
      <alignment horizontal="left" vertical="center"/>
    </xf>
    <xf numFmtId="0" fontId="20" fillId="11" borderId="7" xfId="0" applyFont="1" applyFill="1" applyBorder="1" applyAlignment="1">
      <alignment horizontal="left" vertical="center"/>
    </xf>
    <xf numFmtId="2" fontId="20" fillId="9" borderId="9" xfId="0" applyNumberFormat="1" applyFont="1" applyFill="1" applyBorder="1" applyAlignment="1">
      <alignment horizontal="center" vertical="center"/>
    </xf>
    <xf numFmtId="2" fontId="20" fillId="9" borderId="37" xfId="0" applyNumberFormat="1" applyFont="1" applyFill="1" applyBorder="1" applyAlignment="1">
      <alignment horizontal="center" vertical="center"/>
    </xf>
    <xf numFmtId="0" fontId="20" fillId="10" borderId="9" xfId="0" applyFont="1" applyFill="1" applyBorder="1" applyAlignment="1">
      <alignment horizontal="left" vertical="center"/>
    </xf>
    <xf numFmtId="0" fontId="2" fillId="0" borderId="4" xfId="1" applyBorder="1" applyAlignment="1">
      <alignment horizontal="center" vertical="center" wrapText="1"/>
    </xf>
    <xf numFmtId="0" fontId="2" fillId="0" borderId="47" xfId="1" applyBorder="1" applyAlignment="1">
      <alignment horizontal="center" vertical="center" wrapText="1"/>
    </xf>
    <xf numFmtId="0" fontId="20" fillId="8" borderId="0" xfId="0" applyFont="1" applyFill="1" applyBorder="1"/>
    <xf numFmtId="0" fontId="20" fillId="11" borderId="20" xfId="0" applyFont="1" applyFill="1" applyBorder="1" applyAlignment="1">
      <alignment vertical="center"/>
    </xf>
    <xf numFmtId="2" fontId="11" fillId="0" borderId="7" xfId="0" applyNumberFormat="1" applyFont="1" applyFill="1" applyBorder="1" applyAlignment="1">
      <alignment horizontal="center" vertical="center"/>
    </xf>
    <xf numFmtId="0" fontId="0" fillId="0" borderId="0" xfId="0" applyFont="1"/>
    <xf numFmtId="0" fontId="26" fillId="0" borderId="0" xfId="0" applyFont="1" applyFill="1"/>
    <xf numFmtId="0" fontId="26" fillId="0" borderId="0" xfId="0" applyFont="1" applyFill="1" applyAlignment="1">
      <alignment vertical="center" wrapText="1"/>
    </xf>
    <xf numFmtId="0" fontId="0" fillId="0" borderId="0" xfId="0" applyFont="1" applyAlignment="1">
      <alignment horizontal="center"/>
    </xf>
    <xf numFmtId="0" fontId="0" fillId="0" borderId="0" xfId="0" applyBorder="1"/>
    <xf numFmtId="0" fontId="0" fillId="0" borderId="0" xfId="0" applyAlignment="1"/>
    <xf numFmtId="0" fontId="12" fillId="0" borderId="7" xfId="0" applyFont="1" applyBorder="1" applyAlignment="1">
      <alignment horizontal="center" wrapText="1"/>
    </xf>
    <xf numFmtId="0" fontId="0" fillId="0" borderId="0" xfId="0" applyAlignment="1">
      <alignment wrapText="1"/>
    </xf>
    <xf numFmtId="164" fontId="26" fillId="0" borderId="40" xfId="0" applyNumberFormat="1" applyFont="1" applyBorder="1"/>
    <xf numFmtId="0" fontId="0" fillId="0" borderId="0" xfId="0" applyFill="1"/>
    <xf numFmtId="0" fontId="3" fillId="13" borderId="26" xfId="1" applyFont="1" applyFill="1" applyBorder="1" applyAlignment="1">
      <alignment horizontal="center" vertical="center" wrapText="1"/>
    </xf>
    <xf numFmtId="0" fontId="1" fillId="0" borderId="0" xfId="0" applyFont="1" applyFill="1"/>
    <xf numFmtId="0" fontId="20" fillId="10" borderId="7" xfId="0" applyFont="1" applyFill="1" applyBorder="1" applyAlignment="1">
      <alignment horizontal="left" vertical="center"/>
    </xf>
    <xf numFmtId="0" fontId="11" fillId="9" borderId="0" xfId="0" applyFont="1" applyFill="1" applyAlignment="1"/>
    <xf numFmtId="0" fontId="11" fillId="9" borderId="31" xfId="0" applyFont="1" applyFill="1" applyBorder="1" applyAlignment="1"/>
    <xf numFmtId="0" fontId="31" fillId="0" borderId="0" xfId="0" applyFont="1" applyBorder="1" applyAlignment="1">
      <alignment vertical="center" wrapText="1"/>
    </xf>
    <xf numFmtId="2" fontId="20" fillId="0" borderId="0" xfId="0" applyNumberFormat="1" applyFont="1" applyBorder="1" applyAlignment="1">
      <alignment horizontal="center"/>
    </xf>
    <xf numFmtId="0" fontId="13" fillId="10" borderId="0" xfId="0" applyFont="1" applyFill="1" applyBorder="1"/>
    <xf numFmtId="0" fontId="19" fillId="0" borderId="0" xfId="0" applyFont="1" applyBorder="1" applyAlignment="1">
      <alignment horizontal="center" vertical="center"/>
    </xf>
    <xf numFmtId="0" fontId="23" fillId="0" borderId="0" xfId="0" applyFont="1" applyBorder="1" applyAlignment="1">
      <alignment horizontal="center" vertical="center" wrapText="1"/>
    </xf>
    <xf numFmtId="0" fontId="18" fillId="0" borderId="0" xfId="0" applyFont="1" applyBorder="1"/>
    <xf numFmtId="0" fontId="20" fillId="9" borderId="0" xfId="0" applyFont="1" applyFill="1" applyBorder="1"/>
    <xf numFmtId="0" fontId="20" fillId="11" borderId="0" xfId="0" applyFont="1" applyFill="1" applyBorder="1"/>
    <xf numFmtId="0" fontId="24" fillId="9" borderId="0" xfId="0" applyFont="1" applyFill="1" applyBorder="1"/>
    <xf numFmtId="0" fontId="11" fillId="9" borderId="0" xfId="0" applyFont="1" applyFill="1" applyBorder="1" applyAlignment="1"/>
    <xf numFmtId="0" fontId="20" fillId="8" borderId="19" xfId="0" applyFont="1" applyFill="1" applyBorder="1"/>
    <xf numFmtId="0" fontId="20" fillId="8" borderId="31" xfId="0" applyFont="1" applyFill="1" applyBorder="1"/>
    <xf numFmtId="0" fontId="20" fillId="8" borderId="36" xfId="0" applyFont="1" applyFill="1" applyBorder="1"/>
    <xf numFmtId="0" fontId="24" fillId="9" borderId="19" xfId="0" applyFont="1" applyFill="1" applyBorder="1"/>
    <xf numFmtId="0" fontId="20" fillId="9" borderId="36" xfId="0" applyFont="1" applyFill="1" applyBorder="1"/>
    <xf numFmtId="0" fontId="13" fillId="10" borderId="19" xfId="0" applyFont="1" applyFill="1" applyBorder="1"/>
    <xf numFmtId="0" fontId="13" fillId="10" borderId="36" xfId="0" applyFont="1" applyFill="1" applyBorder="1"/>
    <xf numFmtId="0" fontId="13" fillId="10" borderId="30" xfId="0" applyFont="1" applyFill="1" applyBorder="1"/>
    <xf numFmtId="0" fontId="11" fillId="11" borderId="30" xfId="0" applyFont="1" applyFill="1" applyBorder="1"/>
    <xf numFmtId="0" fontId="20" fillId="10" borderId="11" xfId="0" applyFont="1" applyFill="1" applyBorder="1"/>
    <xf numFmtId="0" fontId="20" fillId="11" borderId="34" xfId="0" applyFont="1" applyFill="1" applyBorder="1"/>
    <xf numFmtId="0" fontId="20" fillId="0" borderId="10" xfId="0" applyFont="1" applyBorder="1" applyAlignment="1"/>
    <xf numFmtId="0" fontId="20" fillId="0" borderId="12" xfId="0" applyFont="1" applyBorder="1" applyAlignment="1"/>
    <xf numFmtId="0" fontId="11" fillId="0" borderId="10" xfId="0" applyFont="1" applyBorder="1" applyAlignment="1"/>
    <xf numFmtId="0" fontId="11" fillId="0" borderId="7" xfId="0" applyFont="1" applyBorder="1" applyAlignment="1"/>
    <xf numFmtId="0" fontId="11" fillId="0" borderId="6" xfId="0" applyFont="1" applyBorder="1" applyAlignment="1">
      <alignment horizontal="left"/>
    </xf>
    <xf numFmtId="164" fontId="11" fillId="0" borderId="4" xfId="0" applyNumberFormat="1" applyFont="1" applyBorder="1" applyAlignment="1">
      <alignment horizontal="center"/>
    </xf>
    <xf numFmtId="2" fontId="20" fillId="0" borderId="7" xfId="0" applyNumberFormat="1" applyFont="1" applyFill="1" applyBorder="1" applyAlignment="1">
      <alignment horizontal="center" vertical="center"/>
    </xf>
    <xf numFmtId="164" fontId="20" fillId="0" borderId="7" xfId="2" applyNumberFormat="1" applyFont="1" applyFill="1" applyBorder="1" applyAlignment="1">
      <alignment horizontal="center"/>
    </xf>
    <xf numFmtId="164" fontId="20" fillId="0" borderId="7" xfId="0" applyNumberFormat="1" applyFont="1" applyBorder="1" applyAlignment="1">
      <alignment horizontal="center"/>
    </xf>
    <xf numFmtId="0" fontId="1" fillId="0" borderId="30" xfId="0" applyFont="1" applyBorder="1" applyAlignment="1"/>
    <xf numFmtId="0" fontId="20" fillId="13" borderId="9" xfId="0" applyFont="1" applyFill="1" applyBorder="1" applyAlignment="1" applyProtection="1">
      <alignment horizontal="center"/>
      <protection locked="0"/>
    </xf>
    <xf numFmtId="0" fontId="11" fillId="7" borderId="37" xfId="0" applyFont="1" applyFill="1" applyBorder="1" applyAlignment="1" applyProtection="1">
      <alignment horizontal="center" vertical="center"/>
      <protection locked="0"/>
    </xf>
    <xf numFmtId="0" fontId="20" fillId="8" borderId="20" xfId="0" applyFont="1" applyFill="1" applyBorder="1"/>
    <xf numFmtId="164" fontId="18" fillId="0" borderId="0" xfId="0" applyNumberFormat="1" applyFont="1"/>
    <xf numFmtId="0" fontId="0" fillId="0" borderId="40" xfId="0" applyFill="1" applyBorder="1"/>
    <xf numFmtId="0" fontId="9" fillId="0" borderId="39" xfId="0" applyFont="1" applyFill="1" applyBorder="1" applyAlignment="1">
      <alignment vertical="center" wrapText="1"/>
    </xf>
    <xf numFmtId="0" fontId="9" fillId="0" borderId="0" xfId="0" applyFont="1" applyFill="1" applyBorder="1" applyAlignment="1">
      <alignment vertical="center" wrapText="1"/>
    </xf>
    <xf numFmtId="0" fontId="1" fillId="0" borderId="39" xfId="0" applyFont="1" applyBorder="1"/>
    <xf numFmtId="0" fontId="1" fillId="0" borderId="39" xfId="0" applyFont="1" applyFill="1" applyBorder="1"/>
    <xf numFmtId="0" fontId="1" fillId="0" borderId="0" xfId="0" applyFont="1" applyBorder="1"/>
    <xf numFmtId="0" fontId="0" fillId="0" borderId="0" xfId="0" applyAlignment="1">
      <alignment horizontal="center"/>
    </xf>
    <xf numFmtId="0" fontId="26" fillId="0" borderId="0" xfId="0" applyFont="1" applyAlignment="1">
      <alignment horizontal="center"/>
    </xf>
    <xf numFmtId="0" fontId="26" fillId="0" borderId="0" xfId="0" applyFont="1" applyBorder="1" applyAlignment="1">
      <alignment vertical="center" wrapText="1"/>
    </xf>
    <xf numFmtId="0" fontId="26" fillId="0" borderId="0" xfId="0" applyFont="1" applyBorder="1"/>
    <xf numFmtId="0" fontId="0" fillId="0" borderId="39" xfId="0" applyFont="1" applyBorder="1" applyAlignment="1">
      <alignment vertical="center" wrapText="1"/>
    </xf>
    <xf numFmtId="0" fontId="0" fillId="0" borderId="1" xfId="0" applyFont="1" applyBorder="1" applyAlignment="1">
      <alignment vertical="center" wrapText="1"/>
    </xf>
    <xf numFmtId="0" fontId="26" fillId="0" borderId="0" xfId="0" applyFont="1" applyFill="1" applyBorder="1" applyAlignment="1">
      <alignment vertical="center" wrapText="1"/>
    </xf>
    <xf numFmtId="0" fontId="26" fillId="0" borderId="2" xfId="0" applyFont="1" applyFill="1" applyBorder="1" applyAlignment="1">
      <alignment vertical="center" wrapText="1"/>
    </xf>
    <xf numFmtId="0" fontId="0" fillId="0" borderId="0" xfId="0" quotePrefix="1" applyFont="1" applyAlignment="1">
      <alignment vertical="center"/>
    </xf>
    <xf numFmtId="0" fontId="26" fillId="0" borderId="0" xfId="0" applyFont="1" applyFill="1" applyAlignment="1">
      <alignment horizontal="center"/>
    </xf>
    <xf numFmtId="0" fontId="0" fillId="0" borderId="0" xfId="0" applyFill="1" applyAlignment="1">
      <alignment horizontal="left" vertical="center"/>
    </xf>
    <xf numFmtId="0" fontId="0" fillId="0" borderId="0" xfId="0" applyFill="1" applyAlignment="1">
      <alignment horizontal="center"/>
    </xf>
    <xf numFmtId="0" fontId="0" fillId="0" borderId="0" xfId="0" applyFont="1" applyFill="1"/>
    <xf numFmtId="0" fontId="26" fillId="0" borderId="0" xfId="0" applyFont="1" applyFill="1" applyAlignment="1">
      <alignment wrapText="1"/>
    </xf>
    <xf numFmtId="0" fontId="26" fillId="0" borderId="0" xfId="0" applyFont="1" applyFill="1" applyAlignment="1">
      <alignment horizontal="left" vertical="center" wrapText="1"/>
    </xf>
    <xf numFmtId="0" fontId="0" fillId="0" borderId="0" xfId="0" applyFont="1" applyFill="1" applyAlignment="1">
      <alignment wrapText="1"/>
    </xf>
    <xf numFmtId="0" fontId="12" fillId="0" borderId="39" xfId="0" applyFont="1" applyFill="1" applyBorder="1" applyAlignment="1">
      <alignment horizontal="left"/>
    </xf>
    <xf numFmtId="0" fontId="12" fillId="0" borderId="0" xfId="0" applyFont="1" applyFill="1" applyBorder="1" applyAlignment="1">
      <alignment horizontal="left"/>
    </xf>
    <xf numFmtId="2" fontId="11" fillId="9" borderId="37" xfId="0" applyNumberFormat="1" applyFont="1" applyFill="1" applyBorder="1" applyAlignment="1">
      <alignment horizontal="center"/>
    </xf>
    <xf numFmtId="0" fontId="11" fillId="10" borderId="7" xfId="0" applyFont="1" applyFill="1" applyBorder="1" applyAlignment="1">
      <alignment horizontal="left" vertical="center"/>
    </xf>
    <xf numFmtId="2" fontId="20" fillId="9" borderId="37" xfId="0" applyNumberFormat="1" applyFont="1" applyFill="1" applyBorder="1" applyAlignment="1">
      <alignment horizontal="center" vertical="center"/>
    </xf>
    <xf numFmtId="2" fontId="20" fillId="9" borderId="9" xfId="0" applyNumberFormat="1" applyFont="1" applyFill="1" applyBorder="1" applyAlignment="1">
      <alignment horizontal="center" vertical="center"/>
    </xf>
    <xf numFmtId="0" fontId="20" fillId="10" borderId="9" xfId="0" applyFont="1" applyFill="1" applyBorder="1" applyAlignment="1">
      <alignment horizontal="left" vertical="center"/>
    </xf>
    <xf numFmtId="2" fontId="8" fillId="0" borderId="7" xfId="0" applyNumberFormat="1" applyFont="1" applyFill="1" applyBorder="1" applyAlignment="1">
      <alignment horizontal="center"/>
    </xf>
    <xf numFmtId="164" fontId="8" fillId="0" borderId="7" xfId="0" applyNumberFormat="1" applyFont="1" applyFill="1" applyBorder="1" applyAlignment="1">
      <alignment horizontal="center" vertical="center"/>
    </xf>
    <xf numFmtId="0" fontId="10" fillId="0" borderId="10" xfId="0" applyFont="1" applyBorder="1" applyAlignment="1">
      <alignment wrapText="1"/>
    </xf>
    <xf numFmtId="15" fontId="0" fillId="0" borderId="0" xfId="0" applyNumberFormat="1" applyFill="1"/>
    <xf numFmtId="0" fontId="0" fillId="13" borderId="7" xfId="0" applyFill="1" applyBorder="1" applyProtection="1">
      <protection locked="0"/>
    </xf>
    <xf numFmtId="0" fontId="0" fillId="13" borderId="52" xfId="0" applyFill="1" applyBorder="1" applyProtection="1">
      <protection locked="0"/>
    </xf>
    <xf numFmtId="0" fontId="11" fillId="7" borderId="37" xfId="0" applyFont="1" applyFill="1" applyBorder="1" applyAlignment="1" applyProtection="1">
      <alignment horizontal="center"/>
      <protection locked="0"/>
    </xf>
    <xf numFmtId="0" fontId="0" fillId="0" borderId="0" xfId="0" applyFont="1" applyAlignment="1">
      <alignment horizontal="left"/>
    </xf>
    <xf numFmtId="0" fontId="12" fillId="0" borderId="39" xfId="0" applyFont="1" applyFill="1" applyBorder="1" applyAlignment="1">
      <alignment horizontal="left"/>
    </xf>
    <xf numFmtId="0" fontId="12" fillId="0" borderId="0" xfId="0" applyFont="1" applyFill="1" applyBorder="1" applyAlignment="1">
      <alignment horizontal="left"/>
    </xf>
    <xf numFmtId="0" fontId="12" fillId="0" borderId="31" xfId="0" applyFont="1" applyFill="1" applyBorder="1" applyAlignment="1">
      <alignment horizontal="left"/>
    </xf>
    <xf numFmtId="0" fontId="0" fillId="0" borderId="8" xfId="0" applyBorder="1"/>
    <xf numFmtId="0" fontId="0" fillId="0" borderId="37" xfId="0" applyBorder="1"/>
    <xf numFmtId="0" fontId="0" fillId="0" borderId="9" xfId="0" applyBorder="1"/>
    <xf numFmtId="0" fontId="0" fillId="0" borderId="0" xfId="0" applyFill="1" applyBorder="1"/>
    <xf numFmtId="0" fontId="20" fillId="11" borderId="38" xfId="0" applyFont="1" applyFill="1" applyBorder="1"/>
    <xf numFmtId="0" fontId="20" fillId="7" borderId="19" xfId="0" applyFont="1" applyFill="1" applyBorder="1" applyAlignment="1" applyProtection="1">
      <alignment horizontal="center"/>
      <protection locked="0"/>
    </xf>
    <xf numFmtId="0" fontId="20" fillId="7" borderId="31" xfId="0" applyFont="1" applyFill="1" applyBorder="1" applyAlignment="1" applyProtection="1">
      <alignment horizontal="center"/>
      <protection locked="0"/>
    </xf>
    <xf numFmtId="0" fontId="20" fillId="7" borderId="36" xfId="0" applyFont="1" applyFill="1" applyBorder="1" applyAlignment="1" applyProtection="1">
      <alignment horizontal="center"/>
      <protection locked="0"/>
    </xf>
    <xf numFmtId="0" fontId="20"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11" fillId="0" borderId="0" xfId="0" applyFont="1" applyFill="1" applyBorder="1"/>
    <xf numFmtId="0" fontId="20" fillId="0" borderId="0" xfId="0" applyFont="1" applyFill="1" applyBorder="1"/>
    <xf numFmtId="0" fontId="20" fillId="0" borderId="0" xfId="0" applyFont="1" applyFill="1" applyBorder="1" applyAlignment="1" applyProtection="1">
      <alignment horizontal="center"/>
      <protection locked="0"/>
    </xf>
    <xf numFmtId="2" fontId="20" fillId="0" borderId="0" xfId="0" applyNumberFormat="1" applyFont="1" applyFill="1" applyBorder="1" applyAlignment="1">
      <alignment horizontal="center"/>
    </xf>
    <xf numFmtId="2" fontId="20" fillId="0" borderId="0" xfId="0" applyNumberFormat="1" applyFont="1" applyFill="1" applyBorder="1" applyAlignment="1">
      <alignment horizontal="center" vertical="center"/>
    </xf>
    <xf numFmtId="0" fontId="20" fillId="0" borderId="0" xfId="0" applyFont="1" applyFill="1" applyBorder="1" applyAlignment="1">
      <alignment horizontal="center" vertical="center" wrapText="1"/>
    </xf>
    <xf numFmtId="0" fontId="0" fillId="0" borderId="0" xfId="0" applyAlignment="1" applyProtection="1">
      <alignment horizontal="center"/>
      <protection locked="0"/>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0" fillId="7" borderId="7" xfId="0" applyFill="1" applyBorder="1" applyAlignment="1" applyProtection="1">
      <alignment horizontal="left"/>
      <protection locked="0"/>
    </xf>
    <xf numFmtId="0" fontId="0" fillId="7" borderId="44" xfId="0" applyFill="1" applyBorder="1" applyAlignment="1" applyProtection="1">
      <alignment horizontal="left"/>
      <protection locked="0"/>
    </xf>
    <xf numFmtId="0" fontId="12" fillId="0" borderId="39" xfId="0" applyFont="1" applyFill="1" applyBorder="1" applyAlignment="1">
      <alignment horizontal="left"/>
    </xf>
    <xf numFmtId="0" fontId="12" fillId="0" borderId="0" xfId="0" applyFont="1" applyFill="1" applyBorder="1" applyAlignment="1">
      <alignment horizontal="left"/>
    </xf>
    <xf numFmtId="0" fontId="12" fillId="0" borderId="31" xfId="0" applyFont="1" applyFill="1" applyBorder="1" applyAlignment="1">
      <alignment horizontal="left"/>
    </xf>
    <xf numFmtId="0" fontId="0" fillId="7" borderId="7" xfId="0" applyFill="1" applyBorder="1" applyAlignment="1" applyProtection="1">
      <alignment horizontal="center"/>
      <protection locked="0"/>
    </xf>
    <xf numFmtId="0" fontId="0" fillId="7" borderId="44" xfId="0" applyFill="1" applyBorder="1" applyAlignment="1" applyProtection="1">
      <alignment horizontal="center"/>
      <protection locked="0"/>
    </xf>
    <xf numFmtId="0" fontId="0" fillId="7" borderId="10" xfId="0" applyFill="1" applyBorder="1" applyAlignment="1" applyProtection="1">
      <alignment horizontal="left"/>
      <protection locked="0"/>
    </xf>
    <xf numFmtId="0" fontId="0" fillId="7" borderId="11" xfId="0" applyFill="1" applyBorder="1" applyAlignment="1" applyProtection="1">
      <alignment horizontal="left"/>
      <protection locked="0"/>
    </xf>
    <xf numFmtId="0" fontId="0" fillId="7" borderId="45" xfId="0" applyFill="1" applyBorder="1" applyAlignment="1" applyProtection="1">
      <alignment horizontal="left"/>
      <protection locked="0"/>
    </xf>
    <xf numFmtId="0" fontId="9" fillId="0" borderId="39"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7" fillId="13" borderId="0" xfId="0" applyFont="1" applyFill="1" applyBorder="1" applyAlignment="1" applyProtection="1">
      <alignment horizontal="center"/>
      <protection locked="0"/>
    </xf>
    <xf numFmtId="0" fontId="2" fillId="0" borderId="0" xfId="1" applyAlignment="1">
      <alignment horizontal="left" vertical="top" wrapText="1"/>
    </xf>
    <xf numFmtId="0" fontId="5" fillId="7" borderId="20" xfId="1" applyFont="1" applyFill="1" applyBorder="1" applyAlignment="1">
      <alignment horizontal="center" vertical="center" wrapText="1"/>
    </xf>
    <xf numFmtId="0" fontId="5" fillId="7" borderId="19" xfId="1" applyFont="1" applyFill="1" applyBorder="1" applyAlignment="1">
      <alignment horizontal="center" vertical="center" wrapText="1"/>
    </xf>
    <xf numFmtId="0" fontId="5" fillId="7" borderId="30" xfId="1" applyFont="1" applyFill="1" applyBorder="1" applyAlignment="1">
      <alignment horizontal="center" vertical="center" wrapText="1"/>
    </xf>
    <xf numFmtId="0" fontId="5" fillId="7" borderId="31" xfId="1" applyFont="1" applyFill="1" applyBorder="1" applyAlignment="1">
      <alignment horizontal="center" vertical="center" wrapText="1"/>
    </xf>
    <xf numFmtId="0" fontId="5" fillId="7" borderId="7" xfId="1" applyFont="1" applyFill="1" applyBorder="1" applyAlignment="1">
      <alignment horizontal="center" vertical="center" wrapText="1"/>
    </xf>
    <xf numFmtId="0" fontId="5" fillId="7" borderId="10" xfId="1" applyFont="1" applyFill="1" applyBorder="1" applyAlignment="1">
      <alignment horizontal="center" vertical="center" wrapText="1"/>
    </xf>
    <xf numFmtId="0" fontId="3" fillId="0" borderId="13" xfId="1" applyFont="1" applyBorder="1" applyAlignment="1">
      <alignment horizontal="center" vertical="center" wrapText="1"/>
    </xf>
    <xf numFmtId="0" fontId="3" fillId="0" borderId="48" xfId="1" applyFont="1" applyBorder="1" applyAlignment="1">
      <alignment horizontal="center" vertical="center" wrapText="1"/>
    </xf>
    <xf numFmtId="0" fontId="3" fillId="6" borderId="14" xfId="1" applyFont="1" applyFill="1" applyBorder="1" applyAlignment="1">
      <alignment horizontal="center" vertical="center"/>
    </xf>
    <xf numFmtId="0" fontId="3" fillId="6" borderId="15" xfId="1" applyFont="1" applyFill="1" applyBorder="1" applyAlignment="1">
      <alignment horizontal="center" vertical="center"/>
    </xf>
    <xf numFmtId="0" fontId="3" fillId="6" borderId="16" xfId="1" applyFont="1" applyFill="1" applyBorder="1" applyAlignment="1">
      <alignment horizontal="center" vertical="center"/>
    </xf>
    <xf numFmtId="0" fontId="3" fillId="6" borderId="17" xfId="1" applyFont="1" applyFill="1" applyBorder="1" applyAlignment="1">
      <alignment horizontal="center" vertical="center"/>
    </xf>
    <xf numFmtId="0" fontId="2" fillId="0" borderId="53" xfId="1" applyBorder="1" applyAlignment="1">
      <alignment horizontal="left" vertical="top" wrapText="1"/>
    </xf>
    <xf numFmtId="0" fontId="2" fillId="0" borderId="11" xfId="1" applyBorder="1" applyAlignment="1">
      <alignment horizontal="left" vertical="top" wrapText="1"/>
    </xf>
    <xf numFmtId="0" fontId="2" fillId="0" borderId="12" xfId="1" applyBorder="1" applyAlignment="1">
      <alignment horizontal="left" vertical="top" wrapText="1"/>
    </xf>
    <xf numFmtId="0" fontId="11" fillId="0" borderId="10" xfId="0" applyFont="1" applyFill="1" applyBorder="1"/>
    <xf numFmtId="0" fontId="11" fillId="0" borderId="12" xfId="0" applyFont="1" applyFill="1" applyBorder="1"/>
    <xf numFmtId="0" fontId="11" fillId="0" borderId="10" xfId="0" applyFont="1" applyBorder="1" applyAlignment="1">
      <alignment vertical="center"/>
    </xf>
    <xf numFmtId="0" fontId="11" fillId="0" borderId="12" xfId="0" applyFont="1" applyBorder="1" applyAlignment="1">
      <alignment vertical="center"/>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19" fillId="0" borderId="7"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8" xfId="0" applyFont="1" applyBorder="1" applyAlignment="1">
      <alignment horizontal="center" vertical="center"/>
    </xf>
    <xf numFmtId="0" fontId="12" fillId="0" borderId="9" xfId="0" applyFont="1" applyBorder="1" applyAlignment="1">
      <alignment horizontal="center" vertical="center"/>
    </xf>
    <xf numFmtId="2" fontId="11" fillId="0" borderId="8" xfId="0" applyNumberFormat="1" applyFont="1" applyBorder="1" applyAlignment="1">
      <alignment horizontal="center" vertical="center"/>
    </xf>
    <xf numFmtId="2" fontId="11" fillId="0" borderId="9" xfId="0" applyNumberFormat="1" applyFont="1" applyBorder="1" applyAlignment="1">
      <alignment horizontal="center" vertical="center"/>
    </xf>
    <xf numFmtId="0" fontId="11" fillId="8" borderId="8" xfId="0" applyFont="1" applyFill="1" applyBorder="1" applyAlignment="1">
      <alignment horizontal="left" vertical="center" wrapText="1"/>
    </xf>
    <xf numFmtId="0" fontId="11" fillId="8" borderId="37" xfId="0" applyFont="1" applyFill="1" applyBorder="1" applyAlignment="1">
      <alignment horizontal="left" vertical="center" wrapText="1"/>
    </xf>
    <xf numFmtId="0" fontId="11" fillId="8" borderId="9" xfId="0" applyFont="1" applyFill="1" applyBorder="1" applyAlignment="1">
      <alignment horizontal="left" vertical="center" wrapText="1"/>
    </xf>
    <xf numFmtId="0" fontId="20" fillId="0" borderId="10" xfId="0" applyFont="1" applyBorder="1" applyAlignment="1">
      <alignment vertical="center"/>
    </xf>
    <xf numFmtId="0" fontId="20" fillId="0" borderId="12" xfId="0" applyFont="1" applyBorder="1" applyAlignment="1">
      <alignment vertical="center"/>
    </xf>
    <xf numFmtId="0" fontId="11" fillId="0" borderId="10" xfId="0" applyFont="1" applyFill="1" applyBorder="1" applyAlignment="1">
      <alignment vertical="center"/>
    </xf>
    <xf numFmtId="0" fontId="11" fillId="0" borderId="12" xfId="0" applyFont="1" applyFill="1" applyBorder="1" applyAlignment="1">
      <alignment vertical="center"/>
    </xf>
    <xf numFmtId="0" fontId="11" fillId="8" borderId="8" xfId="0" applyFont="1" applyFill="1" applyBorder="1" applyAlignment="1">
      <alignment horizontal="center" vertical="center" wrapText="1"/>
    </xf>
    <xf numFmtId="0" fontId="11" fillId="8" borderId="9" xfId="0" applyFont="1" applyFill="1" applyBorder="1" applyAlignment="1">
      <alignment horizontal="center" vertical="center" wrapText="1"/>
    </xf>
    <xf numFmtId="0" fontId="11" fillId="9" borderId="8" xfId="0" applyFont="1" applyFill="1" applyBorder="1" applyAlignment="1">
      <alignment horizontal="center" vertical="center"/>
    </xf>
    <xf numFmtId="0" fontId="11" fillId="9" borderId="9" xfId="0" applyFont="1" applyFill="1" applyBorder="1" applyAlignment="1">
      <alignment horizontal="center" vertical="center"/>
    </xf>
    <xf numFmtId="0" fontId="20" fillId="11" borderId="8" xfId="0" applyFont="1" applyFill="1" applyBorder="1" applyAlignment="1">
      <alignment horizontal="left" vertical="center"/>
    </xf>
    <xf numFmtId="0" fontId="20" fillId="11" borderId="37" xfId="0" applyFont="1" applyFill="1" applyBorder="1" applyAlignment="1">
      <alignment horizontal="left" vertical="center"/>
    </xf>
    <xf numFmtId="0" fontId="20" fillId="11" borderId="9" xfId="0" applyFont="1" applyFill="1" applyBorder="1" applyAlignment="1">
      <alignment horizontal="left" vertical="center"/>
    </xf>
    <xf numFmtId="2" fontId="20" fillId="11" borderId="8" xfId="0" applyNumberFormat="1" applyFont="1" applyFill="1" applyBorder="1" applyAlignment="1">
      <alignment horizontal="center" vertical="center"/>
    </xf>
    <xf numFmtId="2" fontId="20" fillId="11" borderId="37" xfId="0" applyNumberFormat="1" applyFont="1" applyFill="1" applyBorder="1" applyAlignment="1">
      <alignment horizontal="center" vertical="center"/>
    </xf>
    <xf numFmtId="2" fontId="20" fillId="11" borderId="9" xfId="0" applyNumberFormat="1" applyFont="1" applyFill="1" applyBorder="1" applyAlignment="1">
      <alignment horizontal="center" vertical="center"/>
    </xf>
    <xf numFmtId="2" fontId="20" fillId="9" borderId="8" xfId="0" applyNumberFormat="1" applyFont="1" applyFill="1" applyBorder="1" applyAlignment="1">
      <alignment horizontal="center" vertical="center"/>
    </xf>
    <xf numFmtId="2" fontId="20" fillId="9" borderId="9" xfId="0" applyNumberFormat="1" applyFont="1" applyFill="1" applyBorder="1" applyAlignment="1">
      <alignment horizontal="center" vertical="center"/>
    </xf>
    <xf numFmtId="2" fontId="20" fillId="9" borderId="19" xfId="0" applyNumberFormat="1" applyFont="1" applyFill="1" applyBorder="1" applyAlignment="1">
      <alignment horizontal="center" vertical="center"/>
    </xf>
    <xf numFmtId="2" fontId="20" fillId="9" borderId="31" xfId="0" applyNumberFormat="1" applyFont="1" applyFill="1" applyBorder="1" applyAlignment="1">
      <alignment horizontal="center" vertical="center"/>
    </xf>
    <xf numFmtId="2" fontId="20" fillId="9" borderId="36" xfId="0" applyNumberFormat="1" applyFont="1" applyFill="1" applyBorder="1" applyAlignment="1">
      <alignment horizontal="center" vertical="center"/>
    </xf>
    <xf numFmtId="0" fontId="12" fillId="0" borderId="10" xfId="0" applyFont="1" applyBorder="1" applyAlignment="1">
      <alignment horizontal="center"/>
    </xf>
    <xf numFmtId="0" fontId="12" fillId="0" borderId="11" xfId="0" applyFont="1" applyBorder="1" applyAlignment="1">
      <alignment horizontal="center"/>
    </xf>
    <xf numFmtId="0" fontId="12" fillId="0" borderId="12" xfId="0" applyFont="1" applyBorder="1" applyAlignment="1">
      <alignment horizontal="center"/>
    </xf>
    <xf numFmtId="0" fontId="20" fillId="8" borderId="7" xfId="0" applyFont="1" applyFill="1" applyBorder="1" applyAlignment="1">
      <alignment horizontal="left" vertical="center"/>
    </xf>
    <xf numFmtId="0" fontId="11" fillId="8" borderId="7" xfId="0" applyFont="1" applyFill="1" applyBorder="1" applyAlignment="1">
      <alignment horizontal="left" vertical="center"/>
    </xf>
    <xf numFmtId="0" fontId="20" fillId="9" borderId="7" xfId="0" applyFont="1" applyFill="1" applyBorder="1" applyAlignment="1">
      <alignment horizontal="left" vertical="center"/>
    </xf>
    <xf numFmtId="0" fontId="11" fillId="9" borderId="7" xfId="0" applyFont="1" applyFill="1" applyBorder="1" applyAlignment="1">
      <alignment horizontal="left" vertical="center"/>
    </xf>
    <xf numFmtId="0" fontId="20" fillId="10" borderId="8" xfId="0" applyFont="1" applyFill="1" applyBorder="1" applyAlignment="1">
      <alignment horizontal="left" vertical="center"/>
    </xf>
    <xf numFmtId="0" fontId="20" fillId="10" borderId="37" xfId="0" applyFont="1" applyFill="1" applyBorder="1" applyAlignment="1">
      <alignment horizontal="left" vertical="center"/>
    </xf>
    <xf numFmtId="0" fontId="20" fillId="10" borderId="9" xfId="0" applyFont="1" applyFill="1" applyBorder="1" applyAlignment="1">
      <alignment horizontal="left" vertical="center"/>
    </xf>
    <xf numFmtId="0" fontId="20" fillId="10" borderId="7" xfId="0" applyFont="1" applyFill="1" applyBorder="1" applyAlignment="1">
      <alignment horizontal="left" vertical="center"/>
    </xf>
    <xf numFmtId="0" fontId="20" fillId="11" borderId="7" xfId="0" applyFont="1" applyFill="1" applyBorder="1" applyAlignment="1">
      <alignment horizontal="left" vertical="center"/>
    </xf>
    <xf numFmtId="0" fontId="20" fillId="9" borderId="8" xfId="0" applyFont="1" applyFill="1" applyBorder="1" applyAlignment="1">
      <alignment horizontal="left" vertical="center"/>
    </xf>
    <xf numFmtId="0" fontId="20" fillId="9" borderId="37" xfId="0" applyFont="1" applyFill="1" applyBorder="1" applyAlignment="1">
      <alignment horizontal="left" vertical="center"/>
    </xf>
    <xf numFmtId="0" fontId="20" fillId="9" borderId="9" xfId="0" applyFont="1" applyFill="1" applyBorder="1" applyAlignment="1">
      <alignment horizontal="left" vertical="center"/>
    </xf>
    <xf numFmtId="2" fontId="20" fillId="10" borderId="8" xfId="0" applyNumberFormat="1" applyFont="1" applyFill="1" applyBorder="1" applyAlignment="1">
      <alignment horizontal="center" vertical="center"/>
    </xf>
    <xf numFmtId="2" fontId="20" fillId="10" borderId="9" xfId="0" applyNumberFormat="1" applyFont="1" applyFill="1" applyBorder="1" applyAlignment="1">
      <alignment horizontal="center" vertical="center"/>
    </xf>
    <xf numFmtId="0" fontId="19" fillId="0" borderId="10" xfId="0" applyFont="1" applyBorder="1" applyAlignment="1">
      <alignment horizontal="center"/>
    </xf>
    <xf numFmtId="0" fontId="19" fillId="0" borderId="11" xfId="0" applyFont="1" applyBorder="1" applyAlignment="1">
      <alignment horizontal="center"/>
    </xf>
    <xf numFmtId="0" fontId="10" fillId="0" borderId="10" xfId="0" applyFont="1"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2" fontId="20" fillId="0" borderId="8" xfId="0" applyNumberFormat="1" applyFont="1" applyBorder="1" applyAlignment="1">
      <alignment horizontal="center" vertical="center" wrapText="1"/>
    </xf>
    <xf numFmtId="2" fontId="20" fillId="0" borderId="37" xfId="0" applyNumberFormat="1" applyFont="1" applyBorder="1" applyAlignment="1">
      <alignment horizontal="center" vertical="center" wrapText="1"/>
    </xf>
    <xf numFmtId="2" fontId="20" fillId="0" borderId="9" xfId="0" applyNumberFormat="1" applyFont="1" applyBorder="1" applyAlignment="1">
      <alignment horizontal="center" vertical="center" wrapText="1"/>
    </xf>
    <xf numFmtId="0" fontId="20" fillId="0" borderId="8"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9" xfId="0" applyFont="1" applyBorder="1" applyAlignment="1">
      <alignment horizontal="center" vertical="center" wrapText="1"/>
    </xf>
    <xf numFmtId="0" fontId="11" fillId="10" borderId="7" xfId="0" applyFont="1" applyFill="1" applyBorder="1" applyAlignment="1">
      <alignment horizontal="left" vertical="center"/>
    </xf>
    <xf numFmtId="0" fontId="20" fillId="0" borderId="7" xfId="0" applyFont="1" applyBorder="1" applyAlignment="1">
      <alignment horizontal="center" vertical="center" wrapText="1"/>
    </xf>
    <xf numFmtId="2" fontId="20" fillId="8" borderId="8" xfId="0" applyNumberFormat="1" applyFont="1" applyFill="1" applyBorder="1" applyAlignment="1">
      <alignment horizontal="center" vertical="center"/>
    </xf>
    <xf numFmtId="2" fontId="20" fillId="8" borderId="37" xfId="0" applyNumberFormat="1" applyFont="1" applyFill="1" applyBorder="1" applyAlignment="1">
      <alignment horizontal="center" vertical="center"/>
    </xf>
    <xf numFmtId="2" fontId="20" fillId="8" borderId="9" xfId="0" applyNumberFormat="1" applyFont="1" applyFill="1" applyBorder="1" applyAlignment="1">
      <alignment horizontal="center" vertical="center"/>
    </xf>
    <xf numFmtId="2" fontId="20" fillId="8" borderId="19" xfId="0" applyNumberFormat="1" applyFont="1" applyFill="1" applyBorder="1" applyAlignment="1">
      <alignment horizontal="center" vertical="center"/>
    </xf>
    <xf numFmtId="2" fontId="20" fillId="8" borderId="31" xfId="0" applyNumberFormat="1" applyFont="1" applyFill="1" applyBorder="1" applyAlignment="1">
      <alignment horizontal="center" vertical="center"/>
    </xf>
    <xf numFmtId="2" fontId="20" fillId="8" borderId="36" xfId="0" applyNumberFormat="1" applyFont="1" applyFill="1" applyBorder="1" applyAlignment="1">
      <alignment horizontal="center" vertical="center"/>
    </xf>
    <xf numFmtId="2" fontId="20" fillId="9" borderId="37" xfId="0" applyNumberFormat="1" applyFont="1" applyFill="1" applyBorder="1" applyAlignment="1">
      <alignment horizontal="center" vertical="center"/>
    </xf>
    <xf numFmtId="2" fontId="20" fillId="11" borderId="7" xfId="0" applyNumberFormat="1" applyFont="1" applyFill="1" applyBorder="1" applyAlignment="1">
      <alignment horizontal="center" vertical="center"/>
    </xf>
    <xf numFmtId="2" fontId="20" fillId="10" borderId="37" xfId="0" applyNumberFormat="1" applyFont="1" applyFill="1" applyBorder="1" applyAlignment="1">
      <alignment horizontal="center" vertical="center"/>
    </xf>
    <xf numFmtId="2" fontId="20" fillId="10" borderId="12" xfId="0" applyNumberFormat="1" applyFont="1" applyFill="1" applyBorder="1" applyAlignment="1">
      <alignment horizontal="center" vertical="center"/>
    </xf>
    <xf numFmtId="2" fontId="20" fillId="10" borderId="7" xfId="0" applyNumberFormat="1" applyFont="1" applyFill="1" applyBorder="1" applyAlignment="1">
      <alignment horizontal="center" vertical="center"/>
    </xf>
    <xf numFmtId="0" fontId="11" fillId="0" borderId="35" xfId="0" applyFont="1" applyBorder="1" applyAlignment="1">
      <alignment horizontal="center"/>
    </xf>
    <xf numFmtId="0" fontId="20" fillId="0" borderId="34" xfId="0" applyFont="1" applyBorder="1" applyAlignment="1">
      <alignment horizontal="center"/>
    </xf>
    <xf numFmtId="0" fontId="20" fillId="0" borderId="36" xfId="0" applyFont="1" applyBorder="1" applyAlignment="1">
      <alignment horizontal="center"/>
    </xf>
    <xf numFmtId="0" fontId="10" fillId="0" borderId="49" xfId="0" applyFont="1" applyBorder="1" applyAlignment="1">
      <alignment horizontal="center"/>
    </xf>
    <xf numFmtId="0" fontId="10" fillId="0" borderId="50" xfId="0" applyFont="1" applyBorder="1" applyAlignment="1">
      <alignment horizontal="center"/>
    </xf>
    <xf numFmtId="0" fontId="10" fillId="0" borderId="20" xfId="0" applyFont="1" applyBorder="1" applyAlignment="1">
      <alignment horizontal="center" vertical="center"/>
    </xf>
    <xf numFmtId="0" fontId="10" fillId="0" borderId="38" xfId="0" applyFont="1" applyBorder="1" applyAlignment="1">
      <alignment horizontal="center" vertical="center"/>
    </xf>
    <xf numFmtId="0" fontId="10" fillId="0" borderId="19" xfId="0" applyFont="1" applyBorder="1" applyAlignment="1">
      <alignment horizontal="center" vertical="center"/>
    </xf>
    <xf numFmtId="0" fontId="11" fillId="0" borderId="10" xfId="0" applyFont="1" applyBorder="1"/>
    <xf numFmtId="0" fontId="20" fillId="0" borderId="12" xfId="0" applyFont="1" applyBorder="1"/>
    <xf numFmtId="0" fontId="11" fillId="0" borderId="46" xfId="0" applyFont="1" applyBorder="1" applyAlignment="1">
      <alignment horizontal="center"/>
    </xf>
    <xf numFmtId="0" fontId="11" fillId="0" borderId="51" xfId="0" applyFont="1" applyBorder="1" applyAlignment="1">
      <alignment horizontal="center"/>
    </xf>
    <xf numFmtId="0" fontId="20" fillId="7" borderId="20" xfId="0" applyFont="1" applyFill="1" applyBorder="1" applyAlignment="1">
      <alignment horizontal="center"/>
    </xf>
    <xf numFmtId="0" fontId="20" fillId="7" borderId="38" xfId="0" applyFont="1" applyFill="1" applyBorder="1" applyAlignment="1">
      <alignment horizontal="center"/>
    </xf>
    <xf numFmtId="0" fontId="20" fillId="7" borderId="19" xfId="0" applyFont="1" applyFill="1" applyBorder="1" applyAlignment="1">
      <alignment horizontal="center"/>
    </xf>
    <xf numFmtId="0" fontId="20" fillId="13" borderId="30" xfId="0" applyFont="1" applyFill="1" applyBorder="1" applyAlignment="1">
      <alignment horizontal="center"/>
    </xf>
    <xf numFmtId="0" fontId="20" fillId="13" borderId="0" xfId="0" applyFont="1" applyFill="1" applyBorder="1" applyAlignment="1">
      <alignment horizontal="center"/>
    </xf>
    <xf numFmtId="0" fontId="20" fillId="13" borderId="31" xfId="0" applyFont="1" applyFill="1" applyBorder="1" applyAlignment="1">
      <alignment horizontal="center"/>
    </xf>
    <xf numFmtId="164" fontId="11" fillId="0" borderId="8" xfId="0" applyNumberFormat="1" applyFont="1" applyBorder="1" applyAlignment="1">
      <alignment horizontal="center" vertical="center"/>
    </xf>
    <xf numFmtId="164" fontId="11" fillId="0" borderId="9" xfId="0" applyNumberFormat="1" applyFont="1" applyBorder="1" applyAlignment="1">
      <alignment horizontal="center" vertical="center"/>
    </xf>
    <xf numFmtId="0" fontId="19" fillId="0" borderId="12" xfId="0" applyFont="1" applyBorder="1" applyAlignment="1">
      <alignment horizontal="center"/>
    </xf>
    <xf numFmtId="0" fontId="11" fillId="11" borderId="8" xfId="0" applyFont="1" applyFill="1" applyBorder="1" applyAlignment="1">
      <alignment horizontal="center" vertical="center"/>
    </xf>
    <xf numFmtId="0" fontId="11" fillId="11" borderId="9" xfId="0" applyFont="1" applyFill="1" applyBorder="1" applyAlignment="1">
      <alignment horizontal="center" vertical="center"/>
    </xf>
    <xf numFmtId="0" fontId="11" fillId="8" borderId="7" xfId="0" applyFont="1" applyFill="1" applyBorder="1" applyAlignment="1">
      <alignment horizontal="left" vertical="center" wrapText="1"/>
    </xf>
    <xf numFmtId="0" fontId="11" fillId="10" borderId="8" xfId="0" applyFont="1" applyFill="1" applyBorder="1" applyAlignment="1">
      <alignment horizontal="center" vertical="center"/>
    </xf>
    <xf numFmtId="0" fontId="11" fillId="10" borderId="9" xfId="0" applyFont="1" applyFill="1" applyBorder="1" applyAlignment="1">
      <alignment horizontal="center" vertical="center"/>
    </xf>
    <xf numFmtId="0" fontId="20" fillId="5" borderId="8" xfId="0" applyFont="1" applyFill="1" applyBorder="1" applyAlignment="1">
      <alignment horizontal="left" vertical="center"/>
    </xf>
    <xf numFmtId="0" fontId="20" fillId="5" borderId="37" xfId="0" applyFont="1" applyFill="1" applyBorder="1" applyAlignment="1">
      <alignment horizontal="left" vertical="center"/>
    </xf>
    <xf numFmtId="0" fontId="20" fillId="5" borderId="9" xfId="0" applyFont="1" applyFill="1" applyBorder="1" applyAlignment="1">
      <alignment horizontal="left" vertical="center"/>
    </xf>
    <xf numFmtId="0" fontId="20" fillId="8" borderId="8" xfId="0" applyFont="1" applyFill="1" applyBorder="1" applyAlignment="1">
      <alignment horizontal="left" vertical="center"/>
    </xf>
    <xf numFmtId="0" fontId="20" fillId="8" borderId="37" xfId="0" applyFont="1" applyFill="1" applyBorder="1" applyAlignment="1">
      <alignment horizontal="left" vertical="center"/>
    </xf>
    <xf numFmtId="0" fontId="20" fillId="8" borderId="9" xfId="0" applyFont="1" applyFill="1" applyBorder="1" applyAlignment="1">
      <alignment horizontal="left" vertical="center"/>
    </xf>
    <xf numFmtId="0" fontId="11" fillId="8" borderId="37" xfId="0" applyFont="1" applyFill="1" applyBorder="1" applyAlignment="1">
      <alignment horizontal="left" vertical="center"/>
    </xf>
    <xf numFmtId="14" fontId="10" fillId="7" borderId="11" xfId="0" applyNumberFormat="1" applyFont="1" applyFill="1" applyBorder="1" applyAlignment="1" applyProtection="1">
      <alignment horizontal="center" vertical="center"/>
      <protection locked="0"/>
    </xf>
    <xf numFmtId="0" fontId="10" fillId="7" borderId="11" xfId="0" applyFont="1" applyFill="1" applyBorder="1" applyAlignment="1" applyProtection="1">
      <alignment horizontal="center" vertical="center"/>
      <protection locked="0"/>
    </xf>
    <xf numFmtId="0" fontId="10" fillId="7" borderId="12" xfId="0" applyFont="1" applyFill="1" applyBorder="1" applyAlignment="1" applyProtection="1">
      <alignment horizontal="center" vertical="center"/>
      <protection locked="0"/>
    </xf>
    <xf numFmtId="0" fontId="11" fillId="8" borderId="8" xfId="0" applyFont="1" applyFill="1" applyBorder="1" applyAlignment="1">
      <alignment horizontal="left" vertical="center"/>
    </xf>
    <xf numFmtId="0" fontId="20" fillId="9" borderId="30" xfId="0" applyFont="1" applyFill="1" applyBorder="1" applyAlignment="1">
      <alignment horizontal="left" vertical="center"/>
    </xf>
    <xf numFmtId="0" fontId="11" fillId="9" borderId="8" xfId="0" applyFont="1" applyFill="1" applyBorder="1" applyAlignment="1">
      <alignment horizontal="left" vertical="center"/>
    </xf>
    <xf numFmtId="0" fontId="10" fillId="7" borderId="11" xfId="0" applyFont="1" applyFill="1" applyBorder="1" applyAlignment="1" applyProtection="1">
      <alignment vertical="center"/>
      <protection locked="0"/>
    </xf>
    <xf numFmtId="0" fontId="10" fillId="7" borderId="12" xfId="0" applyFont="1" applyFill="1" applyBorder="1" applyAlignment="1" applyProtection="1">
      <alignment vertical="center"/>
      <protection locked="0"/>
    </xf>
    <xf numFmtId="0" fontId="20" fillId="10" borderId="8" xfId="0" applyFont="1" applyFill="1" applyBorder="1" applyAlignment="1">
      <alignment horizontal="left" vertical="center" wrapText="1"/>
    </xf>
    <xf numFmtId="0" fontId="20" fillId="10" borderId="37" xfId="0" applyFont="1" applyFill="1" applyBorder="1" applyAlignment="1">
      <alignment horizontal="left" vertical="center" wrapText="1"/>
    </xf>
    <xf numFmtId="0" fontId="20" fillId="10" borderId="9" xfId="0" applyFont="1" applyFill="1" applyBorder="1" applyAlignment="1">
      <alignment horizontal="left" vertical="center" wrapText="1"/>
    </xf>
    <xf numFmtId="0" fontId="20" fillId="11" borderId="8" xfId="0" applyFont="1" applyFill="1" applyBorder="1" applyAlignment="1">
      <alignment horizontal="left" vertical="center" wrapText="1"/>
    </xf>
    <xf numFmtId="0" fontId="20" fillId="11" borderId="37" xfId="0" applyFont="1" applyFill="1" applyBorder="1" applyAlignment="1">
      <alignment horizontal="left" vertical="center" wrapText="1"/>
    </xf>
    <xf numFmtId="0" fontId="20" fillId="11" borderId="9" xfId="0" applyFont="1" applyFill="1" applyBorder="1" applyAlignment="1">
      <alignment horizontal="left" vertical="center" wrapText="1"/>
    </xf>
    <xf numFmtId="0" fontId="20" fillId="11" borderId="20" xfId="0" applyFont="1" applyFill="1" applyBorder="1" applyAlignment="1">
      <alignment horizontal="left" vertical="center"/>
    </xf>
    <xf numFmtId="0" fontId="20" fillId="11" borderId="30" xfId="0" applyFont="1" applyFill="1" applyBorder="1" applyAlignment="1">
      <alignment horizontal="left" vertical="center"/>
    </xf>
    <xf numFmtId="0" fontId="20" fillId="11" borderId="35" xfId="0" applyFont="1" applyFill="1" applyBorder="1" applyAlignment="1">
      <alignment horizontal="left" vertical="center"/>
    </xf>
    <xf numFmtId="0" fontId="20" fillId="9" borderId="8" xfId="0" applyFont="1" applyFill="1" applyBorder="1" applyAlignment="1">
      <alignment horizontal="left" vertical="center" wrapText="1"/>
    </xf>
    <xf numFmtId="0" fontId="20" fillId="9" borderId="37" xfId="0" applyFont="1" applyFill="1" applyBorder="1" applyAlignment="1">
      <alignment horizontal="left" vertical="center" wrapText="1"/>
    </xf>
    <xf numFmtId="0" fontId="20" fillId="9" borderId="9" xfId="0" applyFont="1" applyFill="1" applyBorder="1" applyAlignment="1">
      <alignment horizontal="left" vertical="center" wrapText="1"/>
    </xf>
    <xf numFmtId="0" fontId="11" fillId="9" borderId="37" xfId="0" applyFont="1" applyFill="1" applyBorder="1" applyAlignment="1">
      <alignment horizontal="left" vertical="center"/>
    </xf>
    <xf numFmtId="0" fontId="11" fillId="9" borderId="9" xfId="0" applyFont="1" applyFill="1" applyBorder="1" applyAlignment="1">
      <alignment horizontal="left" vertical="center"/>
    </xf>
    <xf numFmtId="0" fontId="11" fillId="8" borderId="9" xfId="0" applyFont="1" applyFill="1" applyBorder="1" applyAlignment="1">
      <alignment horizontal="left" vertical="center"/>
    </xf>
    <xf numFmtId="0" fontId="8" fillId="0" borderId="7" xfId="0" applyFont="1" applyBorder="1" applyAlignment="1">
      <alignment horizontal="center"/>
    </xf>
    <xf numFmtId="0" fontId="14" fillId="11" borderId="7" xfId="0" applyFont="1" applyFill="1" applyBorder="1" applyAlignment="1">
      <alignment horizontal="center" vertical="center"/>
    </xf>
    <xf numFmtId="0" fontId="14" fillId="8" borderId="7" xfId="0" applyFont="1" applyFill="1" applyBorder="1" applyAlignment="1">
      <alignment horizontal="center" vertical="center"/>
    </xf>
    <xf numFmtId="0" fontId="14" fillId="9" borderId="7" xfId="0" applyFont="1" applyFill="1" applyBorder="1" applyAlignment="1">
      <alignment horizontal="center" vertical="center"/>
    </xf>
    <xf numFmtId="0" fontId="14" fillId="10" borderId="7" xfId="0" applyFont="1" applyFill="1" applyBorder="1" applyAlignment="1">
      <alignment horizontal="center" vertical="center"/>
    </xf>
    <xf numFmtId="0" fontId="8" fillId="12" borderId="8" xfId="0" applyFont="1" applyFill="1" applyBorder="1" applyAlignment="1">
      <alignment horizontal="center" vertical="center"/>
    </xf>
    <xf numFmtId="0" fontId="8" fillId="12" borderId="9" xfId="0" applyFont="1" applyFill="1" applyBorder="1" applyAlignment="1">
      <alignment horizontal="center"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8" fillId="12" borderId="8" xfId="0" applyFont="1" applyFill="1" applyBorder="1" applyAlignment="1">
      <alignment horizontal="center" vertical="center" wrapText="1"/>
    </xf>
    <xf numFmtId="0" fontId="8" fillId="12" borderId="9" xfId="0" applyFont="1" applyFill="1" applyBorder="1" applyAlignment="1">
      <alignment horizontal="center" vertical="center" wrapText="1"/>
    </xf>
    <xf numFmtId="0" fontId="8" fillId="0" borderId="20" xfId="0" applyFont="1" applyBorder="1" applyAlignment="1">
      <alignment horizontal="center" vertical="center"/>
    </xf>
    <xf numFmtId="0" fontId="8" fillId="0" borderId="19"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11" fillId="5" borderId="8" xfId="0" applyFont="1" applyFill="1" applyBorder="1" applyAlignment="1">
      <alignment horizontal="left" vertical="center"/>
    </xf>
    <xf numFmtId="0" fontId="11" fillId="5" borderId="37" xfId="0" applyFont="1" applyFill="1" applyBorder="1" applyAlignment="1">
      <alignment horizontal="left" vertical="center"/>
    </xf>
    <xf numFmtId="0" fontId="11" fillId="5" borderId="9" xfId="0" applyFont="1" applyFill="1" applyBorder="1" applyAlignment="1">
      <alignment horizontal="left" vertical="center"/>
    </xf>
    <xf numFmtId="0" fontId="8" fillId="12" borderId="7" xfId="0" applyFont="1" applyFill="1" applyBorder="1" applyAlignment="1">
      <alignment horizontal="center" vertical="center"/>
    </xf>
    <xf numFmtId="0" fontId="8" fillId="0" borderId="7" xfId="0" applyFont="1" applyBorder="1" applyAlignment="1">
      <alignment horizontal="center" vertical="center" wrapText="1"/>
    </xf>
    <xf numFmtId="0" fontId="14" fillId="15" borderId="7" xfId="0" applyFont="1" applyFill="1" applyBorder="1" applyAlignment="1">
      <alignment horizontal="center" vertical="center"/>
    </xf>
    <xf numFmtId="0" fontId="8" fillId="0" borderId="7" xfId="0" applyFont="1" applyBorder="1" applyAlignment="1">
      <alignment horizontal="center" vertical="center"/>
    </xf>
    <xf numFmtId="0" fontId="11" fillId="0" borderId="7" xfId="0" applyFont="1" applyBorder="1"/>
    <xf numFmtId="0" fontId="11" fillId="0" borderId="7" xfId="0" applyFont="1" applyBorder="1" applyAlignment="1">
      <alignment horizontal="left"/>
    </xf>
    <xf numFmtId="0" fontId="20" fillId="0" borderId="7" xfId="0" applyFont="1" applyBorder="1"/>
    <xf numFmtId="0" fontId="9" fillId="0" borderId="38" xfId="0" applyFont="1" applyBorder="1" applyAlignment="1">
      <alignment horizontal="left" vertical="top" wrapText="1"/>
    </xf>
    <xf numFmtId="0" fontId="9" fillId="0" borderId="0" xfId="0" applyFont="1" applyAlignment="1">
      <alignment horizontal="left" vertical="top" wrapText="1"/>
    </xf>
    <xf numFmtId="0" fontId="10" fillId="0" borderId="20"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7" xfId="0" applyFont="1" applyBorder="1" applyAlignment="1">
      <alignment horizontal="center"/>
    </xf>
    <xf numFmtId="0" fontId="23" fillId="0" borderId="11" xfId="0" applyFont="1" applyBorder="1" applyAlignment="1">
      <alignment horizontal="center"/>
    </xf>
    <xf numFmtId="0" fontId="11" fillId="8" borderId="35" xfId="3" applyFont="1" applyFill="1" applyBorder="1" applyAlignment="1">
      <alignment horizontal="left" vertical="center"/>
    </xf>
    <xf numFmtId="0" fontId="11" fillId="8" borderId="36" xfId="3" applyFont="1" applyFill="1" applyBorder="1" applyAlignment="1">
      <alignment horizontal="left" vertical="center"/>
    </xf>
    <xf numFmtId="0" fontId="11" fillId="8" borderId="20" xfId="3" applyFont="1" applyFill="1" applyBorder="1" applyAlignment="1">
      <alignment horizontal="left" vertical="center"/>
    </xf>
    <xf numFmtId="0" fontId="11" fillId="8" borderId="19" xfId="3" applyFont="1" applyFill="1" applyBorder="1" applyAlignment="1">
      <alignment horizontal="left" vertical="center"/>
    </xf>
    <xf numFmtId="0" fontId="11" fillId="8" borderId="30" xfId="3" applyFont="1" applyFill="1" applyBorder="1" applyAlignment="1">
      <alignment horizontal="left" vertical="center"/>
    </xf>
    <xf numFmtId="0" fontId="11" fillId="8" borderId="31" xfId="3" applyFont="1" applyFill="1" applyBorder="1" applyAlignment="1">
      <alignment horizontal="left" vertical="center"/>
    </xf>
    <xf numFmtId="0" fontId="19" fillId="7" borderId="11" xfId="0" applyFont="1" applyFill="1" applyBorder="1" applyAlignment="1" applyProtection="1">
      <alignment horizontal="center"/>
      <protection locked="0"/>
    </xf>
    <xf numFmtId="0" fontId="19" fillId="7" borderId="12" xfId="0" applyFont="1" applyFill="1" applyBorder="1" applyAlignment="1" applyProtection="1">
      <alignment horizontal="center"/>
      <protection locked="0"/>
    </xf>
    <xf numFmtId="0" fontId="26" fillId="0" borderId="0" xfId="0" applyFont="1" applyAlignment="1">
      <alignment horizontal="center" vertical="center" wrapText="1"/>
    </xf>
    <xf numFmtId="0" fontId="27" fillId="0" borderId="0" xfId="0" applyFont="1" applyAlignment="1">
      <alignment horizontal="center" vertical="center"/>
    </xf>
    <xf numFmtId="0" fontId="26" fillId="0" borderId="0" xfId="0" applyFont="1" applyAlignment="1">
      <alignment horizontal="center" vertical="center"/>
    </xf>
    <xf numFmtId="0" fontId="26" fillId="0" borderId="1" xfId="0" applyFont="1" applyBorder="1" applyAlignment="1">
      <alignment horizontal="left" vertical="center" wrapText="1"/>
    </xf>
    <xf numFmtId="0" fontId="26" fillId="0" borderId="39"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26" fillId="0" borderId="39" xfId="0" applyFont="1" applyBorder="1" applyAlignment="1">
      <alignment horizontal="left" vertical="center"/>
    </xf>
    <xf numFmtId="0" fontId="26" fillId="0" borderId="1"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0" xfId="0" applyFont="1" applyAlignment="1">
      <alignment horizontal="center"/>
    </xf>
    <xf numFmtId="0" fontId="26" fillId="0" borderId="0" xfId="0" applyFont="1" applyFill="1" applyAlignment="1">
      <alignment horizontal="center" vertical="center" wrapText="1"/>
    </xf>
  </cellXfs>
  <cellStyles count="4">
    <cellStyle name="40% - Accent1" xfId="3" builtinId="31"/>
    <cellStyle name="Normal" xfId="0" builtinId="0"/>
    <cellStyle name="Normal 2" xfId="1" xr:uid="{00000000-0005-0000-0000-000001000000}"/>
    <cellStyle name="Percent" xfId="2" builtinId="5"/>
  </cellStyles>
  <dxfs count="14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color theme="0"/>
      </font>
    </dxf>
    <dxf>
      <font>
        <color theme="0"/>
      </font>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a:t>Project Reach Overall Condition</a:t>
            </a:r>
            <a:r>
              <a:rPr lang="en-US" sz="2000" baseline="0"/>
              <a:t> Score Tracking</a:t>
            </a:r>
            <a:endParaRPr lang="en-US" sz="2000"/>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strRef>
              <c:f>'Data Summary'!$C$20:$C$21</c:f>
              <c:strCache>
                <c:ptCount val="1"/>
                <c:pt idx="0">
                  <c:v>ECS</c:v>
                </c:pt>
              </c:strCache>
            </c:strRef>
          </c:tx>
          <c:spPr>
            <a:ln w="19050" cap="rnd">
              <a:solidFill>
                <a:srgbClr val="FF0000">
                  <a:alpha val="50000"/>
                </a:srgbClr>
              </a:solidFill>
              <a:prstDash val="dash"/>
              <a:round/>
            </a:ln>
            <a:effectLst/>
          </c:spPr>
          <c:marker>
            <c:symbol val="none"/>
          </c:marker>
          <c:xVal>
            <c:strRef>
              <c:f>('Data Summary'!$F$21,'Data Summary'!$A$36)</c:f>
              <c:strCache>
                <c:ptCount val="2"/>
                <c:pt idx="1">
                  <c:v>1</c:v>
                </c:pt>
              </c:strCache>
            </c:strRef>
          </c:xVal>
          <c:yVal>
            <c:numRef>
              <c:f>('Data Summary'!$C$26,'Data Summary'!$C$26)</c:f>
              <c:numCache>
                <c:formatCode>0.00</c:formatCode>
                <c:ptCount val="2"/>
                <c:pt idx="0">
                  <c:v>0</c:v>
                </c:pt>
                <c:pt idx="1">
                  <c:v>0</c:v>
                </c:pt>
              </c:numCache>
            </c:numRef>
          </c:yVal>
          <c:smooth val="0"/>
          <c:extLst>
            <c:ext xmlns:c16="http://schemas.microsoft.com/office/drawing/2014/chart" uri="{C3380CC4-5D6E-409C-BE32-E72D297353CC}">
              <c16:uniqueId val="{00000000-377C-4EA9-9858-DD24FD97EF7F}"/>
            </c:ext>
          </c:extLst>
        </c:ser>
        <c:ser>
          <c:idx val="2"/>
          <c:order val="1"/>
          <c:tx>
            <c:strRef>
              <c:f>'Data Summary'!$D$20:$D$21</c:f>
              <c:strCache>
                <c:ptCount val="1"/>
                <c:pt idx="0">
                  <c:v>PCS</c:v>
                </c:pt>
              </c:strCache>
            </c:strRef>
          </c:tx>
          <c:spPr>
            <a:ln w="19050" cap="rnd">
              <a:solidFill>
                <a:srgbClr val="00B0F0"/>
              </a:solidFill>
              <a:round/>
            </a:ln>
            <a:effectLst/>
          </c:spPr>
          <c:marker>
            <c:symbol val="none"/>
          </c:marker>
          <c:xVal>
            <c:strRef>
              <c:f>('Data Summary'!$F$21,'Data Summary'!$A$36)</c:f>
              <c:strCache>
                <c:ptCount val="2"/>
                <c:pt idx="1">
                  <c:v>1</c:v>
                </c:pt>
              </c:strCache>
            </c:strRef>
          </c:xVal>
          <c:yVal>
            <c:numRef>
              <c:f>('Data Summary'!$D$26,'Data Summary'!$D$26)</c:f>
              <c:numCache>
                <c:formatCode>0.00</c:formatCode>
                <c:ptCount val="2"/>
                <c:pt idx="0">
                  <c:v>0</c:v>
                </c:pt>
                <c:pt idx="1">
                  <c:v>0</c:v>
                </c:pt>
              </c:numCache>
            </c:numRef>
          </c:yVal>
          <c:smooth val="0"/>
          <c:extLst>
            <c:ext xmlns:c16="http://schemas.microsoft.com/office/drawing/2014/chart" uri="{C3380CC4-5D6E-409C-BE32-E72D297353CC}">
              <c16:uniqueId val="{00000001-377C-4EA9-9858-DD24FD97EF7F}"/>
            </c:ext>
          </c:extLst>
        </c:ser>
        <c:ser>
          <c:idx val="3"/>
          <c:order val="2"/>
          <c:tx>
            <c:strRef>
              <c:f>'Data Summary'!$E$20:$E$21</c:f>
              <c:strCache>
                <c:ptCount val="1"/>
                <c:pt idx="0">
                  <c:v>As-Built</c:v>
                </c:pt>
              </c:strCache>
            </c:strRef>
          </c:tx>
          <c:spPr>
            <a:ln w="38100" cap="rnd" cmpd="dbl">
              <a:solidFill>
                <a:schemeClr val="bg2">
                  <a:lumMod val="75000"/>
                </a:schemeClr>
              </a:solidFill>
              <a:prstDash val="dash"/>
              <a:round/>
            </a:ln>
            <a:effectLst/>
          </c:spPr>
          <c:marker>
            <c:symbol val="none"/>
          </c:marker>
          <c:xVal>
            <c:strRef>
              <c:f>('Data Summary'!$F$21,'Data Summary'!$A$36)</c:f>
              <c:strCache>
                <c:ptCount val="2"/>
                <c:pt idx="1">
                  <c:v>1</c:v>
                </c:pt>
              </c:strCache>
            </c:strRef>
          </c:xVal>
          <c:yVal>
            <c:numRef>
              <c:f>('Data Summary'!$E$26,'Data Summary'!$E$26)</c:f>
              <c:numCache>
                <c:formatCode>0.00</c:formatCode>
                <c:ptCount val="2"/>
                <c:pt idx="0">
                  <c:v>0</c:v>
                </c:pt>
                <c:pt idx="1">
                  <c:v>0</c:v>
                </c:pt>
              </c:numCache>
            </c:numRef>
          </c:yVal>
          <c:smooth val="0"/>
          <c:extLst>
            <c:ext xmlns:c16="http://schemas.microsoft.com/office/drawing/2014/chart" uri="{C3380CC4-5D6E-409C-BE32-E72D297353CC}">
              <c16:uniqueId val="{00000002-377C-4EA9-9858-DD24FD97EF7F}"/>
            </c:ext>
          </c:extLst>
        </c:ser>
        <c:ser>
          <c:idx val="0"/>
          <c:order val="3"/>
          <c:tx>
            <c:v>Monitoring Data</c:v>
          </c:tx>
          <c:spPr>
            <a:ln w="28575" cap="rnd">
              <a:solidFill>
                <a:schemeClr val="tx1"/>
              </a:solidFill>
              <a:round/>
            </a:ln>
            <a:effectLst/>
          </c:spPr>
          <c:marker>
            <c:symbol val="none"/>
          </c:marker>
          <c:xVal>
            <c:strRef>
              <c:f>'Data Summary'!$C$36:$L$36</c:f>
              <c:strCache>
                <c:ptCount val="1"/>
                <c:pt idx="0">
                  <c:v>0</c:v>
                </c:pt>
              </c:strCache>
            </c:strRef>
          </c:xVal>
          <c:yVal>
            <c:numRef>
              <c:f>'Data Summary'!$C$37:$L$37</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0-D029-4D92-AEAF-A8311BD790D4}"/>
            </c:ext>
          </c:extLst>
        </c:ser>
        <c:dLbls>
          <c:showLegendKey val="0"/>
          <c:showVal val="0"/>
          <c:showCatName val="0"/>
          <c:showSerName val="0"/>
          <c:showPercent val="0"/>
          <c:showBubbleSize val="0"/>
        </c:dLbls>
        <c:axId val="419250808"/>
        <c:axId val="419248456"/>
      </c:scatterChart>
      <c:valAx>
        <c:axId val="419250808"/>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Monitoring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19248456"/>
        <c:crosses val="autoZero"/>
        <c:crossBetween val="midCat"/>
      </c:valAx>
      <c:valAx>
        <c:axId val="419248456"/>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Condition Score</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19250808"/>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0" i="0" baseline="0">
                <a:effectLst/>
              </a:rPr>
              <a:t>Pool Spacing Ratio for B and Ba Stream Types</a:t>
            </a:r>
            <a:endParaRPr lang="en-US" sz="1600">
              <a:effectLst/>
            </a:endParaRPr>
          </a:p>
        </c:rich>
      </c:tx>
      <c:layout>
        <c:manualLayout>
          <c:xMode val="edge"/>
          <c:yMode val="edge"/>
          <c:x val="0.16867828395159676"/>
          <c:y val="3.3240509813534318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v>NF &amp; FAR</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22280498193889869"/>
                  <c:y val="-0.23290317401258093"/>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Curves'!$K$242:$O$242</c:f>
              <c:numCache>
                <c:formatCode>General</c:formatCode>
                <c:ptCount val="5"/>
                <c:pt idx="0" formatCode="0.0">
                  <c:v>7.5</c:v>
                </c:pt>
                <c:pt idx="4">
                  <c:v>4</c:v>
                </c:pt>
              </c:numCache>
            </c:numRef>
          </c:xVal>
          <c:yVal>
            <c:numRef>
              <c:f>'Reference Curves'!$K$243:$O$243</c:f>
              <c:numCache>
                <c:formatCode>General</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1-3F89-4AE3-A340-207A3C2A9FF9}"/>
            </c:ext>
          </c:extLst>
        </c:ser>
        <c:ser>
          <c:idx val="0"/>
          <c:order val="1"/>
          <c:tx>
            <c:v>Functioning</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7.0752962684741322E-2"/>
                  <c:y val="-9.5195464849033531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Curves'!$O$242:$P$242</c:f>
              <c:numCache>
                <c:formatCode>General</c:formatCode>
                <c:ptCount val="2"/>
                <c:pt idx="0">
                  <c:v>4</c:v>
                </c:pt>
                <c:pt idx="1">
                  <c:v>3</c:v>
                </c:pt>
              </c:numCache>
            </c:numRef>
          </c:xVal>
          <c:yVal>
            <c:numRef>
              <c:f>'Reference Curves'!$O$243:$P$243</c:f>
              <c:numCache>
                <c:formatCode>General</c:formatCode>
                <c:ptCount val="2"/>
                <c:pt idx="0">
                  <c:v>0.7</c:v>
                </c:pt>
                <c:pt idx="1">
                  <c:v>1</c:v>
                </c:pt>
              </c:numCache>
            </c:numRef>
          </c:yVal>
          <c:smooth val="0"/>
          <c:extLst>
            <c:ext xmlns:c16="http://schemas.microsoft.com/office/drawing/2014/chart" uri="{C3380CC4-5D6E-409C-BE32-E72D297353CC}">
              <c16:uniqueId val="{00000001-7639-487B-B9D7-98465F56B623}"/>
            </c:ext>
          </c:extLst>
        </c:ser>
        <c:dLbls>
          <c:showLegendKey val="0"/>
          <c:showVal val="0"/>
          <c:showCatName val="0"/>
          <c:showSerName val="0"/>
          <c:showPercent val="0"/>
          <c:showBubbleSize val="0"/>
        </c:dLbls>
        <c:axId val="440730128"/>
        <c:axId val="440729344"/>
      </c:scatterChart>
      <c:valAx>
        <c:axId val="4407301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(Ratio)</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0729344"/>
        <c:crosses val="autoZero"/>
        <c:crossBetween val="midCat"/>
      </c:valAx>
      <c:valAx>
        <c:axId val="440729344"/>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073012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0" i="0" baseline="0">
                <a:effectLst/>
              </a:rPr>
              <a:t>Pool Spacing Ratio for Cb Stream Types</a:t>
            </a:r>
            <a:endParaRPr lang="en-US" sz="1600">
              <a:effectLst/>
            </a:endParaRP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Rising limb</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backward val="1.6"/>
            <c:dispRSqr val="0"/>
            <c:dispEq val="1"/>
            <c:trendlineLbl>
              <c:layout>
                <c:manualLayout>
                  <c:x val="-9.1327018905245541E-2"/>
                  <c:y val="0.22249223434226684"/>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Curves'!$K$209:$P$209</c:f>
              <c:numCache>
                <c:formatCode>General</c:formatCode>
                <c:ptCount val="6"/>
                <c:pt idx="4">
                  <c:v>3</c:v>
                </c:pt>
                <c:pt idx="5">
                  <c:v>3.7</c:v>
                </c:pt>
              </c:numCache>
            </c:numRef>
          </c:xVal>
          <c:yVal>
            <c:numRef>
              <c:f>'Reference Curves'!$K$211:$P$211</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0-C14F-47BE-9206-E7937E692AD6}"/>
            </c:ext>
          </c:extLst>
        </c:ser>
        <c:ser>
          <c:idx val="1"/>
          <c:order val="1"/>
          <c:tx>
            <c:v>Falling Limb</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forward val="2.2999999999999998"/>
            <c:dispRSqr val="0"/>
            <c:dispEq val="1"/>
            <c:trendlineLbl>
              <c:layout>
                <c:manualLayout>
                  <c:x val="4.0537187476123032E-2"/>
                  <c:y val="-0.39839731912551168"/>
                </c:manualLayout>
              </c:layout>
              <c:numFmt formatCode="#,##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Curves'!$K$210:$P$210</c:f>
              <c:numCache>
                <c:formatCode>General</c:formatCode>
                <c:ptCount val="6"/>
                <c:pt idx="4">
                  <c:v>6</c:v>
                </c:pt>
                <c:pt idx="5">
                  <c:v>5</c:v>
                </c:pt>
              </c:numCache>
            </c:numRef>
          </c:xVal>
          <c:yVal>
            <c:numRef>
              <c:f>'Reference Curves'!$K$211:$P$211</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1-C14F-47BE-9206-E7937E692AD6}"/>
            </c:ext>
          </c:extLst>
        </c:ser>
        <c:ser>
          <c:idx val="2"/>
          <c:order val="2"/>
          <c:tx>
            <c:v>Crest</c:v>
          </c:tx>
          <c:spPr>
            <a:ln w="25400" cap="rnd">
              <a:solidFill>
                <a:schemeClr val="tx1"/>
              </a:solidFill>
              <a:prstDash val="sysDash"/>
              <a:round/>
            </a:ln>
            <a:effectLst/>
          </c:spPr>
          <c:marker>
            <c:symbol val="none"/>
          </c:marker>
          <c:xVal>
            <c:numRef>
              <c:f>('Reference Curves'!$P$209,'Reference Curves'!$P$210)</c:f>
              <c:numCache>
                <c:formatCode>General</c:formatCode>
                <c:ptCount val="2"/>
                <c:pt idx="0">
                  <c:v>3.7</c:v>
                </c:pt>
                <c:pt idx="1">
                  <c:v>5</c:v>
                </c:pt>
              </c:numCache>
            </c:numRef>
          </c:xVal>
          <c:yVal>
            <c:numRef>
              <c:f>('Reference Curves'!$P$211,'Reference Curves'!$P$211)</c:f>
              <c:numCache>
                <c:formatCode>General</c:formatCode>
                <c:ptCount val="2"/>
                <c:pt idx="0">
                  <c:v>1</c:v>
                </c:pt>
                <c:pt idx="1">
                  <c:v>1</c:v>
                </c:pt>
              </c:numCache>
            </c:numRef>
          </c:yVal>
          <c:smooth val="0"/>
          <c:extLst>
            <c:ext xmlns:c16="http://schemas.microsoft.com/office/drawing/2014/chart" uri="{C3380CC4-5D6E-409C-BE32-E72D297353CC}">
              <c16:uniqueId val="{00000000-5122-429D-BBAA-0171AD4E5BB3}"/>
            </c:ext>
          </c:extLst>
        </c:ser>
        <c:dLbls>
          <c:showLegendKey val="0"/>
          <c:showVal val="0"/>
          <c:showCatName val="0"/>
          <c:showSerName val="0"/>
          <c:showPercent val="0"/>
          <c:showBubbleSize val="0"/>
        </c:dLbls>
        <c:axId val="440732088"/>
        <c:axId val="440730520"/>
        <c:extLst>
          <c:ext xmlns:c15="http://schemas.microsoft.com/office/drawing/2012/chart" uri="{02D57815-91ED-43cb-92C2-25804820EDAC}">
            <c15:filteredScatterSeries>
              <c15:ser>
                <c:idx val="3"/>
                <c:order val="3"/>
                <c:tx>
                  <c:v>Low Cliff</c:v>
                </c:tx>
                <c:spPr>
                  <a:ln w="31750" cap="rnd">
                    <a:solidFill>
                      <a:srgbClr val="FF0000"/>
                    </a:solidFill>
                    <a:round/>
                  </a:ln>
                  <a:effectLst/>
                </c:spPr>
                <c:marker>
                  <c:symbol val="none"/>
                </c:marker>
                <c:xVal>
                  <c:numLit>
                    <c:formatCode>General</c:formatCode>
                    <c:ptCount val="2"/>
                    <c:pt idx="0">
                      <c:v>0</c:v>
                    </c:pt>
                    <c:pt idx="1">
                      <c:v>3</c:v>
                    </c:pt>
                  </c:numLit>
                </c:xVal>
                <c:yVal>
                  <c:numLit>
                    <c:formatCode>General</c:formatCode>
                    <c:ptCount val="2"/>
                    <c:pt idx="0">
                      <c:v>0</c:v>
                    </c:pt>
                    <c:pt idx="1">
                      <c:v>0</c:v>
                    </c:pt>
                  </c:numLit>
                </c:yVal>
                <c:smooth val="0"/>
                <c:extLst>
                  <c:ext xmlns:c16="http://schemas.microsoft.com/office/drawing/2014/chart" uri="{C3380CC4-5D6E-409C-BE32-E72D297353CC}">
                    <c16:uniqueId val="{00000003-E3E6-4F08-9E58-9A6B24D32C81}"/>
                  </c:ext>
                </c:extLst>
              </c15:ser>
            </c15:filteredScatterSeries>
            <c15:filteredScatterSeries>
              <c15:ser>
                <c:idx val="4"/>
                <c:order val="4"/>
                <c:tx>
                  <c:v>High Cliff</c:v>
                </c:tx>
                <c:spPr>
                  <a:ln w="31750" cap="rnd">
                    <a:solidFill>
                      <a:srgbClr val="FF0000"/>
                    </a:solidFill>
                    <a:round/>
                  </a:ln>
                  <a:effectLst/>
                </c:spPr>
                <c:marker>
                  <c:symbol val="none"/>
                </c:marker>
                <c:xVal>
                  <c:numLit>
                    <c:formatCode>General</c:formatCode>
                    <c:ptCount val="2"/>
                    <c:pt idx="0">
                      <c:v>7</c:v>
                    </c:pt>
                    <c:pt idx="1">
                      <c:v>8</c:v>
                    </c:pt>
                  </c:numLit>
                </c:xVal>
                <c:yVal>
                  <c:numLit>
                    <c:formatCode>General</c:formatCode>
                    <c:ptCount val="2"/>
                    <c:pt idx="0">
                      <c:v>0</c:v>
                    </c:pt>
                    <c:pt idx="1">
                      <c:v>0</c:v>
                    </c:pt>
                  </c:numLit>
                </c:yVal>
                <c:smooth val="0"/>
                <c:extLst xmlns:c15="http://schemas.microsoft.com/office/drawing/2012/chart">
                  <c:ext xmlns:c16="http://schemas.microsoft.com/office/drawing/2014/chart" uri="{C3380CC4-5D6E-409C-BE32-E72D297353CC}">
                    <c16:uniqueId val="{00000004-E3E6-4F08-9E58-9A6B24D32C81}"/>
                  </c:ext>
                </c:extLst>
              </c15:ser>
            </c15:filteredScatterSeries>
          </c:ext>
        </c:extLst>
      </c:scatterChart>
      <c:valAx>
        <c:axId val="4407320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(Ratio)</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0730520"/>
        <c:crosses val="autoZero"/>
        <c:crossBetween val="midCat"/>
      </c:valAx>
      <c:valAx>
        <c:axId val="44073052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073208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Pool Spacing Ratio for C </a:t>
            </a:r>
            <a:r>
              <a:rPr lang="en-US" sz="1600" baseline="0"/>
              <a:t>Stream Types</a:t>
            </a:r>
            <a:endParaRPr lang="en-US" sz="1600"/>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Rising Limb</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4.61872385009435E-2"/>
                  <c:y val="0.33467815436034054"/>
                </c:manualLayout>
              </c:layout>
              <c:numFmt formatCode="#,##0.000"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Curves'!$K$175:$P$175</c:f>
              <c:numCache>
                <c:formatCode>General</c:formatCode>
                <c:ptCount val="6"/>
                <c:pt idx="0" formatCode="0.0">
                  <c:v>3</c:v>
                </c:pt>
                <c:pt idx="4">
                  <c:v>3.7</c:v>
                </c:pt>
                <c:pt idx="5" formatCode="0.0">
                  <c:v>4</c:v>
                </c:pt>
              </c:numCache>
            </c:numRef>
          </c:xVal>
          <c:yVal>
            <c:numRef>
              <c:f>'Reference Curves'!$K$177:$P$177</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0-ED1E-4832-8408-8CBD3FC589E3}"/>
            </c:ext>
          </c:extLst>
        </c:ser>
        <c:ser>
          <c:idx val="1"/>
          <c:order val="1"/>
          <c:tx>
            <c:v>Falling Limb</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1.7344004726481132E-2"/>
                  <c:y val="-0.43199189653140269"/>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Curves'!$K$176:$P$176</c:f>
              <c:numCache>
                <c:formatCode>General</c:formatCode>
                <c:ptCount val="6"/>
                <c:pt idx="0" formatCode="0.0">
                  <c:v>9.3333333333333339</c:v>
                </c:pt>
                <c:pt idx="4">
                  <c:v>7</c:v>
                </c:pt>
                <c:pt idx="5">
                  <c:v>6</c:v>
                </c:pt>
              </c:numCache>
            </c:numRef>
          </c:xVal>
          <c:yVal>
            <c:numRef>
              <c:f>'Reference Curves'!$K$177:$P$177</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1-8AA4-4E0C-8114-2D9E850C5DD4}"/>
            </c:ext>
          </c:extLst>
        </c:ser>
        <c:ser>
          <c:idx val="2"/>
          <c:order val="2"/>
          <c:tx>
            <c:v>Crest</c:v>
          </c:tx>
          <c:spPr>
            <a:ln w="25400" cap="rnd">
              <a:solidFill>
                <a:schemeClr val="tx1"/>
              </a:solidFill>
              <a:prstDash val="sysDash"/>
              <a:round/>
            </a:ln>
            <a:effectLst/>
          </c:spPr>
          <c:marker>
            <c:symbol val="none"/>
          </c:marker>
          <c:xVal>
            <c:numRef>
              <c:f>('Reference Curves'!$P$175,'Reference Curves'!$P$176)</c:f>
              <c:numCache>
                <c:formatCode>General</c:formatCode>
                <c:ptCount val="2"/>
                <c:pt idx="0" formatCode="0.0">
                  <c:v>4</c:v>
                </c:pt>
                <c:pt idx="1">
                  <c:v>6</c:v>
                </c:pt>
              </c:numCache>
            </c:numRef>
          </c:xVal>
          <c:yVal>
            <c:numRef>
              <c:f>('Reference Curves'!$P$177,'Reference Curves'!$P$177)</c:f>
              <c:numCache>
                <c:formatCode>General</c:formatCode>
                <c:ptCount val="2"/>
                <c:pt idx="0">
                  <c:v>1</c:v>
                </c:pt>
                <c:pt idx="1">
                  <c:v>1</c:v>
                </c:pt>
              </c:numCache>
            </c:numRef>
          </c:yVal>
          <c:smooth val="0"/>
          <c:extLst>
            <c:ext xmlns:c16="http://schemas.microsoft.com/office/drawing/2014/chart" uri="{C3380CC4-5D6E-409C-BE32-E72D297353CC}">
              <c16:uniqueId val="{00000003-8AA4-4E0C-8114-2D9E850C5DD4}"/>
            </c:ext>
          </c:extLst>
        </c:ser>
        <c:dLbls>
          <c:showLegendKey val="0"/>
          <c:showVal val="0"/>
          <c:showCatName val="0"/>
          <c:showSerName val="0"/>
          <c:showPercent val="0"/>
          <c:showBubbleSize val="0"/>
        </c:dLbls>
        <c:axId val="440732480"/>
        <c:axId val="440732872"/>
      </c:scatterChart>
      <c:valAx>
        <c:axId val="44073248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(Ratio)</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0732872"/>
        <c:crosses val="autoZero"/>
        <c:crossBetween val="midCat"/>
      </c:valAx>
      <c:valAx>
        <c:axId val="440732872"/>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a:t>Index</a:t>
                </a:r>
                <a:r>
                  <a:rPr lang="en-US" sz="1100" baseline="0"/>
                  <a:t> Value</a:t>
                </a:r>
                <a:endParaRPr lang="en-US" sz="1100"/>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073248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Pool Depth Ratio</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v>F</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7970311848948786"/>
                  <c:y val="0.11229214413505041"/>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Curves'!$O$338:$P$338</c:f>
              <c:numCache>
                <c:formatCode>0.00</c:formatCode>
                <c:ptCount val="2"/>
                <c:pt idx="0" formatCode="General">
                  <c:v>2.2000000000000002</c:v>
                </c:pt>
                <c:pt idx="1">
                  <c:v>3.2</c:v>
                </c:pt>
              </c:numCache>
            </c:numRef>
          </c:xVal>
          <c:yVal>
            <c:numRef>
              <c:f>'Reference Curves'!$O$339:$P$339</c:f>
              <c:numCache>
                <c:formatCode>General</c:formatCode>
                <c:ptCount val="2"/>
                <c:pt idx="0">
                  <c:v>0.7</c:v>
                </c:pt>
                <c:pt idx="1">
                  <c:v>1</c:v>
                </c:pt>
              </c:numCache>
            </c:numRef>
          </c:yVal>
          <c:smooth val="0"/>
          <c:extLst>
            <c:ext xmlns:c16="http://schemas.microsoft.com/office/drawing/2014/chart" uri="{C3380CC4-5D6E-409C-BE32-E72D297353CC}">
              <c16:uniqueId val="{00000000-6121-4ADE-A1F7-55E2A9FD0207}"/>
            </c:ext>
          </c:extLst>
        </c:ser>
        <c:ser>
          <c:idx val="0"/>
          <c:order val="1"/>
          <c:tx>
            <c:v>FAR</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12295269231739658"/>
                  <c:y val="0.25434710899580604"/>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Curves'!$K$338:$O$338</c:f>
              <c:numCache>
                <c:formatCode>General</c:formatCode>
                <c:ptCount val="5"/>
                <c:pt idx="0" formatCode="0.00">
                  <c:v>1</c:v>
                </c:pt>
                <c:pt idx="4">
                  <c:v>2.2000000000000002</c:v>
                </c:pt>
              </c:numCache>
            </c:numRef>
          </c:xVal>
          <c:yVal>
            <c:numRef>
              <c:f>'Reference Curves'!$K$339:$O$339</c:f>
              <c:numCache>
                <c:formatCode>General</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1-E795-4FA4-A294-C8061F842EF8}"/>
            </c:ext>
          </c:extLst>
        </c:ser>
        <c:dLbls>
          <c:showLegendKey val="0"/>
          <c:showVal val="0"/>
          <c:showCatName val="0"/>
          <c:showSerName val="0"/>
          <c:showPercent val="0"/>
          <c:showBubbleSize val="0"/>
        </c:dLbls>
        <c:axId val="419247672"/>
        <c:axId val="419249240"/>
      </c:scatterChart>
      <c:valAx>
        <c:axId val="41924767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(Ratio)</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9249240"/>
        <c:crosses val="autoZero"/>
        <c:crossBetween val="midCat"/>
      </c:valAx>
      <c:valAx>
        <c:axId val="41924924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924767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0" i="0" baseline="0">
                <a:effectLst/>
              </a:rPr>
              <a:t>Aggradation Ratio </a:t>
            </a:r>
            <a:endParaRPr lang="en-US" sz="1600">
              <a:effectLst/>
            </a:endParaRP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3"/>
            <c:dispRSqr val="0"/>
            <c:dispEq val="1"/>
            <c:trendlineLbl>
              <c:layout>
                <c:manualLayout>
                  <c:x val="0.1869513559267591"/>
                  <c:y val="-0.53803397840707945"/>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Curves'!$K$438:$P$438</c:f>
              <c:numCache>
                <c:formatCode>General</c:formatCode>
                <c:ptCount val="6"/>
                <c:pt idx="0">
                  <c:v>1.6</c:v>
                </c:pt>
                <c:pt idx="2">
                  <c:v>1.4</c:v>
                </c:pt>
                <c:pt idx="3">
                  <c:v>1.2</c:v>
                </c:pt>
                <c:pt idx="5">
                  <c:v>1</c:v>
                </c:pt>
              </c:numCache>
            </c:numRef>
          </c:xVal>
          <c:yVal>
            <c:numRef>
              <c:f>'Reference Curves'!$K$439:$P$439</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0-0685-4A88-A253-CC374FDFCA12}"/>
            </c:ext>
          </c:extLst>
        </c:ser>
        <c:dLbls>
          <c:showLegendKey val="0"/>
          <c:showVal val="0"/>
          <c:showCatName val="0"/>
          <c:showSerName val="0"/>
          <c:showPercent val="0"/>
          <c:showBubbleSize val="0"/>
        </c:dLbls>
        <c:axId val="441608480"/>
        <c:axId val="441611616"/>
      </c:scatterChart>
      <c:valAx>
        <c:axId val="441608480"/>
        <c:scaling>
          <c:orientation val="minMax"/>
          <c:max val="2"/>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a:t>
                </a:r>
                <a:r>
                  <a:rPr lang="en-US" sz="1100" b="0" i="0" u="none" strike="noStrike" baseline="0">
                    <a:effectLst/>
                  </a:rPr>
                  <a:t>(Ratio)</a:t>
                </a:r>
                <a:endParaRPr lang="en-US" sz="1100"/>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1611616"/>
        <c:crosses val="autoZero"/>
        <c:crossBetween val="midCat"/>
      </c:valAx>
      <c:valAx>
        <c:axId val="44161161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160848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Percent Riffle for Streams &lt; 3% slope </a:t>
            </a:r>
          </a:p>
        </c:rich>
      </c:tx>
      <c:layout>
        <c:manualLayout>
          <c:xMode val="edge"/>
          <c:yMode val="edge"/>
          <c:x val="0.26547633324907888"/>
          <c:y val="2.3591773158599411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Rising Limb</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backward val="25"/>
            <c:dispRSqr val="0"/>
            <c:dispEq val="1"/>
            <c:trendlineLbl>
              <c:layout>
                <c:manualLayout>
                  <c:x val="-5.3520218892053377E-2"/>
                  <c:y val="8.5806546981768428E-2"/>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Curves'!$K$371:$P$371</c:f>
              <c:numCache>
                <c:formatCode>General</c:formatCode>
                <c:ptCount val="6"/>
                <c:pt idx="4">
                  <c:v>39</c:v>
                </c:pt>
                <c:pt idx="5">
                  <c:v>50</c:v>
                </c:pt>
              </c:numCache>
            </c:numRef>
          </c:xVal>
          <c:yVal>
            <c:numRef>
              <c:f>'Reference Curves'!$K$373:$P$373</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0-33CC-400E-91D8-8DB0C3E7DC9D}"/>
            </c:ext>
          </c:extLst>
        </c:ser>
        <c:ser>
          <c:idx val="1"/>
          <c:order val="1"/>
          <c:tx>
            <c:v>Falling Limb</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forward val="21"/>
            <c:dispRSqr val="0"/>
            <c:dispEq val="1"/>
            <c:trendlineLbl>
              <c:layout>
                <c:manualLayout>
                  <c:x val="7.3991646090237131E-2"/>
                  <c:y val="-0.53348230555594034"/>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Curves'!$K$372:$P$372</c:f>
              <c:numCache>
                <c:formatCode>General</c:formatCode>
                <c:ptCount val="6"/>
                <c:pt idx="4">
                  <c:v>69</c:v>
                </c:pt>
                <c:pt idx="5">
                  <c:v>60</c:v>
                </c:pt>
              </c:numCache>
            </c:numRef>
          </c:xVal>
          <c:yVal>
            <c:numRef>
              <c:f>'Reference Curves'!$K$373:$P$373</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1-33CC-400E-91D8-8DB0C3E7DC9D}"/>
            </c:ext>
          </c:extLst>
        </c:ser>
        <c:ser>
          <c:idx val="2"/>
          <c:order val="2"/>
          <c:tx>
            <c:v>Crest</c:v>
          </c:tx>
          <c:spPr>
            <a:ln w="25400" cap="rnd">
              <a:solidFill>
                <a:schemeClr val="tx1"/>
              </a:solidFill>
              <a:prstDash val="sysDash"/>
              <a:round/>
            </a:ln>
            <a:effectLst/>
          </c:spPr>
          <c:marker>
            <c:symbol val="none"/>
          </c:marker>
          <c:trendline>
            <c:spPr>
              <a:ln w="22225" cap="rnd">
                <a:solidFill>
                  <a:schemeClr val="tx1"/>
                </a:solidFill>
                <a:prstDash val="sysDot"/>
              </a:ln>
              <a:effectLst/>
            </c:spPr>
            <c:trendlineType val="linear"/>
            <c:dispRSqr val="0"/>
            <c:dispEq val="0"/>
          </c:trendline>
          <c:xVal>
            <c:numRef>
              <c:f>'Reference Curves'!$P$371:$P$372</c:f>
              <c:numCache>
                <c:formatCode>General</c:formatCode>
                <c:ptCount val="2"/>
                <c:pt idx="0">
                  <c:v>50</c:v>
                </c:pt>
                <c:pt idx="1">
                  <c:v>60</c:v>
                </c:pt>
              </c:numCache>
            </c:numRef>
          </c:xVal>
          <c:yVal>
            <c:numRef>
              <c:f>('Reference Curves'!$P$373,'Reference Curves'!$P$373)</c:f>
              <c:numCache>
                <c:formatCode>General</c:formatCode>
                <c:ptCount val="2"/>
                <c:pt idx="0">
                  <c:v>1</c:v>
                </c:pt>
                <c:pt idx="1">
                  <c:v>1</c:v>
                </c:pt>
              </c:numCache>
            </c:numRef>
          </c:yVal>
          <c:smooth val="0"/>
          <c:extLst>
            <c:ext xmlns:c16="http://schemas.microsoft.com/office/drawing/2014/chart" uri="{C3380CC4-5D6E-409C-BE32-E72D297353CC}">
              <c16:uniqueId val="{00000000-FA7A-475D-A63F-B00735B9BBEC}"/>
            </c:ext>
          </c:extLst>
        </c:ser>
        <c:dLbls>
          <c:showLegendKey val="0"/>
          <c:showVal val="0"/>
          <c:showCatName val="0"/>
          <c:showSerName val="0"/>
          <c:showPercent val="0"/>
          <c:showBubbleSize val="0"/>
        </c:dLbls>
        <c:axId val="441611224"/>
        <c:axId val="441612008"/>
      </c:scatterChart>
      <c:valAx>
        <c:axId val="44161122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1612008"/>
        <c:crosses val="autoZero"/>
        <c:crossBetween val="midCat"/>
      </c:valAx>
      <c:valAx>
        <c:axId val="441612008"/>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a:t>
                </a:r>
                <a:r>
                  <a:rPr lang="en-US" sz="1100" baseline="0"/>
                  <a:t> Value</a:t>
                </a:r>
                <a:endParaRPr lang="en-US" sz="1100"/>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161122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Riffle for B, C and E Streams &lt; 3% slope and Percent Riffle &gt;=60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52456070937341359"/>
                  <c:y val="-0.1776675096258496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Stds'!#REF!</c:f>
            </c:numRef>
          </c:xVal>
          <c:yVal>
            <c:numRef>
              <c:f>'Performance Stds'!#REF!</c:f>
              <c:numCache>
                <c:formatCode>General</c:formatCode>
                <c:ptCount val="1"/>
                <c:pt idx="0">
                  <c:v>1</c:v>
                </c:pt>
              </c:numCache>
            </c:numRef>
          </c:yVal>
          <c:smooth val="0"/>
          <c:extLst>
            <c:ext xmlns:c16="http://schemas.microsoft.com/office/drawing/2014/chart" uri="{C3380CC4-5D6E-409C-BE32-E72D297353CC}">
              <c16:uniqueId val="{00000000-1CCE-4783-8506-AA46E4409ADE}"/>
            </c:ext>
          </c:extLst>
        </c:ser>
        <c:dLbls>
          <c:showLegendKey val="0"/>
          <c:showVal val="0"/>
          <c:showCatName val="0"/>
          <c:showSerName val="0"/>
          <c:showPercent val="0"/>
          <c:showBubbleSize val="0"/>
        </c:dLbls>
        <c:axId val="441608872"/>
        <c:axId val="441607304"/>
      </c:scatterChart>
      <c:valAx>
        <c:axId val="441608872"/>
        <c:scaling>
          <c:orientation val="minMax"/>
          <c:min val="7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1607304"/>
        <c:crosses val="autoZero"/>
        <c:crossBetween val="midCat"/>
      </c:valAx>
      <c:valAx>
        <c:axId val="4416073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160887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Riffle for A</a:t>
            </a:r>
            <a:r>
              <a:rPr lang="en-US" baseline="0"/>
              <a:t> and B</a:t>
            </a:r>
            <a:r>
              <a:rPr lang="en-US"/>
              <a:t> Streams and Percent Riffle &gt;70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57622122197586678"/>
                  <c:y val="-7.6397433403473824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Stds'!#REF!</c:f>
            </c:numRef>
          </c:xVal>
          <c:yVal>
            <c:numRef>
              <c:f>'Performance Stds'!#REF!</c:f>
              <c:numCache>
                <c:formatCode>General</c:formatCode>
                <c:ptCount val="1"/>
                <c:pt idx="0">
                  <c:v>1</c:v>
                </c:pt>
              </c:numCache>
            </c:numRef>
          </c:yVal>
          <c:smooth val="0"/>
          <c:extLst>
            <c:ext xmlns:c16="http://schemas.microsoft.com/office/drawing/2014/chart" uri="{C3380CC4-5D6E-409C-BE32-E72D297353CC}">
              <c16:uniqueId val="{00000000-A234-4278-B36B-2D355F1EA40B}"/>
            </c:ext>
          </c:extLst>
        </c:ser>
        <c:dLbls>
          <c:showLegendKey val="0"/>
          <c:showVal val="0"/>
          <c:showCatName val="0"/>
          <c:showSerName val="0"/>
          <c:showPercent val="0"/>
          <c:showBubbleSize val="0"/>
        </c:dLbls>
        <c:axId val="441606912"/>
        <c:axId val="441607696"/>
      </c:scatterChart>
      <c:valAx>
        <c:axId val="441606912"/>
        <c:scaling>
          <c:orientation val="minMax"/>
          <c:min val="6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1607696"/>
        <c:crosses val="autoZero"/>
        <c:crossBetween val="midCat"/>
      </c:valAx>
      <c:valAx>
        <c:axId val="44160769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160691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a:t>
            </a:r>
            <a:r>
              <a:rPr lang="en-US" baseline="0"/>
              <a:t> MMI</a:t>
            </a:r>
            <a:endParaRPr lang="en-US"/>
          </a:p>
        </c:rich>
      </c:tx>
      <c:layout>
        <c:manualLayout>
          <c:xMode val="edge"/>
          <c:yMode val="edge"/>
          <c:x val="0.32897153455484984"/>
          <c:y val="3.034571033885967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5523915980851623E-2"/>
          <c:y val="0.11855966429787121"/>
          <c:w val="0.58899343844109431"/>
          <c:h val="0.76888871213553633"/>
        </c:manualLayout>
      </c:layout>
      <c:scatterChart>
        <c:scatterStyle val="lineMarker"/>
        <c:varyColors val="0"/>
        <c:ser>
          <c:idx val="5"/>
          <c:order val="0"/>
          <c:tx>
            <c:v>Biotype 1 - F</c:v>
          </c:tx>
          <c:spPr>
            <a:ln w="25400" cap="rnd">
              <a:noFill/>
              <a:round/>
            </a:ln>
            <a:effectLst/>
          </c:spPr>
          <c:marker>
            <c:symbol val="circle"/>
            <c:size val="5"/>
            <c:spPr>
              <a:solidFill>
                <a:schemeClr val="accent5"/>
              </a:solidFill>
              <a:ln w="9525">
                <a:solidFill>
                  <a:schemeClr val="accent5"/>
                </a:solidFill>
              </a:ln>
              <a:effectLst/>
            </c:spPr>
          </c:marker>
          <c:trendline>
            <c:spPr>
              <a:ln w="19050" cap="rnd">
                <a:solidFill>
                  <a:schemeClr val="accent5"/>
                </a:solidFill>
                <a:prstDash val="sysDot"/>
              </a:ln>
              <a:effectLst/>
            </c:spPr>
            <c:trendlineType val="linear"/>
            <c:dispRSqr val="0"/>
            <c:dispEq val="1"/>
            <c:trendlineLbl>
              <c:layout>
                <c:manualLayout>
                  <c:x val="-0.25019680155791107"/>
                  <c:y val="-1.2195973886373725E-3"/>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Curves'!$AF$10:$AG$10</c:f>
              <c:numCache>
                <c:formatCode>0</c:formatCode>
                <c:ptCount val="2"/>
                <c:pt idx="0">
                  <c:v>45</c:v>
                </c:pt>
                <c:pt idx="1">
                  <c:v>56</c:v>
                </c:pt>
              </c:numCache>
            </c:numRef>
          </c:xVal>
          <c:yVal>
            <c:numRef>
              <c:f>'Reference Curves'!$AF$13:$AG$13</c:f>
              <c:numCache>
                <c:formatCode>General</c:formatCode>
                <c:ptCount val="2"/>
                <c:pt idx="0">
                  <c:v>0.7</c:v>
                </c:pt>
                <c:pt idx="1">
                  <c:v>1</c:v>
                </c:pt>
              </c:numCache>
            </c:numRef>
          </c:yVal>
          <c:smooth val="0"/>
          <c:extLst>
            <c:ext xmlns:c16="http://schemas.microsoft.com/office/drawing/2014/chart" uri="{C3380CC4-5D6E-409C-BE32-E72D297353CC}">
              <c16:uniqueId val="{00000005-B488-4B86-B673-B02738C25FEA}"/>
            </c:ext>
          </c:extLst>
        </c:ser>
        <c:ser>
          <c:idx val="4"/>
          <c:order val="1"/>
          <c:tx>
            <c:v>Biotype 1 - FAR</c:v>
          </c:tx>
          <c:spPr>
            <a:ln w="25400" cap="rnd">
              <a:noFill/>
              <a:round/>
            </a:ln>
            <a:effectLst/>
          </c:spPr>
          <c:marker>
            <c:symbol val="circle"/>
            <c:size val="5"/>
            <c:spPr>
              <a:solidFill>
                <a:schemeClr val="accent5"/>
              </a:solidFill>
              <a:ln w="9525">
                <a:solidFill>
                  <a:schemeClr val="accent5"/>
                </a:solidFill>
              </a:ln>
              <a:effectLst/>
            </c:spPr>
          </c:marker>
          <c:trendline>
            <c:spPr>
              <a:ln w="19050" cap="rnd">
                <a:solidFill>
                  <a:schemeClr val="accent5"/>
                </a:solidFill>
                <a:prstDash val="sysDot"/>
              </a:ln>
              <a:effectLst/>
            </c:spPr>
            <c:trendlineType val="linear"/>
            <c:dispRSqr val="0"/>
            <c:dispEq val="1"/>
            <c:trendlineLbl>
              <c:layout>
                <c:manualLayout>
                  <c:x val="-0.12458146115196583"/>
                  <c:y val="3.2028628538849316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Curves'!$AC$10:$AF$10</c:f>
              <c:numCache>
                <c:formatCode>0</c:formatCode>
                <c:ptCount val="4"/>
                <c:pt idx="0">
                  <c:v>34</c:v>
                </c:pt>
                <c:pt idx="3">
                  <c:v>45</c:v>
                </c:pt>
              </c:numCache>
            </c:numRef>
          </c:xVal>
          <c:yVal>
            <c:numRef>
              <c:f>'Reference Curves'!$AC$13:$AF$13</c:f>
              <c:numCache>
                <c:formatCode>General</c:formatCode>
                <c:ptCount val="4"/>
                <c:pt idx="0">
                  <c:v>0.28999999999999998</c:v>
                </c:pt>
                <c:pt idx="1">
                  <c:v>0.3</c:v>
                </c:pt>
                <c:pt idx="2">
                  <c:v>0.69</c:v>
                </c:pt>
                <c:pt idx="3">
                  <c:v>0.7</c:v>
                </c:pt>
              </c:numCache>
            </c:numRef>
          </c:yVal>
          <c:smooth val="0"/>
          <c:extLst>
            <c:ext xmlns:c16="http://schemas.microsoft.com/office/drawing/2014/chart" uri="{C3380CC4-5D6E-409C-BE32-E72D297353CC}">
              <c16:uniqueId val="{00000004-B488-4B86-B673-B02738C25FEA}"/>
            </c:ext>
          </c:extLst>
        </c:ser>
        <c:ser>
          <c:idx val="0"/>
          <c:order val="2"/>
          <c:tx>
            <c:v>Biotype 1 - NF</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28663221532718225"/>
                  <c:y val="6.3080362273607166E-2"/>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Curves'!$AB$10:$AC$10</c:f>
              <c:numCache>
                <c:formatCode>0</c:formatCode>
                <c:ptCount val="2"/>
                <c:pt idx="0" formatCode="General">
                  <c:v>0</c:v>
                </c:pt>
                <c:pt idx="1">
                  <c:v>34</c:v>
                </c:pt>
              </c:numCache>
            </c:numRef>
          </c:xVal>
          <c:yVal>
            <c:numRef>
              <c:f>'Reference Curves'!$AB$13:$AC$13</c:f>
              <c:numCache>
                <c:formatCode>General</c:formatCode>
                <c:ptCount val="2"/>
                <c:pt idx="0">
                  <c:v>0</c:v>
                </c:pt>
                <c:pt idx="1">
                  <c:v>0.28999999999999998</c:v>
                </c:pt>
              </c:numCache>
            </c:numRef>
          </c:yVal>
          <c:smooth val="0"/>
          <c:extLst>
            <c:ext xmlns:c16="http://schemas.microsoft.com/office/drawing/2014/chart" uri="{C3380CC4-5D6E-409C-BE32-E72D297353CC}">
              <c16:uniqueId val="{00000000-3C2B-4369-B12E-CEBB85132D7A}"/>
            </c:ext>
          </c:extLst>
        </c:ser>
        <c:ser>
          <c:idx val="8"/>
          <c:order val="3"/>
          <c:tx>
            <c:v>Biotype 2 - F</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32268716492168342"/>
                  <c:y val="4.4571642332558878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Curves'!$AF$11:$AG$11</c:f>
              <c:numCache>
                <c:formatCode>0</c:formatCode>
                <c:ptCount val="2"/>
                <c:pt idx="0">
                  <c:v>48</c:v>
                </c:pt>
                <c:pt idx="1">
                  <c:v>62</c:v>
                </c:pt>
              </c:numCache>
            </c:numRef>
          </c:xVal>
          <c:yVal>
            <c:numRef>
              <c:f>'Reference Curves'!$AF$13:$AG$13</c:f>
              <c:numCache>
                <c:formatCode>General</c:formatCode>
                <c:ptCount val="2"/>
                <c:pt idx="0">
                  <c:v>0.7</c:v>
                </c:pt>
                <c:pt idx="1">
                  <c:v>1</c:v>
                </c:pt>
              </c:numCache>
            </c:numRef>
          </c:yVal>
          <c:smooth val="0"/>
          <c:extLst>
            <c:ext xmlns:c16="http://schemas.microsoft.com/office/drawing/2014/chart" uri="{C3380CC4-5D6E-409C-BE32-E72D297353CC}">
              <c16:uniqueId val="{0000000D-B488-4B86-B673-B02738C25FEA}"/>
            </c:ext>
          </c:extLst>
        </c:ser>
        <c:ser>
          <c:idx val="7"/>
          <c:order val="4"/>
          <c:tx>
            <c:v>Biotype 2 - FAR</c:v>
          </c:tx>
          <c:spPr>
            <a:ln w="25400" cap="rnd">
              <a:noFill/>
              <a:round/>
            </a:ln>
            <a:effectLst/>
          </c:spPr>
          <c:marker>
            <c:symbol val="circle"/>
            <c:size val="5"/>
            <c:spPr>
              <a:solidFill>
                <a:schemeClr val="accent2">
                  <a:lumMod val="60000"/>
                </a:schemeClr>
              </a:solidFill>
              <a:ln w="9525">
                <a:solidFill>
                  <a:schemeClr val="accent2">
                    <a:lumMod val="60000"/>
                  </a:schemeClr>
                </a:solidFill>
              </a:ln>
              <a:effectLst/>
            </c:spPr>
          </c:marker>
          <c:trendline>
            <c:spPr>
              <a:ln w="19050" cap="rnd">
                <a:solidFill>
                  <a:schemeClr val="accent2">
                    <a:lumMod val="60000"/>
                  </a:schemeClr>
                </a:solidFill>
                <a:prstDash val="sysDot"/>
              </a:ln>
              <a:effectLst/>
            </c:spPr>
            <c:trendlineType val="linear"/>
            <c:dispRSqr val="0"/>
            <c:dispEq val="1"/>
            <c:trendlineLbl>
              <c:layout>
                <c:manualLayout>
                  <c:x val="-0.16788161842367744"/>
                  <c:y val="8.9267678190344632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lumMod val="75000"/>
                        </a:schemeClr>
                      </a:solidFill>
                      <a:latin typeface="+mn-lt"/>
                      <a:ea typeface="+mn-ea"/>
                      <a:cs typeface="+mn-cs"/>
                    </a:defRPr>
                  </a:pPr>
                  <a:endParaRPr lang="en-US"/>
                </a:p>
              </c:txPr>
            </c:trendlineLbl>
          </c:trendline>
          <c:xVal>
            <c:numRef>
              <c:f>'Reference Curves'!$AC$11:$AF$11</c:f>
              <c:numCache>
                <c:formatCode>0</c:formatCode>
                <c:ptCount val="4"/>
                <c:pt idx="0">
                  <c:v>40</c:v>
                </c:pt>
                <c:pt idx="3">
                  <c:v>48</c:v>
                </c:pt>
              </c:numCache>
            </c:numRef>
          </c:xVal>
          <c:yVal>
            <c:numRef>
              <c:f>'Reference Curves'!$AC$13:$AF$13</c:f>
              <c:numCache>
                <c:formatCode>General</c:formatCode>
                <c:ptCount val="4"/>
                <c:pt idx="0">
                  <c:v>0.28999999999999998</c:v>
                </c:pt>
                <c:pt idx="1">
                  <c:v>0.3</c:v>
                </c:pt>
                <c:pt idx="2">
                  <c:v>0.69</c:v>
                </c:pt>
                <c:pt idx="3">
                  <c:v>0.7</c:v>
                </c:pt>
              </c:numCache>
            </c:numRef>
          </c:yVal>
          <c:smooth val="0"/>
          <c:extLst>
            <c:ext xmlns:c16="http://schemas.microsoft.com/office/drawing/2014/chart" uri="{C3380CC4-5D6E-409C-BE32-E72D297353CC}">
              <c16:uniqueId val="{0000000C-B488-4B86-B673-B02738C25FEA}"/>
            </c:ext>
          </c:extLst>
        </c:ser>
        <c:ser>
          <c:idx val="1"/>
          <c:order val="5"/>
          <c:tx>
            <c:v>Biotype 2 - NF</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23430150846345593"/>
                  <c:y val="0.10887160199480342"/>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Curves'!$AB$11:$AC$11</c:f>
              <c:numCache>
                <c:formatCode>0</c:formatCode>
                <c:ptCount val="2"/>
                <c:pt idx="0" formatCode="General">
                  <c:v>0</c:v>
                </c:pt>
                <c:pt idx="1">
                  <c:v>40</c:v>
                </c:pt>
              </c:numCache>
            </c:numRef>
          </c:xVal>
          <c:yVal>
            <c:numRef>
              <c:f>'Reference Curves'!$AB$13:$AC$13</c:f>
              <c:numCache>
                <c:formatCode>General</c:formatCode>
                <c:ptCount val="2"/>
                <c:pt idx="0">
                  <c:v>0</c:v>
                </c:pt>
                <c:pt idx="1">
                  <c:v>0.28999999999999998</c:v>
                </c:pt>
              </c:numCache>
            </c:numRef>
          </c:yVal>
          <c:smooth val="0"/>
          <c:extLst>
            <c:ext xmlns:c16="http://schemas.microsoft.com/office/drawing/2014/chart" uri="{C3380CC4-5D6E-409C-BE32-E72D297353CC}">
              <c16:uniqueId val="{00000000-25F3-4C44-8C4A-1CBF24513F48}"/>
            </c:ext>
          </c:extLst>
        </c:ser>
        <c:ser>
          <c:idx val="3"/>
          <c:order val="6"/>
          <c:tx>
            <c:v>Biotype 3 - F</c:v>
          </c:tx>
          <c:spPr>
            <a:ln w="25400" cap="rnd">
              <a:noFill/>
              <a:round/>
            </a:ln>
            <a:effectLst/>
          </c:spPr>
          <c:marker>
            <c:symbol val="circle"/>
            <c:size val="5"/>
            <c:spPr>
              <a:solidFill>
                <a:schemeClr val="bg2">
                  <a:lumMod val="75000"/>
                </a:schemeClr>
              </a:solidFill>
              <a:ln w="9525">
                <a:solidFill>
                  <a:schemeClr val="bg2">
                    <a:lumMod val="75000"/>
                  </a:schemeClr>
                </a:solidFill>
              </a:ln>
              <a:effectLst/>
            </c:spPr>
          </c:marker>
          <c:trendline>
            <c:spPr>
              <a:ln w="19050" cap="rnd">
                <a:solidFill>
                  <a:schemeClr val="accent3"/>
                </a:solidFill>
                <a:prstDash val="sysDot"/>
              </a:ln>
              <a:effectLst/>
            </c:spPr>
            <c:trendlineType val="linear"/>
            <c:dispRSqr val="0"/>
            <c:dispEq val="1"/>
            <c:trendlineLbl>
              <c:layout>
                <c:manualLayout>
                  <c:x val="-0.22743973181867244"/>
                  <c:y val="9.322483453632989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 Curves'!$AF$12:$AG$12</c:f>
              <c:numCache>
                <c:formatCode>0</c:formatCode>
                <c:ptCount val="2"/>
                <c:pt idx="0">
                  <c:v>42</c:v>
                </c:pt>
                <c:pt idx="1">
                  <c:v>51</c:v>
                </c:pt>
              </c:numCache>
            </c:numRef>
          </c:xVal>
          <c:yVal>
            <c:numRef>
              <c:f>'Reference Curves'!$AF$13:$AG$13</c:f>
              <c:numCache>
                <c:formatCode>General</c:formatCode>
                <c:ptCount val="2"/>
                <c:pt idx="0">
                  <c:v>0.7</c:v>
                </c:pt>
                <c:pt idx="1">
                  <c:v>1</c:v>
                </c:pt>
              </c:numCache>
            </c:numRef>
          </c:yVal>
          <c:smooth val="0"/>
          <c:extLst>
            <c:ext xmlns:c16="http://schemas.microsoft.com/office/drawing/2014/chart" uri="{C3380CC4-5D6E-409C-BE32-E72D297353CC}">
              <c16:uniqueId val="{00000008-C1EE-4EC2-883A-85718D25AC20}"/>
            </c:ext>
          </c:extLst>
        </c:ser>
        <c:ser>
          <c:idx val="6"/>
          <c:order val="7"/>
          <c:tx>
            <c:v>Biotype 3 - FAR</c:v>
          </c:tx>
          <c:spPr>
            <a:ln w="25400" cap="rnd">
              <a:noFill/>
              <a:round/>
            </a:ln>
            <a:effectLst/>
          </c:spPr>
          <c:marker>
            <c:symbol val="circle"/>
            <c:size val="5"/>
            <c:spPr>
              <a:solidFill>
                <a:schemeClr val="accent1">
                  <a:lumMod val="60000"/>
                </a:schemeClr>
              </a:solidFill>
              <a:ln w="9525">
                <a:solidFill>
                  <a:schemeClr val="accent1">
                    <a:lumMod val="60000"/>
                  </a:schemeClr>
                </a:solidFill>
              </a:ln>
              <a:effectLst/>
            </c:spPr>
          </c:marker>
          <c:trendline>
            <c:spPr>
              <a:ln w="19050" cap="rnd">
                <a:solidFill>
                  <a:schemeClr val="bg1">
                    <a:lumMod val="50000"/>
                  </a:schemeClr>
                </a:solidFill>
                <a:prstDash val="sysDot"/>
              </a:ln>
              <a:effectLst/>
            </c:spPr>
            <c:trendlineType val="linear"/>
            <c:dispRSqr val="0"/>
            <c:dispEq val="1"/>
            <c:trendlineLbl>
              <c:layout>
                <c:manualLayout>
                  <c:x val="-9.5391537617777189E-2"/>
                  <c:y val="0.1407828228766904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bg1">
                          <a:lumMod val="50000"/>
                        </a:schemeClr>
                      </a:solidFill>
                      <a:latin typeface="+mn-lt"/>
                      <a:ea typeface="+mn-ea"/>
                      <a:cs typeface="+mn-cs"/>
                    </a:defRPr>
                  </a:pPr>
                  <a:endParaRPr lang="en-US"/>
                </a:p>
              </c:txPr>
            </c:trendlineLbl>
          </c:trendline>
          <c:xVal>
            <c:numRef>
              <c:f>'Reference Curves'!$AC$12:$AF$12</c:f>
              <c:numCache>
                <c:formatCode>0</c:formatCode>
                <c:ptCount val="4"/>
                <c:pt idx="0">
                  <c:v>29</c:v>
                </c:pt>
                <c:pt idx="3">
                  <c:v>42</c:v>
                </c:pt>
              </c:numCache>
            </c:numRef>
          </c:xVal>
          <c:yVal>
            <c:numRef>
              <c:f>'Reference Curves'!$AC$13:$AF$13</c:f>
              <c:numCache>
                <c:formatCode>General</c:formatCode>
                <c:ptCount val="4"/>
                <c:pt idx="0">
                  <c:v>0.28999999999999998</c:v>
                </c:pt>
                <c:pt idx="1">
                  <c:v>0.3</c:v>
                </c:pt>
                <c:pt idx="2">
                  <c:v>0.69</c:v>
                </c:pt>
                <c:pt idx="3">
                  <c:v>0.7</c:v>
                </c:pt>
              </c:numCache>
            </c:numRef>
          </c:yVal>
          <c:smooth val="0"/>
          <c:extLst>
            <c:ext xmlns:c16="http://schemas.microsoft.com/office/drawing/2014/chart" uri="{C3380CC4-5D6E-409C-BE32-E72D297353CC}">
              <c16:uniqueId val="{0000000A-B488-4B86-B673-B02738C25FEA}"/>
            </c:ext>
          </c:extLst>
        </c:ser>
        <c:ser>
          <c:idx val="2"/>
          <c:order val="8"/>
          <c:tx>
            <c:v>Biotype 3 - NF</c:v>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1"/>
            <c:trendlineLbl>
              <c:layout>
                <c:manualLayout>
                  <c:x val="0.33411154480604943"/>
                  <c:y val="0.16038674668114919"/>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bg1">
                          <a:lumMod val="65000"/>
                        </a:schemeClr>
                      </a:solidFill>
                      <a:latin typeface="+mn-lt"/>
                      <a:ea typeface="+mn-ea"/>
                      <a:cs typeface="+mn-cs"/>
                    </a:defRPr>
                  </a:pPr>
                  <a:endParaRPr lang="en-US"/>
                </a:p>
              </c:txPr>
            </c:trendlineLbl>
          </c:trendline>
          <c:xVal>
            <c:numRef>
              <c:f>'Reference Curves'!$AB$12:$AC$12</c:f>
              <c:numCache>
                <c:formatCode>0</c:formatCode>
                <c:ptCount val="2"/>
                <c:pt idx="0" formatCode="General">
                  <c:v>0</c:v>
                </c:pt>
                <c:pt idx="1">
                  <c:v>29</c:v>
                </c:pt>
              </c:numCache>
            </c:numRef>
          </c:xVal>
          <c:yVal>
            <c:numRef>
              <c:f>'Reference Curves'!$AB$13:$AC$13</c:f>
              <c:numCache>
                <c:formatCode>General</c:formatCode>
                <c:ptCount val="2"/>
                <c:pt idx="0">
                  <c:v>0</c:v>
                </c:pt>
                <c:pt idx="1">
                  <c:v>0.28999999999999998</c:v>
                </c:pt>
              </c:numCache>
            </c:numRef>
          </c:yVal>
          <c:smooth val="0"/>
          <c:extLst>
            <c:ext xmlns:c16="http://schemas.microsoft.com/office/drawing/2014/chart" uri="{C3380CC4-5D6E-409C-BE32-E72D297353CC}">
              <c16:uniqueId val="{00000002-9E73-4840-9E9F-722FF4C872B9}"/>
            </c:ext>
          </c:extLst>
        </c:ser>
        <c:dLbls>
          <c:showLegendKey val="0"/>
          <c:showVal val="0"/>
          <c:showCatName val="0"/>
          <c:showSerName val="0"/>
          <c:showPercent val="0"/>
          <c:showBubbleSize val="0"/>
        </c:dLbls>
        <c:axId val="441867224"/>
        <c:axId val="441863304"/>
      </c:scatterChart>
      <c:valAx>
        <c:axId val="44186722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(Index Score)</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1863304"/>
        <c:crosses val="autoZero"/>
        <c:crossBetween val="midCat"/>
      </c:valAx>
      <c:valAx>
        <c:axId val="441863304"/>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1867224"/>
        <c:crosses val="autoZero"/>
        <c:crossBetween val="midCat"/>
      </c:valAx>
      <c:spPr>
        <a:noFill/>
        <a:ln>
          <a:noFill/>
        </a:ln>
        <a:effectLst/>
      </c:spPr>
    </c:plotArea>
    <c:legend>
      <c:legendPos val="r"/>
      <c:layout>
        <c:manualLayout>
          <c:xMode val="edge"/>
          <c:yMode val="edge"/>
          <c:x val="0.71467009390528324"/>
          <c:y val="0.1174597129484195"/>
          <c:w val="0.24208032668210935"/>
          <c:h val="0.6594941329974106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Riparian</a:t>
            </a:r>
            <a:r>
              <a:rPr lang="en-US" baseline="0"/>
              <a:t> Vegetation Density</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62154362696391308"/>
                  <c:y val="8.692740728762538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Stds'!#REF!</c:f>
            </c:numRef>
          </c:xVal>
          <c:yVal>
            <c:numRef>
              <c:f>'Performance Stds'!#REF!</c:f>
              <c:numCache>
                <c:formatCode>General</c:formatCode>
                <c:ptCount val="1"/>
                <c:pt idx="0">
                  <c:v>1</c:v>
                </c:pt>
              </c:numCache>
            </c:numRef>
          </c:yVal>
          <c:smooth val="0"/>
          <c:extLst>
            <c:ext xmlns:c16="http://schemas.microsoft.com/office/drawing/2014/chart" uri="{C3380CC4-5D6E-409C-BE32-E72D297353CC}">
              <c16:uniqueId val="{00000000-7E87-4708-8D6A-0B0F5C65BEC1}"/>
            </c:ext>
          </c:extLst>
        </c:ser>
        <c:dLbls>
          <c:showLegendKey val="0"/>
          <c:showVal val="0"/>
          <c:showCatName val="0"/>
          <c:showSerName val="0"/>
          <c:showPercent val="0"/>
          <c:showBubbleSize val="0"/>
        </c:dLbls>
        <c:axId val="442562440"/>
        <c:axId val="442560480"/>
      </c:scatterChart>
      <c:valAx>
        <c:axId val="442562440"/>
        <c:scaling>
          <c:orientation val="minMax"/>
          <c:min val="1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2560480"/>
        <c:crosses val="autoZero"/>
        <c:crossBetween val="midCat"/>
      </c:valAx>
      <c:valAx>
        <c:axId val="44256048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256244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a:t>Functional Feet Score </a:t>
            </a:r>
            <a:r>
              <a:rPr lang="en-US" sz="2000" baseline="0"/>
              <a:t>Tracking</a:t>
            </a:r>
            <a:endParaRPr lang="en-US" sz="2000"/>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strRef>
              <c:f>'Data Summary'!$C$20:$C$21</c:f>
              <c:strCache>
                <c:ptCount val="1"/>
                <c:pt idx="0">
                  <c:v>ECS</c:v>
                </c:pt>
              </c:strCache>
            </c:strRef>
          </c:tx>
          <c:spPr>
            <a:ln w="19050" cap="rnd">
              <a:solidFill>
                <a:srgbClr val="FF0000">
                  <a:alpha val="50000"/>
                </a:srgbClr>
              </a:solidFill>
              <a:prstDash val="dash"/>
              <a:round/>
            </a:ln>
            <a:effectLst/>
          </c:spPr>
          <c:marker>
            <c:symbol val="none"/>
          </c:marker>
          <c:xVal>
            <c:strRef>
              <c:f>('Data Summary'!$F$21,'Data Summary'!$A$36)</c:f>
              <c:strCache>
                <c:ptCount val="2"/>
                <c:pt idx="1">
                  <c:v>1</c:v>
                </c:pt>
              </c:strCache>
            </c:strRef>
          </c:xVal>
          <c:yVal>
            <c:numRef>
              <c:f>('Data Summary'!$C$27,'Data Summary'!$C$27)</c:f>
              <c:numCache>
                <c:formatCode>0.0</c:formatCode>
                <c:ptCount val="2"/>
                <c:pt idx="0">
                  <c:v>0</c:v>
                </c:pt>
                <c:pt idx="1">
                  <c:v>0</c:v>
                </c:pt>
              </c:numCache>
            </c:numRef>
          </c:yVal>
          <c:smooth val="0"/>
          <c:extLst>
            <c:ext xmlns:c16="http://schemas.microsoft.com/office/drawing/2014/chart" uri="{C3380CC4-5D6E-409C-BE32-E72D297353CC}">
              <c16:uniqueId val="{00000001-BF5F-49D1-B7E8-F18A8E0EDA1E}"/>
            </c:ext>
          </c:extLst>
        </c:ser>
        <c:ser>
          <c:idx val="2"/>
          <c:order val="1"/>
          <c:tx>
            <c:strRef>
              <c:f>'Data Summary'!$D$20:$D$21</c:f>
              <c:strCache>
                <c:ptCount val="1"/>
                <c:pt idx="0">
                  <c:v>PCS</c:v>
                </c:pt>
              </c:strCache>
            </c:strRef>
          </c:tx>
          <c:spPr>
            <a:ln w="19050" cap="rnd">
              <a:solidFill>
                <a:srgbClr val="00B0F0"/>
              </a:solidFill>
              <a:round/>
            </a:ln>
            <a:effectLst/>
          </c:spPr>
          <c:marker>
            <c:symbol val="none"/>
          </c:marker>
          <c:xVal>
            <c:strRef>
              <c:f>('Data Summary'!$F$21,'Data Summary'!$A$36)</c:f>
              <c:strCache>
                <c:ptCount val="2"/>
                <c:pt idx="1">
                  <c:v>1</c:v>
                </c:pt>
              </c:strCache>
            </c:strRef>
          </c:xVal>
          <c:yVal>
            <c:numRef>
              <c:f>('Data Summary'!$D$27,'Data Summary'!$D$27)</c:f>
              <c:numCache>
                <c:formatCode>0.0</c:formatCode>
                <c:ptCount val="2"/>
                <c:pt idx="0">
                  <c:v>0</c:v>
                </c:pt>
                <c:pt idx="1">
                  <c:v>0</c:v>
                </c:pt>
              </c:numCache>
            </c:numRef>
          </c:yVal>
          <c:smooth val="0"/>
          <c:extLst>
            <c:ext xmlns:c16="http://schemas.microsoft.com/office/drawing/2014/chart" uri="{C3380CC4-5D6E-409C-BE32-E72D297353CC}">
              <c16:uniqueId val="{00000002-BF5F-49D1-B7E8-F18A8E0EDA1E}"/>
            </c:ext>
          </c:extLst>
        </c:ser>
        <c:ser>
          <c:idx val="3"/>
          <c:order val="2"/>
          <c:tx>
            <c:strRef>
              <c:f>'Data Summary'!$E$20:$E$21</c:f>
              <c:strCache>
                <c:ptCount val="1"/>
                <c:pt idx="0">
                  <c:v>As-Built</c:v>
                </c:pt>
              </c:strCache>
            </c:strRef>
          </c:tx>
          <c:spPr>
            <a:ln w="38100" cap="rnd">
              <a:solidFill>
                <a:schemeClr val="bg2">
                  <a:lumMod val="75000"/>
                </a:schemeClr>
              </a:solidFill>
              <a:prstDash val="dash"/>
              <a:round/>
            </a:ln>
            <a:effectLst/>
          </c:spPr>
          <c:marker>
            <c:symbol val="none"/>
          </c:marker>
          <c:xVal>
            <c:strRef>
              <c:f>('Data Summary'!$F$21,'Data Summary'!$A$36)</c:f>
              <c:strCache>
                <c:ptCount val="2"/>
                <c:pt idx="1">
                  <c:v>1</c:v>
                </c:pt>
              </c:strCache>
            </c:strRef>
          </c:xVal>
          <c:yVal>
            <c:numRef>
              <c:f>('Data Summary'!$E$27,'Data Summary'!$E$27)</c:f>
              <c:numCache>
                <c:formatCode>0.0</c:formatCode>
                <c:ptCount val="2"/>
                <c:pt idx="0">
                  <c:v>0</c:v>
                </c:pt>
                <c:pt idx="1">
                  <c:v>0</c:v>
                </c:pt>
              </c:numCache>
            </c:numRef>
          </c:yVal>
          <c:smooth val="0"/>
          <c:extLst>
            <c:ext xmlns:c16="http://schemas.microsoft.com/office/drawing/2014/chart" uri="{C3380CC4-5D6E-409C-BE32-E72D297353CC}">
              <c16:uniqueId val="{00000003-BF5F-49D1-B7E8-F18A8E0EDA1E}"/>
            </c:ext>
          </c:extLst>
        </c:ser>
        <c:ser>
          <c:idx val="0"/>
          <c:order val="3"/>
          <c:tx>
            <c:v>Monitoring Data</c:v>
          </c:tx>
          <c:spPr>
            <a:ln w="28575" cap="rnd">
              <a:solidFill>
                <a:schemeClr val="tx1"/>
              </a:solidFill>
              <a:round/>
            </a:ln>
            <a:effectLst/>
          </c:spPr>
          <c:marker>
            <c:symbol val="none"/>
          </c:marker>
          <c:xVal>
            <c:strRef>
              <c:f>'Data Summary'!$C$36:$L$36</c:f>
              <c:strCache>
                <c:ptCount val="1"/>
                <c:pt idx="0">
                  <c:v>0</c:v>
                </c:pt>
              </c:strCache>
            </c:strRef>
          </c:xVal>
          <c:yVal>
            <c:numRef>
              <c:f>'Data Summary'!$C$38:$L$38</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0-BF5F-49D1-B7E8-F18A8E0EDA1E}"/>
            </c:ext>
          </c:extLst>
        </c:ser>
        <c:dLbls>
          <c:showLegendKey val="0"/>
          <c:showVal val="0"/>
          <c:showCatName val="0"/>
          <c:showSerName val="0"/>
          <c:showPercent val="0"/>
          <c:showBubbleSize val="0"/>
        </c:dLbls>
        <c:axId val="419251592"/>
        <c:axId val="419252768"/>
      </c:scatterChart>
      <c:valAx>
        <c:axId val="419251592"/>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Monitoring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19252768"/>
        <c:crosses val="autoZero"/>
        <c:crossBetween val="midCat"/>
      </c:valAx>
      <c:valAx>
        <c:axId val="419252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Functional Feet</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1925159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Percent Riffle for Streams ≥ 3% slope</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Rising Limb</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backward val="18"/>
            <c:dispRSqr val="0"/>
            <c:dispEq val="1"/>
            <c:trendlineLbl>
              <c:layout>
                <c:manualLayout>
                  <c:x val="-6.1245634493497424E-2"/>
                  <c:y val="0.12950042332661307"/>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Curves'!$K$405:$P$405</c:f>
              <c:numCache>
                <c:formatCode>General</c:formatCode>
                <c:ptCount val="6"/>
                <c:pt idx="4">
                  <c:v>60</c:v>
                </c:pt>
                <c:pt idx="5">
                  <c:v>68</c:v>
                </c:pt>
              </c:numCache>
            </c:numRef>
          </c:xVal>
          <c:yVal>
            <c:numRef>
              <c:f>'Reference Curves'!$K$407:$P$407</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0-54C0-4B16-B14E-5188ECFE15D4}"/>
            </c:ext>
          </c:extLst>
        </c:ser>
        <c:ser>
          <c:idx val="1"/>
          <c:order val="1"/>
          <c:tx>
            <c:v>Falling Limb</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forward val="12"/>
            <c:dispRSqr val="0"/>
            <c:dispEq val="1"/>
            <c:trendlineLbl>
              <c:layout>
                <c:manualLayout>
                  <c:x val="-8.3479165489891344E-2"/>
                  <c:y val="-0.32586501136211893"/>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Curves'!$K$406:$P$406</c:f>
              <c:numCache>
                <c:formatCode>General</c:formatCode>
                <c:ptCount val="6"/>
                <c:pt idx="4">
                  <c:v>83</c:v>
                </c:pt>
                <c:pt idx="5">
                  <c:v>78</c:v>
                </c:pt>
              </c:numCache>
            </c:numRef>
          </c:xVal>
          <c:yVal>
            <c:numRef>
              <c:f>'Reference Curves'!$K$407:$P$407</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1-C99E-4AF7-9F51-2A00F4A664D9}"/>
            </c:ext>
          </c:extLst>
        </c:ser>
        <c:ser>
          <c:idx val="2"/>
          <c:order val="2"/>
          <c:tx>
            <c:v>Crest</c:v>
          </c:tx>
          <c:spPr>
            <a:ln w="25400" cap="rnd">
              <a:solidFill>
                <a:schemeClr val="tx1"/>
              </a:solidFill>
              <a:prstDash val="sysDash"/>
              <a:round/>
            </a:ln>
            <a:effectLst/>
          </c:spPr>
          <c:marker>
            <c:symbol val="none"/>
          </c:marker>
          <c:xVal>
            <c:numRef>
              <c:f>'Reference Curves'!$P$405:$P$406</c:f>
              <c:numCache>
                <c:formatCode>General</c:formatCode>
                <c:ptCount val="2"/>
                <c:pt idx="0">
                  <c:v>68</c:v>
                </c:pt>
                <c:pt idx="1">
                  <c:v>78</c:v>
                </c:pt>
              </c:numCache>
            </c:numRef>
          </c:xVal>
          <c:yVal>
            <c:numRef>
              <c:f>('Reference Curves'!$P$407,'Reference Curves'!$P$407)</c:f>
              <c:numCache>
                <c:formatCode>General</c:formatCode>
                <c:ptCount val="2"/>
                <c:pt idx="0">
                  <c:v>1</c:v>
                </c:pt>
                <c:pt idx="1">
                  <c:v>1</c:v>
                </c:pt>
              </c:numCache>
            </c:numRef>
          </c:yVal>
          <c:smooth val="0"/>
          <c:extLst>
            <c:ext xmlns:c16="http://schemas.microsoft.com/office/drawing/2014/chart" uri="{C3380CC4-5D6E-409C-BE32-E72D297353CC}">
              <c16:uniqueId val="{00000003-C99E-4AF7-9F51-2A00F4A664D9}"/>
            </c:ext>
          </c:extLst>
        </c:ser>
        <c:dLbls>
          <c:showLegendKey val="0"/>
          <c:showVal val="0"/>
          <c:showCatName val="0"/>
          <c:showSerName val="0"/>
          <c:showPercent val="0"/>
          <c:showBubbleSize val="0"/>
        </c:dLbls>
        <c:axId val="442566360"/>
        <c:axId val="442563224"/>
      </c:scatterChart>
      <c:valAx>
        <c:axId val="442566360"/>
        <c:scaling>
          <c:orientation val="minMax"/>
          <c:min val="2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2563224"/>
        <c:crosses val="autoZero"/>
        <c:crossBetween val="midCat"/>
      </c:valAx>
      <c:valAx>
        <c:axId val="442563224"/>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25663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0" i="0" u="none" strike="noStrike" baseline="0">
                <a:effectLst/>
              </a:rPr>
              <a:t>Chlorophyll α </a:t>
            </a:r>
            <a:endParaRPr lang="en-US" sz="1600"/>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'Reference Curves'!$R$81</c:f>
              <c:strCache>
                <c:ptCount val="1"/>
                <c:pt idx="0">
                  <c:v>Biotypes 1 and 2</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og"/>
            <c:forward val="50"/>
            <c:dispRSqr val="0"/>
            <c:dispEq val="1"/>
            <c:trendlineLbl>
              <c:layout>
                <c:manualLayout>
                  <c:x val="-0.20879164924597357"/>
                  <c:y val="-7.058192959795237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Curves'!$S$81:$X$81</c:f>
              <c:numCache>
                <c:formatCode>General</c:formatCode>
                <c:ptCount val="6"/>
                <c:pt idx="1">
                  <c:v>53</c:v>
                </c:pt>
                <c:pt idx="3">
                  <c:v>27</c:v>
                </c:pt>
                <c:pt idx="5">
                  <c:v>12</c:v>
                </c:pt>
              </c:numCache>
            </c:numRef>
          </c:xVal>
          <c:yVal>
            <c:numRef>
              <c:f>'Reference Curves'!$S$83:$X$83</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0-306E-43E0-A7CF-22D8DE561819}"/>
            </c:ext>
          </c:extLst>
        </c:ser>
        <c:ser>
          <c:idx val="1"/>
          <c:order val="1"/>
          <c:tx>
            <c:strRef>
              <c:f>'Reference Curves'!$R$82</c:f>
              <c:strCache>
                <c:ptCount val="1"/>
                <c:pt idx="0">
                  <c:v>Biotype 3</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og"/>
            <c:dispRSqr val="0"/>
            <c:dispEq val="1"/>
            <c:trendlineLbl>
              <c:layout>
                <c:manualLayout>
                  <c:x val="-0.1623305228561332"/>
                  <c:y val="-0.34544881569723812"/>
                </c:manualLayout>
              </c:layout>
              <c:numFmt formatCode="#,##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Curves'!$S$82:$X$82</c:f>
              <c:numCache>
                <c:formatCode>General</c:formatCode>
                <c:ptCount val="6"/>
                <c:pt idx="0" formatCode="0">
                  <c:v>150</c:v>
                </c:pt>
                <c:pt idx="1">
                  <c:v>117</c:v>
                </c:pt>
                <c:pt idx="3" formatCode="0">
                  <c:v>29</c:v>
                </c:pt>
                <c:pt idx="5" formatCode="0">
                  <c:v>16</c:v>
                </c:pt>
              </c:numCache>
            </c:numRef>
          </c:xVal>
          <c:yVal>
            <c:numRef>
              <c:f>'Reference Curves'!$S$83:$X$83</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1-73EA-45A2-A077-4115DF5E6AA1}"/>
            </c:ext>
          </c:extLst>
        </c:ser>
        <c:dLbls>
          <c:showLegendKey val="0"/>
          <c:showVal val="0"/>
          <c:showCatName val="0"/>
          <c:showSerName val="0"/>
          <c:showPercent val="0"/>
          <c:showBubbleSize val="0"/>
        </c:dLbls>
        <c:axId val="442560872"/>
        <c:axId val="442559696"/>
      </c:scatterChart>
      <c:valAx>
        <c:axId val="442560872"/>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(mg/m</a:t>
                </a:r>
                <a:r>
                  <a:rPr lang="en-US" sz="1100" baseline="30000"/>
                  <a:t>2</a:t>
                </a:r>
                <a:r>
                  <a:rPr lang="en-US" sz="1100"/>
                  <a:t>)</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2559696"/>
        <c:crosses val="autoZero"/>
        <c:crossBetween val="midCat"/>
      </c:valAx>
      <c:valAx>
        <c:axId val="44255969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a:t>
                </a:r>
                <a:r>
                  <a:rPr lang="en-US" sz="1100" baseline="0"/>
                  <a:t> Value</a:t>
                </a:r>
                <a:endParaRPr lang="en-US" sz="1100"/>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2560872"/>
        <c:crosses val="autoZero"/>
        <c:crossBetween val="midCat"/>
      </c:valAx>
      <c:spPr>
        <a:noFill/>
        <a:ln>
          <a:noFill/>
        </a:ln>
        <a:effectLst/>
      </c:spPr>
    </c:plotArea>
    <c:legend>
      <c:legendPos val="r"/>
      <c:layout>
        <c:manualLayout>
          <c:xMode val="edge"/>
          <c:yMode val="edge"/>
          <c:x val="0.5566563227279463"/>
          <c:y val="0.12485502584669012"/>
          <c:w val="0.41033831261787695"/>
          <c:h val="0.10154128599097433"/>
        </c:manualLayout>
      </c:layout>
      <c:overlay val="1"/>
      <c:spPr>
        <a:solidFill>
          <a:schemeClr val="bg1"/>
        </a:solidFill>
        <a:ln>
          <a:solidFill>
            <a:schemeClr val="tx1"/>
          </a:solid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Streambank Erosion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'Reference Curves'!$K$114</c:f>
              <c:strCache>
                <c:ptCount val="1"/>
                <c:pt idx="0">
                  <c:v>NF/FAR</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5.2696415188874532E-3"/>
                  <c:y val="-0.32533589386754874"/>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Curves'!$K$111:$O$111</c:f>
              <c:numCache>
                <c:formatCode>General</c:formatCode>
                <c:ptCount val="5"/>
                <c:pt idx="0">
                  <c:v>75</c:v>
                </c:pt>
                <c:pt idx="4">
                  <c:v>10</c:v>
                </c:pt>
              </c:numCache>
            </c:numRef>
          </c:xVal>
          <c:yVal>
            <c:numRef>
              <c:f>'Reference Curves'!$K$112:$O$112</c:f>
              <c:numCache>
                <c:formatCode>General</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0-5148-4788-A083-43E68337C776}"/>
            </c:ext>
          </c:extLst>
        </c:ser>
        <c:ser>
          <c:idx val="1"/>
          <c:order val="1"/>
          <c:tx>
            <c:strRef>
              <c:f>'Reference Curves'!$L$114</c:f>
              <c:strCache>
                <c:ptCount val="1"/>
                <c:pt idx="0">
                  <c:v>F</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7361526365310589"/>
                  <c:y val="-0.18441935772121859"/>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Curves'!$O$111:$P$111</c:f>
              <c:numCache>
                <c:formatCode>General</c:formatCode>
                <c:ptCount val="2"/>
                <c:pt idx="0">
                  <c:v>10</c:v>
                </c:pt>
                <c:pt idx="1">
                  <c:v>5</c:v>
                </c:pt>
              </c:numCache>
            </c:numRef>
          </c:xVal>
          <c:yVal>
            <c:numRef>
              <c:f>'Reference Curves'!$O$112:$P$112</c:f>
              <c:numCache>
                <c:formatCode>General</c:formatCode>
                <c:ptCount val="2"/>
                <c:pt idx="0">
                  <c:v>0.7</c:v>
                </c:pt>
                <c:pt idx="1">
                  <c:v>1</c:v>
                </c:pt>
              </c:numCache>
            </c:numRef>
          </c:yVal>
          <c:smooth val="0"/>
          <c:extLst>
            <c:ext xmlns:c16="http://schemas.microsoft.com/office/drawing/2014/chart" uri="{C3380CC4-5D6E-409C-BE32-E72D297353CC}">
              <c16:uniqueId val="{00000001-FA3B-4C74-84DA-06940A6493E0}"/>
            </c:ext>
          </c:extLst>
        </c:ser>
        <c:dLbls>
          <c:showLegendKey val="0"/>
          <c:showVal val="0"/>
          <c:showCatName val="0"/>
          <c:showSerName val="0"/>
          <c:showPercent val="0"/>
          <c:showBubbleSize val="0"/>
        </c:dLbls>
        <c:axId val="442564400"/>
        <c:axId val="442558912"/>
      </c:scatterChart>
      <c:valAx>
        <c:axId val="442564400"/>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2558912"/>
        <c:crosses val="autoZero"/>
        <c:crossBetween val="midCat"/>
      </c:valAx>
      <c:valAx>
        <c:axId val="442558912"/>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256440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Riparian</a:t>
            </a:r>
            <a:r>
              <a:rPr lang="en-US" sz="1600" baseline="0"/>
              <a:t> </a:t>
            </a:r>
            <a:r>
              <a:rPr lang="en-US" sz="1600"/>
              <a:t>Extent</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'Reference Curves'!$J$472</c:f>
              <c:strCache>
                <c:ptCount val="1"/>
                <c:pt idx="0">
                  <c:v>Unconfined Alluvial Valleys</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backward val="20"/>
            <c:dispRSqr val="0"/>
            <c:dispEq val="1"/>
            <c:trendlineLbl>
              <c:layout>
                <c:manualLayout>
                  <c:x val="-0.16496183537325845"/>
                  <c:y val="0.21473230613062377"/>
                </c:manualLayout>
              </c:layout>
              <c:numFmt formatCode="#,##0.000000"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Curves'!$K$472:$P$472</c:f>
              <c:numCache>
                <c:formatCode>General</c:formatCode>
                <c:ptCount val="6"/>
                <c:pt idx="0">
                  <c:v>0</c:v>
                </c:pt>
                <c:pt idx="1">
                  <c:v>30</c:v>
                </c:pt>
                <c:pt idx="5">
                  <c:v>100</c:v>
                </c:pt>
              </c:numCache>
            </c:numRef>
          </c:xVal>
          <c:yVal>
            <c:numRef>
              <c:f>'Reference Curves'!$K$474:$P$474</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5-7F5E-43A3-B121-15C2F36C966D}"/>
            </c:ext>
          </c:extLst>
        </c:ser>
        <c:ser>
          <c:idx val="2"/>
          <c:order val="1"/>
          <c:tx>
            <c:strRef>
              <c:f>'Reference Curves'!$J$473</c:f>
              <c:strCache>
                <c:ptCount val="1"/>
                <c:pt idx="0">
                  <c:v>Confined Alluvial, Colluvial/V-Shaped, or Bedrock Valleys</c:v>
                </c:pt>
              </c:strCache>
            </c:strRef>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1"/>
            <c:trendlineLbl>
              <c:layout>
                <c:manualLayout>
                  <c:x val="0.10361402470082169"/>
                  <c:y val="0.44453089535727686"/>
                </c:manualLayout>
              </c:layout>
              <c:numFmt formatCode="#,##0.000000" sourceLinked="0"/>
              <c:spPr>
                <a:noFill/>
                <a:ln>
                  <a:noFill/>
                </a:ln>
                <a:effectLst/>
              </c:spPr>
              <c:txPr>
                <a:bodyPr rot="0" spcFirstLastPara="1" vertOverflow="ellipsis" vert="horz" wrap="square" anchor="ctr" anchorCtr="1"/>
                <a:lstStyle/>
                <a:p>
                  <a:pPr>
                    <a:defRPr sz="1100" b="0" i="0" u="none" strike="noStrike" kern="1200" baseline="0">
                      <a:solidFill>
                        <a:schemeClr val="bg1">
                          <a:lumMod val="50000"/>
                        </a:schemeClr>
                      </a:solidFill>
                      <a:latin typeface="+mn-lt"/>
                      <a:ea typeface="+mn-ea"/>
                      <a:cs typeface="+mn-cs"/>
                    </a:defRPr>
                  </a:pPr>
                  <a:endParaRPr lang="en-US"/>
                </a:p>
              </c:txPr>
            </c:trendlineLbl>
          </c:trendline>
          <c:xVal>
            <c:numRef>
              <c:f>'Reference Curves'!$L$473:$P$473</c:f>
              <c:numCache>
                <c:formatCode>General</c:formatCode>
                <c:ptCount val="5"/>
                <c:pt idx="0">
                  <c:v>60</c:v>
                </c:pt>
                <c:pt idx="4">
                  <c:v>100</c:v>
                </c:pt>
              </c:numCache>
            </c:numRef>
          </c:xVal>
          <c:yVal>
            <c:numRef>
              <c:f>'Reference Curves'!$L$474:$P$474</c:f>
              <c:numCache>
                <c:formatCode>General</c:formatCode>
                <c:ptCount val="5"/>
                <c:pt idx="0">
                  <c:v>0.28999999999999998</c:v>
                </c:pt>
                <c:pt idx="1">
                  <c:v>0.3</c:v>
                </c:pt>
                <c:pt idx="2">
                  <c:v>0.69</c:v>
                </c:pt>
                <c:pt idx="3">
                  <c:v>0.7</c:v>
                </c:pt>
                <c:pt idx="4">
                  <c:v>1</c:v>
                </c:pt>
              </c:numCache>
            </c:numRef>
          </c:yVal>
          <c:smooth val="0"/>
          <c:extLst>
            <c:ext xmlns:c16="http://schemas.microsoft.com/office/drawing/2014/chart" uri="{C3380CC4-5D6E-409C-BE32-E72D297353CC}">
              <c16:uniqueId val="{00000007-7F5E-43A3-B121-15C2F36C966D}"/>
            </c:ext>
          </c:extLst>
        </c:ser>
        <c:ser>
          <c:idx val="1"/>
          <c:order val="2"/>
          <c:tx>
            <c:strRef>
              <c:f>'Reference Curves'!$J$473</c:f>
              <c:strCache>
                <c:ptCount val="1"/>
                <c:pt idx="0">
                  <c:v>Confined Alluvial, Colluvial/V-Shaped, or Bedrock Valleys</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9.5298527857884854E-2"/>
                  <c:y val="0.10457192888095551"/>
                </c:manualLayout>
              </c:layout>
              <c:numFmt formatCode="#,##0.0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Curves'!$K$473:$L$473</c:f>
              <c:numCache>
                <c:formatCode>General</c:formatCode>
                <c:ptCount val="2"/>
                <c:pt idx="0">
                  <c:v>0</c:v>
                </c:pt>
                <c:pt idx="1">
                  <c:v>60</c:v>
                </c:pt>
              </c:numCache>
            </c:numRef>
          </c:xVal>
          <c:yVal>
            <c:numRef>
              <c:f>'Reference Curves'!$K$474:$L$474</c:f>
              <c:numCache>
                <c:formatCode>General</c:formatCode>
                <c:ptCount val="2"/>
                <c:pt idx="0">
                  <c:v>0</c:v>
                </c:pt>
                <c:pt idx="1">
                  <c:v>0.28999999999999998</c:v>
                </c:pt>
              </c:numCache>
            </c:numRef>
          </c:yVal>
          <c:smooth val="0"/>
          <c:extLst>
            <c:ext xmlns:c16="http://schemas.microsoft.com/office/drawing/2014/chart" uri="{C3380CC4-5D6E-409C-BE32-E72D297353CC}">
              <c16:uniqueId val="{00000002-96B3-46AA-AF83-024273108E39}"/>
            </c:ext>
          </c:extLst>
        </c:ser>
        <c:dLbls>
          <c:showLegendKey val="0"/>
          <c:showVal val="0"/>
          <c:showCatName val="0"/>
          <c:showSerName val="0"/>
          <c:showPercent val="0"/>
          <c:showBubbleSize val="0"/>
        </c:dLbls>
        <c:axId val="443218312"/>
        <c:axId val="443214392"/>
      </c:scatterChart>
      <c:valAx>
        <c:axId val="443218312"/>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a:t>
                </a:r>
              </a:p>
            </c:rich>
          </c:tx>
          <c:layout>
            <c:manualLayout>
              <c:xMode val="edge"/>
              <c:yMode val="edge"/>
              <c:x val="0.31084857432243473"/>
              <c:y val="0.9209813204271042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214392"/>
        <c:crosses val="autoZero"/>
        <c:crossBetween val="midCat"/>
      </c:valAx>
      <c:valAx>
        <c:axId val="443214392"/>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218312"/>
        <c:crosses val="autoZero"/>
        <c:crossBetween val="midCat"/>
      </c:valAx>
      <c:spPr>
        <a:noFill/>
        <a:ln>
          <a:noFill/>
        </a:ln>
        <a:effectLst/>
      </c:spPr>
    </c:plotArea>
    <c:legend>
      <c:legendPos val="r"/>
      <c:legendEntry>
        <c:idx val="3"/>
        <c:delete val="1"/>
      </c:legendEntry>
      <c:legendEntry>
        <c:idx val="4"/>
        <c:delete val="1"/>
      </c:legendEntry>
      <c:layout>
        <c:manualLayout>
          <c:xMode val="edge"/>
          <c:yMode val="edge"/>
          <c:x val="0.6333524564523566"/>
          <c:y val="0.13326097955867366"/>
          <c:w val="0.35787917674185771"/>
          <c:h val="0.2600976236880727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Land</a:t>
            </a:r>
            <a:r>
              <a:rPr lang="en-US" baseline="0"/>
              <a:t> Use Coefficient</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forward val="20"/>
            <c:dispRSqr val="0"/>
            <c:dispEq val="1"/>
            <c:trendlineLbl>
              <c:layout>
                <c:manualLayout>
                  <c:x val="-0.2793345380022258"/>
                  <c:y val="-0.45711823509997324"/>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Curves'!$G$10:$H$10</c:f>
              <c:numCache>
                <c:formatCode>General</c:formatCode>
                <c:ptCount val="2"/>
                <c:pt idx="0">
                  <c:v>62</c:v>
                </c:pt>
                <c:pt idx="1">
                  <c:v>55</c:v>
                </c:pt>
              </c:numCache>
            </c:numRef>
          </c:xVal>
          <c:yVal>
            <c:numRef>
              <c:f>'Reference Curves'!$G$11:$H$11</c:f>
              <c:numCache>
                <c:formatCode>General</c:formatCode>
                <c:ptCount val="2"/>
                <c:pt idx="0">
                  <c:v>0.7</c:v>
                </c:pt>
                <c:pt idx="1">
                  <c:v>1</c:v>
                </c:pt>
              </c:numCache>
            </c:numRef>
          </c:yVal>
          <c:smooth val="0"/>
          <c:extLst>
            <c:ext xmlns:c16="http://schemas.microsoft.com/office/drawing/2014/chart" uri="{C3380CC4-5D6E-409C-BE32-E72D297353CC}">
              <c16:uniqueId val="{00000001-38C9-47F9-9439-59C45B14376D}"/>
            </c:ext>
          </c:extLst>
        </c:ser>
        <c:dLbls>
          <c:showLegendKey val="0"/>
          <c:showVal val="0"/>
          <c:showCatName val="0"/>
          <c:showSerName val="0"/>
          <c:showPercent val="0"/>
          <c:showBubbleSize val="0"/>
        </c:dLbls>
        <c:axId val="443217136"/>
        <c:axId val="443220664"/>
      </c:scatterChart>
      <c:valAx>
        <c:axId val="44321713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 Value (Land Use Coefficient</a:t>
                </a:r>
                <a:r>
                  <a:rPr lang="en-US" baseline="0"/>
                  <a:t>)</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220664"/>
        <c:crosses val="autoZero"/>
        <c:crossBetween val="midCat"/>
      </c:valAx>
      <c:valAx>
        <c:axId val="443220664"/>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b="0" i="0" baseline="0">
                    <a:effectLst/>
                  </a:rPr>
                  <a:t>Index Value</a:t>
                </a:r>
                <a:endParaRPr lang="en-US" sz="1100">
                  <a:effectLst/>
                </a:endParaRP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21713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Native Fish Species Richness (% of expected)</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1847949129315572"/>
                  <c:y val="0.1129088403465318"/>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Curves'!$AB$48:$AE$48</c:f>
              <c:numCache>
                <c:formatCode>General</c:formatCode>
                <c:ptCount val="4"/>
                <c:pt idx="0" formatCode="0">
                  <c:v>0</c:v>
                </c:pt>
                <c:pt idx="3">
                  <c:v>80</c:v>
                </c:pt>
              </c:numCache>
            </c:numRef>
          </c:xVal>
          <c:yVal>
            <c:numRef>
              <c:f>'Reference Curves'!$AB$49:$AE$49</c:f>
              <c:numCache>
                <c:formatCode>General</c:formatCode>
                <c:ptCount val="4"/>
                <c:pt idx="0">
                  <c:v>0</c:v>
                </c:pt>
                <c:pt idx="1">
                  <c:v>0.28999999999999998</c:v>
                </c:pt>
                <c:pt idx="2">
                  <c:v>0.3</c:v>
                </c:pt>
                <c:pt idx="3">
                  <c:v>0.69</c:v>
                </c:pt>
              </c:numCache>
            </c:numRef>
          </c:yVal>
          <c:smooth val="0"/>
          <c:extLst>
            <c:ext xmlns:c16="http://schemas.microsoft.com/office/drawing/2014/chart" uri="{C3380CC4-5D6E-409C-BE32-E72D297353CC}">
              <c16:uniqueId val="{00000001-F17A-4CDB-BB96-C1EDB41CACF2}"/>
            </c:ext>
          </c:extLst>
        </c:ser>
        <c:ser>
          <c:idx val="1"/>
          <c:order val="1"/>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3757061979582727"/>
                  <c:y val="6.6708986696890862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Curves'!$AE$48:$AG$48</c:f>
              <c:numCache>
                <c:formatCode>General</c:formatCode>
                <c:ptCount val="3"/>
                <c:pt idx="0">
                  <c:v>80</c:v>
                </c:pt>
                <c:pt idx="2">
                  <c:v>100</c:v>
                </c:pt>
              </c:numCache>
            </c:numRef>
          </c:xVal>
          <c:yVal>
            <c:numRef>
              <c:f>'Reference Curves'!$AE$49:$AG$49</c:f>
              <c:numCache>
                <c:formatCode>General</c:formatCode>
                <c:ptCount val="3"/>
                <c:pt idx="0">
                  <c:v>0.69</c:v>
                </c:pt>
                <c:pt idx="1">
                  <c:v>0.7</c:v>
                </c:pt>
                <c:pt idx="2">
                  <c:v>1</c:v>
                </c:pt>
              </c:numCache>
            </c:numRef>
          </c:yVal>
          <c:smooth val="0"/>
          <c:extLst>
            <c:ext xmlns:c16="http://schemas.microsoft.com/office/drawing/2014/chart" uri="{C3380CC4-5D6E-409C-BE32-E72D297353CC}">
              <c16:uniqueId val="{00000003-F17A-4CDB-BB96-C1EDB41CACF2}"/>
            </c:ext>
          </c:extLst>
        </c:ser>
        <c:dLbls>
          <c:showLegendKey val="0"/>
          <c:showVal val="0"/>
          <c:showCatName val="0"/>
          <c:showSerName val="0"/>
          <c:showPercent val="0"/>
          <c:showBubbleSize val="0"/>
        </c:dLbls>
        <c:axId val="443890096"/>
        <c:axId val="443886960"/>
      </c:scatterChart>
      <c:valAx>
        <c:axId val="443890096"/>
        <c:scaling>
          <c:orientation val="minMax"/>
          <c:max val="10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886960"/>
        <c:crosses val="autoZero"/>
        <c:crossBetween val="midCat"/>
      </c:valAx>
      <c:valAx>
        <c:axId val="44388696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89009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Wild Trout Biomass (% Change)</a:t>
            </a:r>
          </a:p>
        </c:rich>
      </c:tx>
      <c:layout>
        <c:manualLayout>
          <c:xMode val="edge"/>
          <c:yMode val="edge"/>
          <c:x val="0.30493202923637203"/>
          <c:y val="1.5704750687082842E-2"/>
        </c:manualLayout>
      </c:layout>
      <c:overlay val="0"/>
      <c:spPr>
        <a:solidFill>
          <a:sysClr val="window" lastClr="FFFFFF"/>
        </a:solid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531742446002603"/>
          <c:y val="9.0176808467000574E-2"/>
          <c:w val="0.80294045715217399"/>
          <c:h val="0.78214745884037218"/>
        </c:manualLayout>
      </c:layout>
      <c:scatterChart>
        <c:scatterStyle val="lineMarker"/>
        <c:varyColors val="0"/>
        <c:ser>
          <c:idx val="0"/>
          <c:order val="0"/>
          <c:tx>
            <c:strRef>
              <c:f>'Reference Curves'!$AA$82</c:f>
              <c:strCache>
                <c:ptCount val="1"/>
                <c:pt idx="0">
                  <c:v>High</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18957941896895691"/>
                  <c:y val="1.1054322470645955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1">
                          <a:lumMod val="75000"/>
                        </a:schemeClr>
                      </a:solidFill>
                      <a:latin typeface="+mn-lt"/>
                      <a:ea typeface="+mn-ea"/>
                      <a:cs typeface="+mn-cs"/>
                    </a:defRPr>
                  </a:pPr>
                  <a:endParaRPr lang="en-US"/>
                </a:p>
              </c:txPr>
            </c:trendlineLbl>
          </c:trendline>
          <c:xVal>
            <c:numRef>
              <c:f>'Reference Curves'!$AB$82:$AG$82</c:f>
              <c:numCache>
                <c:formatCode>General</c:formatCode>
                <c:ptCount val="6"/>
                <c:pt idx="2">
                  <c:v>5</c:v>
                </c:pt>
                <c:pt idx="4">
                  <c:v>25</c:v>
                </c:pt>
                <c:pt idx="5">
                  <c:v>40</c:v>
                </c:pt>
              </c:numCache>
            </c:numRef>
          </c:xVal>
          <c:yVal>
            <c:numRef>
              <c:f>'Reference Curves'!$AB$85:$AG$85</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1-B474-4013-BC78-4D06A7011F8D}"/>
            </c:ext>
          </c:extLst>
        </c:ser>
        <c:ser>
          <c:idx val="1"/>
          <c:order val="1"/>
          <c:tx>
            <c:strRef>
              <c:f>'Reference Curves'!$AA$83</c:f>
              <c:strCache>
                <c:ptCount val="1"/>
                <c:pt idx="0">
                  <c:v>Moderate</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4298228717680181"/>
                  <c:y val="7.9385351533153806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lumMod val="75000"/>
                        </a:schemeClr>
                      </a:solidFill>
                      <a:latin typeface="+mn-lt"/>
                      <a:ea typeface="+mn-ea"/>
                      <a:cs typeface="+mn-cs"/>
                    </a:defRPr>
                  </a:pPr>
                  <a:endParaRPr lang="en-US"/>
                </a:p>
              </c:txPr>
            </c:trendlineLbl>
          </c:trendline>
          <c:xVal>
            <c:numRef>
              <c:f>'Reference Curves'!$AB$83:$AG$83</c:f>
              <c:numCache>
                <c:formatCode>General</c:formatCode>
                <c:ptCount val="6"/>
                <c:pt idx="2">
                  <c:v>10</c:v>
                </c:pt>
                <c:pt idx="4">
                  <c:v>50</c:v>
                </c:pt>
                <c:pt idx="5">
                  <c:v>80</c:v>
                </c:pt>
              </c:numCache>
            </c:numRef>
          </c:xVal>
          <c:yVal>
            <c:numRef>
              <c:f>'Reference Curves'!$AB$85:$AG$85</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3-B474-4013-BC78-4D06A7011F8D}"/>
            </c:ext>
          </c:extLst>
        </c:ser>
        <c:ser>
          <c:idx val="2"/>
          <c:order val="2"/>
          <c:tx>
            <c:strRef>
              <c:f>'Reference Curves'!$AA$84</c:f>
              <c:strCache>
                <c:ptCount val="1"/>
                <c:pt idx="0">
                  <c:v>Low</c:v>
                </c:pt>
              </c:strCache>
            </c:strRef>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1"/>
            <c:trendlineLbl>
              <c:layout>
                <c:manualLayout>
                  <c:x val="0.23829516143232768"/>
                  <c:y val="1.1054322470645955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bg1">
                          <a:lumMod val="65000"/>
                        </a:schemeClr>
                      </a:solidFill>
                      <a:latin typeface="+mn-lt"/>
                      <a:ea typeface="+mn-ea"/>
                      <a:cs typeface="+mn-cs"/>
                    </a:defRPr>
                  </a:pPr>
                  <a:endParaRPr lang="en-US"/>
                </a:p>
              </c:txPr>
            </c:trendlineLbl>
          </c:trendline>
          <c:xVal>
            <c:numRef>
              <c:f>'Reference Curves'!$AB$84:$AG$84</c:f>
              <c:numCache>
                <c:formatCode>General</c:formatCode>
                <c:ptCount val="6"/>
                <c:pt idx="2">
                  <c:v>15</c:v>
                </c:pt>
                <c:pt idx="4">
                  <c:v>75</c:v>
                </c:pt>
                <c:pt idx="5">
                  <c:v>119</c:v>
                </c:pt>
              </c:numCache>
            </c:numRef>
          </c:xVal>
          <c:yVal>
            <c:numRef>
              <c:f>'Reference Curves'!$AB$85:$AG$85</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5-B474-4013-BC78-4D06A7011F8D}"/>
            </c:ext>
          </c:extLst>
        </c:ser>
        <c:dLbls>
          <c:showLegendKey val="0"/>
          <c:showVal val="0"/>
          <c:showCatName val="0"/>
          <c:showSerName val="0"/>
          <c:showPercent val="0"/>
          <c:showBubbleSize val="0"/>
        </c:dLbls>
        <c:axId val="443891272"/>
        <c:axId val="443891664"/>
      </c:scatterChart>
      <c:valAx>
        <c:axId val="443891272"/>
        <c:scaling>
          <c:orientation val="minMax"/>
          <c:max val="18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a:t>
                </a:r>
              </a:p>
            </c:rich>
          </c:tx>
          <c:layout>
            <c:manualLayout>
              <c:xMode val="edge"/>
              <c:yMode val="edge"/>
              <c:x val="0.41197790200050743"/>
              <c:y val="0.9406604377346752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891664"/>
        <c:crosses val="autoZero"/>
        <c:crossBetween val="midCat"/>
        <c:majorUnit val="20"/>
      </c:valAx>
      <c:valAx>
        <c:axId val="443891664"/>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layout>
            <c:manualLayout>
              <c:xMode val="edge"/>
              <c:yMode val="edge"/>
              <c:x val="6.2695914447886778E-3"/>
              <c:y val="0.44191549178882283"/>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891272"/>
        <c:crosses val="autoZero"/>
        <c:crossBetween val="midCat"/>
      </c:valAx>
      <c:spPr>
        <a:noFill/>
        <a:ln>
          <a:noFill/>
        </a:ln>
        <a:effectLst/>
      </c:spPr>
    </c:plotArea>
    <c:legend>
      <c:legendPos val="r"/>
      <c:layout>
        <c:manualLayout>
          <c:xMode val="edge"/>
          <c:yMode val="edge"/>
          <c:x val="0.54665749091249871"/>
          <c:y val="0.58919862673437284"/>
          <c:w val="0.37565570579276308"/>
          <c:h val="0.10442758410541382"/>
        </c:manualLayout>
      </c:layout>
      <c:overlay val="0"/>
      <c:spPr>
        <a:solidFill>
          <a:schemeClr val="bg1"/>
        </a:solidFill>
        <a:ln>
          <a:solidFill>
            <a:schemeClr val="bg1">
              <a:lumMod val="85000"/>
            </a:schemeClr>
          </a:solid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Flow Alteration Module - ALL METRICS</a:t>
            </a:r>
            <a:endParaRPr lang="en-US"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588566788026699"/>
          <c:y val="0.10411228070175439"/>
          <c:w val="0.8270692968211919"/>
          <c:h val="0.75217328360270752"/>
        </c:manualLayout>
      </c:layout>
      <c:scatterChart>
        <c:scatterStyle val="lineMarker"/>
        <c:varyColors val="0"/>
        <c:ser>
          <c:idx val="0"/>
          <c:order val="0"/>
          <c:tx>
            <c:v>Rising limb</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14998357667409162"/>
                  <c:y val="6.7014852695053723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Curves'!$C$312:$H$312</c:f>
              <c:numCache>
                <c:formatCode>General</c:formatCode>
                <c:ptCount val="6"/>
                <c:pt idx="0">
                  <c:v>0</c:v>
                </c:pt>
                <c:pt idx="5">
                  <c:v>0.9</c:v>
                </c:pt>
              </c:numCache>
            </c:numRef>
          </c:xVal>
          <c:yVal>
            <c:numRef>
              <c:f>'Reference Curves'!$C$314:$H$314</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1-EF21-48F4-9435-9B107BA97BB8}"/>
            </c:ext>
          </c:extLst>
        </c:ser>
        <c:ser>
          <c:idx val="1"/>
          <c:order val="1"/>
          <c:tx>
            <c:v>Falling Limb</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1.7709819771219083E-2"/>
                  <c:y val="-0.5422674079849382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Curves'!$C$313:$H$313</c:f>
              <c:numCache>
                <c:formatCode>General</c:formatCode>
                <c:ptCount val="6"/>
                <c:pt idx="0">
                  <c:v>2</c:v>
                </c:pt>
                <c:pt idx="5">
                  <c:v>1.1000000000000001</c:v>
                </c:pt>
              </c:numCache>
            </c:numRef>
          </c:xVal>
          <c:yVal>
            <c:numRef>
              <c:f>'Reference Curves'!$C$314:$H$314</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3-EF21-48F4-9435-9B107BA97BB8}"/>
            </c:ext>
          </c:extLst>
        </c:ser>
        <c:ser>
          <c:idx val="2"/>
          <c:order val="2"/>
          <c:tx>
            <c:v>Crest</c:v>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tx1"/>
                </a:solidFill>
                <a:prstDash val="solid"/>
              </a:ln>
              <a:effectLst/>
            </c:spPr>
            <c:trendlineType val="linear"/>
            <c:dispRSqr val="0"/>
            <c:dispEq val="0"/>
          </c:trendline>
          <c:xVal>
            <c:numRef>
              <c:f>'Reference Curves'!$H$312:$H$313</c:f>
              <c:numCache>
                <c:formatCode>General</c:formatCode>
                <c:ptCount val="2"/>
                <c:pt idx="0">
                  <c:v>0.9</c:v>
                </c:pt>
                <c:pt idx="1">
                  <c:v>1.1000000000000001</c:v>
                </c:pt>
              </c:numCache>
            </c:numRef>
          </c:xVal>
          <c:yVal>
            <c:numRef>
              <c:f>('Reference Curves'!$H$314,'Reference Curves'!$H$314)</c:f>
              <c:numCache>
                <c:formatCode>General</c:formatCode>
                <c:ptCount val="2"/>
                <c:pt idx="0">
                  <c:v>1</c:v>
                </c:pt>
                <c:pt idx="1">
                  <c:v>1</c:v>
                </c:pt>
              </c:numCache>
            </c:numRef>
          </c:yVal>
          <c:smooth val="0"/>
          <c:extLst>
            <c:ext xmlns:c16="http://schemas.microsoft.com/office/drawing/2014/chart" uri="{C3380CC4-5D6E-409C-BE32-E72D297353CC}">
              <c16:uniqueId val="{00000004-EF21-48F4-9435-9B107BA97BB8}"/>
            </c:ext>
          </c:extLst>
        </c:ser>
        <c:dLbls>
          <c:showLegendKey val="0"/>
          <c:showVal val="0"/>
          <c:showCatName val="0"/>
          <c:showSerName val="0"/>
          <c:showPercent val="0"/>
          <c:showBubbleSize val="0"/>
        </c:dLbls>
        <c:axId val="443893232"/>
        <c:axId val="443893624"/>
        <c:extLst/>
      </c:scatterChart>
      <c:valAx>
        <c:axId val="443893232"/>
        <c:scaling>
          <c:orientation val="minMax"/>
          <c:max val="2.2000000000000002"/>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a:t>
                </a:r>
                <a:r>
                  <a:rPr lang="en-US" sz="1100" baseline="0"/>
                  <a:t> Value (Ratio)</a:t>
                </a:r>
                <a:endParaRPr lang="en-US" sz="1100"/>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893624"/>
        <c:crosses val="autoZero"/>
        <c:crossBetween val="midCat"/>
      </c:valAx>
      <c:valAx>
        <c:axId val="443893624"/>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a:t>
                </a:r>
                <a:r>
                  <a:rPr lang="en-US" sz="1100" baseline="0"/>
                  <a:t> Value</a:t>
                </a:r>
                <a:endParaRPr lang="en-US" sz="1100"/>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893232"/>
        <c:crosses val="autoZero"/>
        <c:crossBetween val="midCat"/>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Herbaceous Vegetation Cover</a:t>
            </a:r>
            <a:r>
              <a:rPr lang="en-US" baseline="0"/>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928084387367101"/>
          <c:y val="0.11383995627777838"/>
          <c:w val="0.7832709664754508"/>
          <c:h val="0.73757538467374906"/>
        </c:manualLayout>
      </c:layout>
      <c:scatterChart>
        <c:scatterStyle val="lineMarker"/>
        <c:varyColors val="0"/>
        <c:ser>
          <c:idx val="0"/>
          <c:order val="0"/>
          <c:tx>
            <c:strRef>
              <c:f>'Reference Curves'!$J$573</c:f>
              <c:strCache>
                <c:ptCount val="1"/>
                <c:pt idx="0">
                  <c:v>Herbaceous Reference Vegetation Cover</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18019691582873471"/>
                  <c:y val="6.3823062523488253E-2"/>
                </c:manualLayout>
              </c:layout>
              <c:numFmt formatCode="#,##0.00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Curves'!$O$573:$P$573</c:f>
              <c:numCache>
                <c:formatCode>General</c:formatCode>
                <c:ptCount val="2"/>
                <c:pt idx="0">
                  <c:v>73</c:v>
                </c:pt>
                <c:pt idx="1">
                  <c:v>120</c:v>
                </c:pt>
              </c:numCache>
            </c:numRef>
          </c:xVal>
          <c:yVal>
            <c:numRef>
              <c:f>'Reference Curves'!$O$574:$P$574</c:f>
              <c:numCache>
                <c:formatCode>General</c:formatCode>
                <c:ptCount val="2"/>
                <c:pt idx="0">
                  <c:v>0.7</c:v>
                </c:pt>
                <c:pt idx="1">
                  <c:v>1</c:v>
                </c:pt>
              </c:numCache>
            </c:numRef>
          </c:yVal>
          <c:smooth val="0"/>
          <c:extLst>
            <c:ext xmlns:c16="http://schemas.microsoft.com/office/drawing/2014/chart" uri="{C3380CC4-5D6E-409C-BE32-E72D297353CC}">
              <c16:uniqueId val="{00000001-10D3-4C59-8971-E3636C93B379}"/>
            </c:ext>
          </c:extLst>
        </c:ser>
        <c:ser>
          <c:idx val="1"/>
          <c:order val="1"/>
          <c:tx>
            <c:strRef>
              <c:f>'Reference Curves'!$J$573</c:f>
              <c:strCache>
                <c:ptCount val="1"/>
                <c:pt idx="0">
                  <c:v>Herbaceous Reference Vegetation Cover</c:v>
                </c:pt>
              </c:strCache>
            </c:strRef>
          </c:tx>
          <c:spPr>
            <a:ln w="25400" cap="rnd">
              <a:noFill/>
              <a:round/>
            </a:ln>
            <a:effectLst/>
          </c:spPr>
          <c:marker>
            <c:symbol val="circle"/>
            <c:size val="5"/>
            <c:spPr>
              <a:solidFill>
                <a:schemeClr val="accent2"/>
              </a:solidFill>
              <a:ln w="9525">
                <a:noFill/>
              </a:ln>
              <a:effectLst/>
            </c:spPr>
          </c:marker>
          <c:trendline>
            <c:spPr>
              <a:ln w="19050" cap="rnd">
                <a:solidFill>
                  <a:schemeClr val="accent2"/>
                </a:solidFill>
                <a:prstDash val="sysDot"/>
              </a:ln>
              <a:effectLst/>
            </c:spPr>
            <c:trendlineType val="linear"/>
            <c:dispRSqr val="0"/>
            <c:dispEq val="1"/>
            <c:trendlineLbl>
              <c:layout>
                <c:manualLayout>
                  <c:x val="0.15996754422317708"/>
                  <c:y val="0.26175977199952105"/>
                </c:manualLayout>
              </c:layout>
              <c:numFmt formatCode="#,##0.0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Curves'!$K$573:$O$573</c:f>
              <c:numCache>
                <c:formatCode>General</c:formatCode>
                <c:ptCount val="5"/>
                <c:pt idx="0">
                  <c:v>34</c:v>
                </c:pt>
                <c:pt idx="4">
                  <c:v>73</c:v>
                </c:pt>
              </c:numCache>
            </c:numRef>
          </c:xVal>
          <c:yVal>
            <c:numRef>
              <c:f>'Reference Curves'!$K$574:$O$574</c:f>
              <c:numCache>
                <c:formatCode>General</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1-18DC-4DB2-8A54-80B9761BB235}"/>
            </c:ext>
          </c:extLst>
        </c:ser>
        <c:dLbls>
          <c:showLegendKey val="0"/>
          <c:showVal val="0"/>
          <c:showCatName val="0"/>
          <c:showSerName val="0"/>
          <c:showPercent val="0"/>
          <c:showBubbleSize val="0"/>
        </c:dLbls>
        <c:axId val="443886568"/>
        <c:axId val="443820440"/>
      </c:scatterChart>
      <c:valAx>
        <c:axId val="443886568"/>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820440"/>
        <c:crosses val="autoZero"/>
        <c:crossBetween val="midCat"/>
      </c:valAx>
      <c:valAx>
        <c:axId val="44382044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88656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a:t>Woody Vegetation Cover</a:t>
            </a:r>
            <a:r>
              <a:rPr lang="en-US" sz="1400" baseline="0"/>
              <a:t> (%) </a:t>
            </a:r>
          </a:p>
          <a:p>
            <a:pPr>
              <a:defRPr/>
            </a:pPr>
            <a:r>
              <a:rPr lang="en-US" sz="1400" baseline="0"/>
              <a:t>Mountains and Basins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488152952420112"/>
          <c:y val="0.13953577969898315"/>
          <c:w val="0.84596459290663495"/>
          <c:h val="0.73259244779879329"/>
        </c:manualLayout>
      </c:layout>
      <c:scatterChart>
        <c:scatterStyle val="lineMarker"/>
        <c:varyColors val="0"/>
        <c:ser>
          <c:idx val="0"/>
          <c:order val="0"/>
          <c:tx>
            <c:strRef>
              <c:f>'Reference Curves'!$J$507</c:f>
              <c:strCache>
                <c:ptCount val="1"/>
                <c:pt idx="0">
                  <c:v>Mountains &amp; Basins</c:v>
                </c:pt>
              </c:strCache>
            </c:strRef>
          </c:tx>
          <c:spPr>
            <a:ln w="25400" cap="rnd">
              <a:noFill/>
              <a:round/>
            </a:ln>
            <a:effectLst/>
          </c:spPr>
          <c:marker>
            <c:symbol val="circle"/>
            <c:size val="5"/>
            <c:spPr>
              <a:solidFill>
                <a:schemeClr val="accent5"/>
              </a:solidFill>
              <a:ln w="9525">
                <a:solidFill>
                  <a:schemeClr val="accent5"/>
                </a:solidFill>
              </a:ln>
              <a:effectLst/>
            </c:spPr>
          </c:marker>
          <c:trendline>
            <c:spPr>
              <a:ln w="19050" cap="rnd">
                <a:solidFill>
                  <a:schemeClr val="accent1"/>
                </a:solidFill>
                <a:prstDash val="sysDot"/>
              </a:ln>
              <a:effectLst/>
            </c:spPr>
            <c:trendlineType val="poly"/>
            <c:order val="3"/>
            <c:dispRSqr val="0"/>
            <c:dispEq val="1"/>
            <c:trendlineLbl>
              <c:layout>
                <c:manualLayout>
                  <c:x val="0.10544174680279271"/>
                  <c:y val="0.40906863876294125"/>
                </c:manualLayout>
              </c:layout>
              <c:numFmt formatCode="#,##0.000000"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Curves'!$O$507:$P$507</c:f>
              <c:numCache>
                <c:formatCode>General</c:formatCode>
                <c:ptCount val="2"/>
                <c:pt idx="0">
                  <c:v>69</c:v>
                </c:pt>
                <c:pt idx="1">
                  <c:v>122</c:v>
                </c:pt>
              </c:numCache>
            </c:numRef>
          </c:xVal>
          <c:yVal>
            <c:numRef>
              <c:f>'Reference Curves'!$O$508:$P$508</c:f>
              <c:numCache>
                <c:formatCode>General</c:formatCode>
                <c:ptCount val="2"/>
                <c:pt idx="0">
                  <c:v>0.7</c:v>
                </c:pt>
                <c:pt idx="1">
                  <c:v>1</c:v>
                </c:pt>
              </c:numCache>
            </c:numRef>
          </c:yVal>
          <c:smooth val="0"/>
          <c:extLst>
            <c:ext xmlns:c16="http://schemas.microsoft.com/office/drawing/2014/chart" uri="{C3380CC4-5D6E-409C-BE32-E72D297353CC}">
              <c16:uniqueId val="{00000001-7CDC-4922-9C91-A89B7E2D2440}"/>
            </c:ext>
          </c:extLst>
        </c:ser>
        <c:ser>
          <c:idx val="1"/>
          <c:order val="1"/>
          <c:tx>
            <c:strRef>
              <c:f>'Reference Curves'!$J$507</c:f>
              <c:strCache>
                <c:ptCount val="1"/>
                <c:pt idx="0">
                  <c:v>Mountains &amp; Basins</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7890750840202746"/>
                  <c:y val="0.11997181723582018"/>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Curves'!$K$507:$O$507</c:f>
              <c:numCache>
                <c:formatCode>General</c:formatCode>
                <c:ptCount val="5"/>
                <c:pt idx="0">
                  <c:v>0</c:v>
                </c:pt>
                <c:pt idx="4">
                  <c:v>69</c:v>
                </c:pt>
              </c:numCache>
            </c:numRef>
          </c:xVal>
          <c:yVal>
            <c:numRef>
              <c:f>'Reference Curves'!$K$508:$O$508</c:f>
              <c:numCache>
                <c:formatCode>General</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1-6EFE-4E58-BF9E-B7A1576075CC}"/>
            </c:ext>
          </c:extLst>
        </c:ser>
        <c:dLbls>
          <c:showLegendKey val="0"/>
          <c:showVal val="0"/>
          <c:showCatName val="0"/>
          <c:showSerName val="0"/>
          <c:showPercent val="0"/>
          <c:showBubbleSize val="0"/>
        </c:dLbls>
        <c:axId val="443821224"/>
        <c:axId val="443823576"/>
      </c:scatterChart>
      <c:valAx>
        <c:axId val="443821224"/>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823576"/>
        <c:crosses val="autoZero"/>
        <c:crossBetween val="midCat"/>
      </c:valAx>
      <c:valAx>
        <c:axId val="44382357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82122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a:t>Big Four Parameters - Condition</a:t>
            </a:r>
            <a:r>
              <a:rPr lang="en-US" sz="2000" baseline="0"/>
              <a:t> Score Tracking</a:t>
            </a:r>
            <a:endParaRPr lang="en-US" sz="2000"/>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4"/>
          <c:order val="0"/>
          <c:tx>
            <c:strRef>
              <c:f>'Data Summary'!$B$7</c:f>
              <c:strCache>
                <c:ptCount val="1"/>
                <c:pt idx="0">
                  <c:v>Floodplain Connectivity</c:v>
                </c:pt>
              </c:strCache>
            </c:strRef>
          </c:tx>
          <c:spPr>
            <a:ln w="19050" cap="rnd">
              <a:solidFill>
                <a:schemeClr val="accent5"/>
              </a:solidFill>
              <a:prstDash val="dash"/>
              <a:round/>
            </a:ln>
            <a:effectLst/>
          </c:spPr>
          <c:marker>
            <c:symbol val="none"/>
          </c:marker>
          <c:xVal>
            <c:numRef>
              <c:f>'Data Summary'!$F$4:$O$4</c:f>
            </c:numRef>
          </c:xVal>
          <c:yVal>
            <c:numRef>
              <c:f>'Data Summary'!$F$7:$O$7</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4-92C8-4EBD-977B-3E233368AC59}"/>
            </c:ext>
          </c:extLst>
        </c:ser>
        <c:ser>
          <c:idx val="5"/>
          <c:order val="1"/>
          <c:tx>
            <c:strRef>
              <c:f>'Data Summary'!$B$9</c:f>
              <c:strCache>
                <c:ptCount val="1"/>
                <c:pt idx="0">
                  <c:v>Lateral Migration</c:v>
                </c:pt>
              </c:strCache>
            </c:strRef>
          </c:tx>
          <c:spPr>
            <a:ln w="19050" cap="rnd">
              <a:solidFill>
                <a:srgbClr val="FF0000"/>
              </a:solidFill>
              <a:prstDash val="dash"/>
              <a:round/>
            </a:ln>
            <a:effectLst/>
          </c:spPr>
          <c:marker>
            <c:symbol val="none"/>
          </c:marker>
          <c:xVal>
            <c:numRef>
              <c:f>'Data Summary'!$F$4:$O$4</c:f>
            </c:numRef>
          </c:xVal>
          <c:yVal>
            <c:numRef>
              <c:f>'Data Summary'!$F$9:$O$9</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5-92C8-4EBD-977B-3E233368AC59}"/>
            </c:ext>
          </c:extLst>
        </c:ser>
        <c:ser>
          <c:idx val="6"/>
          <c:order val="2"/>
          <c:tx>
            <c:strRef>
              <c:f>'Data Summary'!$B$11</c:f>
              <c:strCache>
                <c:ptCount val="1"/>
                <c:pt idx="0">
                  <c:v>Riparian Vegetation</c:v>
                </c:pt>
              </c:strCache>
            </c:strRef>
          </c:tx>
          <c:spPr>
            <a:ln w="19050" cap="rnd">
              <a:solidFill>
                <a:srgbClr val="92D050"/>
              </a:solidFill>
              <a:prstDash val="dash"/>
              <a:round/>
            </a:ln>
            <a:effectLst/>
          </c:spPr>
          <c:marker>
            <c:symbol val="none"/>
          </c:marker>
          <c:xVal>
            <c:numRef>
              <c:f>'Data Summary'!$F$4:$O$4</c:f>
            </c:numRef>
          </c:xVal>
          <c:yVal>
            <c:numRef>
              <c:f>'Data Summary'!$F$11:$O$11</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6-92C8-4EBD-977B-3E233368AC59}"/>
            </c:ext>
          </c:extLst>
        </c:ser>
        <c:ser>
          <c:idx val="7"/>
          <c:order val="3"/>
          <c:tx>
            <c:strRef>
              <c:f>'Data Summary'!$B$10</c:f>
              <c:strCache>
                <c:ptCount val="1"/>
                <c:pt idx="0">
                  <c:v>Bed Form Diversity</c:v>
                </c:pt>
              </c:strCache>
            </c:strRef>
          </c:tx>
          <c:spPr>
            <a:ln w="19050" cap="rnd">
              <a:solidFill>
                <a:srgbClr val="FFC000"/>
              </a:solidFill>
              <a:prstDash val="dash"/>
              <a:round/>
            </a:ln>
            <a:effectLst/>
          </c:spPr>
          <c:marker>
            <c:symbol val="none"/>
          </c:marker>
          <c:xVal>
            <c:numRef>
              <c:f>'Data Summary'!$F$4:$O$4</c:f>
            </c:numRef>
          </c:xVal>
          <c:yVal>
            <c:numRef>
              <c:f>'Data Summary'!$F$10:$O$10</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7-92C8-4EBD-977B-3E233368AC59}"/>
            </c:ext>
          </c:extLst>
        </c:ser>
        <c:ser>
          <c:idx val="0"/>
          <c:order val="4"/>
          <c:tx>
            <c:v>Monitoring Data</c:v>
          </c:tx>
          <c:spPr>
            <a:ln w="28575" cap="rnd">
              <a:solidFill>
                <a:schemeClr val="tx1"/>
              </a:solidFill>
              <a:round/>
            </a:ln>
            <a:effectLst/>
          </c:spPr>
          <c:marker>
            <c:symbol val="none"/>
          </c:marker>
          <c:xVal>
            <c:numRef>
              <c:f>'Data Summary'!$F$21:$O$21</c:f>
            </c:numRef>
          </c:xVal>
          <c:yVal>
            <c:numRef>
              <c:f>'Data Summary'!$F$26:$O$26</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3-92C8-4EBD-977B-3E233368AC59}"/>
            </c:ext>
          </c:extLst>
        </c:ser>
        <c:dLbls>
          <c:showLegendKey val="0"/>
          <c:showVal val="0"/>
          <c:showCatName val="0"/>
          <c:showSerName val="0"/>
          <c:showPercent val="0"/>
          <c:showBubbleSize val="0"/>
        </c:dLbls>
        <c:axId val="419250024"/>
        <c:axId val="419254336"/>
      </c:scatterChart>
      <c:valAx>
        <c:axId val="419250024"/>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Monitoring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19254336"/>
        <c:crosses val="autoZero"/>
        <c:crossBetween val="midCat"/>
      </c:valAx>
      <c:valAx>
        <c:axId val="419254336"/>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Condition Score</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1925002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 of LWD </a:t>
            </a:r>
            <a:r>
              <a:rPr lang="en-US" baseline="0"/>
              <a:t>Pieces / 100 Meters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6704454114581895E-2"/>
          <c:y val="0.11420882693026213"/>
          <c:w val="0.85243221218007825"/>
          <c:h val="0.75293799341135759"/>
        </c:manualLayout>
      </c:layout>
      <c:scatterChart>
        <c:scatterStyle val="lineMarker"/>
        <c:varyColors val="0"/>
        <c:ser>
          <c:idx val="0"/>
          <c:order val="0"/>
          <c:tx>
            <c:strRef>
              <c:f>'Reference Curves'!$K$46</c:f>
              <c:strCache>
                <c:ptCount val="1"/>
                <c:pt idx="0">
                  <c:v>NF/FAR</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3"/>
            <c:dispRSqr val="0"/>
            <c:dispEq val="1"/>
            <c:trendlineLbl>
              <c:layout>
                <c:manualLayout>
                  <c:x val="6.4920775062976485E-2"/>
                  <c:y val="0.19305966081189951"/>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Curves'!$K$43:$O$43</c:f>
              <c:numCache>
                <c:formatCode>General</c:formatCode>
                <c:ptCount val="5"/>
                <c:pt idx="0">
                  <c:v>0</c:v>
                </c:pt>
                <c:pt idx="4">
                  <c:v>13</c:v>
                </c:pt>
              </c:numCache>
            </c:numRef>
          </c:xVal>
          <c:yVal>
            <c:numRef>
              <c:f>'Reference Curves'!$K$44:$O$44</c:f>
              <c:numCache>
                <c:formatCode>General</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1-87EE-4953-ABFC-8573E61609C8}"/>
            </c:ext>
          </c:extLst>
        </c:ser>
        <c:ser>
          <c:idx val="1"/>
          <c:order val="1"/>
          <c:tx>
            <c:strRef>
              <c:f>'Reference Curves'!$L$46</c:f>
              <c:strCache>
                <c:ptCount val="1"/>
                <c:pt idx="0">
                  <c:v>F</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poly"/>
            <c:order val="2"/>
            <c:dispRSqr val="0"/>
            <c:dispEq val="1"/>
            <c:trendlineLbl>
              <c:layout>
                <c:manualLayout>
                  <c:x val="-0.17597629193309464"/>
                  <c:y val="4.7631134502026584E-3"/>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Curves'!$O$43:$P$43</c:f>
              <c:numCache>
                <c:formatCode>General</c:formatCode>
                <c:ptCount val="2"/>
                <c:pt idx="0">
                  <c:v>13</c:v>
                </c:pt>
                <c:pt idx="1">
                  <c:v>28</c:v>
                </c:pt>
              </c:numCache>
            </c:numRef>
          </c:xVal>
          <c:yVal>
            <c:numRef>
              <c:f>'Reference Curves'!$O$44:$P$44</c:f>
              <c:numCache>
                <c:formatCode>General</c:formatCode>
                <c:ptCount val="2"/>
                <c:pt idx="0">
                  <c:v>0.7</c:v>
                </c:pt>
                <c:pt idx="1">
                  <c:v>1</c:v>
                </c:pt>
              </c:numCache>
            </c:numRef>
          </c:yVal>
          <c:smooth val="0"/>
          <c:extLst>
            <c:ext xmlns:c16="http://schemas.microsoft.com/office/drawing/2014/chart" uri="{C3380CC4-5D6E-409C-BE32-E72D297353CC}">
              <c16:uniqueId val="{00000003-87EE-4953-ABFC-8573E61609C8}"/>
            </c:ext>
          </c:extLst>
        </c:ser>
        <c:dLbls>
          <c:showLegendKey val="0"/>
          <c:showVal val="0"/>
          <c:showCatName val="0"/>
          <c:showSerName val="0"/>
          <c:showPercent val="0"/>
          <c:showBubbleSize val="0"/>
        </c:dLbls>
        <c:axId val="443819656"/>
        <c:axId val="443819264"/>
      </c:scatterChart>
      <c:valAx>
        <c:axId val="443819656"/>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a:t>
                </a:r>
                <a:r>
                  <a:rPr lang="en-US" sz="1100" baseline="0"/>
                  <a:t> Value (Pieces per 100 m)</a:t>
                </a:r>
                <a:endParaRPr lang="en-US" sz="1100"/>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819264"/>
        <c:crosses val="autoZero"/>
        <c:crossBetween val="midCat"/>
      </c:valAx>
      <c:valAx>
        <c:axId val="443819264"/>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a:t>
                </a:r>
                <a:r>
                  <a:rPr lang="en-US" sz="1100" baseline="0"/>
                  <a:t> Value</a:t>
                </a:r>
                <a:endParaRPr lang="en-US" sz="1100"/>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81965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Greenline</a:t>
            </a:r>
            <a:r>
              <a:rPr lang="en-US" sz="1600" baseline="0"/>
              <a:t> Stability Rating</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FAR/F</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3"/>
            <c:dispRSqr val="0"/>
            <c:dispEq val="1"/>
            <c:trendlineLbl>
              <c:layout>
                <c:manualLayout>
                  <c:x val="-0.17365394150588354"/>
                  <c:y val="8.1609108219992899E-2"/>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Curves'!$M$78:$P$78</c:f>
              <c:numCache>
                <c:formatCode>General</c:formatCode>
                <c:ptCount val="4"/>
                <c:pt idx="0">
                  <c:v>5</c:v>
                </c:pt>
                <c:pt idx="2">
                  <c:v>7</c:v>
                </c:pt>
                <c:pt idx="3">
                  <c:v>9</c:v>
                </c:pt>
              </c:numCache>
            </c:numRef>
          </c:xVal>
          <c:yVal>
            <c:numRef>
              <c:f>'Reference Curves'!$M$79:$P$79</c:f>
              <c:numCache>
                <c:formatCode>General</c:formatCode>
                <c:ptCount val="4"/>
                <c:pt idx="0">
                  <c:v>0.3</c:v>
                </c:pt>
                <c:pt idx="1">
                  <c:v>0.69</c:v>
                </c:pt>
                <c:pt idx="2">
                  <c:v>0.7</c:v>
                </c:pt>
                <c:pt idx="3">
                  <c:v>1</c:v>
                </c:pt>
              </c:numCache>
            </c:numRef>
          </c:yVal>
          <c:smooth val="0"/>
          <c:extLst>
            <c:ext xmlns:c16="http://schemas.microsoft.com/office/drawing/2014/chart" uri="{C3380CC4-5D6E-409C-BE32-E72D297353CC}">
              <c16:uniqueId val="{00000001-D27E-4F7D-9FC4-79B9E1465D8E}"/>
            </c:ext>
          </c:extLst>
        </c:ser>
        <c:ser>
          <c:idx val="1"/>
          <c:order val="1"/>
          <c:tx>
            <c:v>NF</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0064421672161174"/>
                  <c:y val="-2.714011281486093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Curves'!$K$78:$M$78</c:f>
              <c:numCache>
                <c:formatCode>General</c:formatCode>
                <c:ptCount val="3"/>
                <c:pt idx="0">
                  <c:v>2</c:v>
                </c:pt>
                <c:pt idx="2">
                  <c:v>5</c:v>
                </c:pt>
              </c:numCache>
            </c:numRef>
          </c:xVal>
          <c:yVal>
            <c:numRef>
              <c:f>'Reference Curves'!$K$79:$M$79</c:f>
              <c:numCache>
                <c:formatCode>General</c:formatCode>
                <c:ptCount val="3"/>
                <c:pt idx="0">
                  <c:v>0</c:v>
                </c:pt>
                <c:pt idx="1">
                  <c:v>0.28999999999999998</c:v>
                </c:pt>
                <c:pt idx="2">
                  <c:v>0.3</c:v>
                </c:pt>
              </c:numCache>
            </c:numRef>
          </c:yVal>
          <c:smooth val="0"/>
          <c:extLst>
            <c:ext xmlns:c16="http://schemas.microsoft.com/office/drawing/2014/chart" uri="{C3380CC4-5D6E-409C-BE32-E72D297353CC}">
              <c16:uniqueId val="{00000001-29ED-4D95-897D-020A95BB0D45}"/>
            </c:ext>
          </c:extLst>
        </c:ser>
        <c:dLbls>
          <c:showLegendKey val="0"/>
          <c:showVal val="0"/>
          <c:showCatName val="0"/>
          <c:showSerName val="0"/>
          <c:showPercent val="0"/>
          <c:showBubbleSize val="0"/>
        </c:dLbls>
        <c:axId val="443818480"/>
        <c:axId val="443818872"/>
      </c:scatterChart>
      <c:valAx>
        <c:axId val="443818480"/>
        <c:scaling>
          <c:orientation val="minMax"/>
          <c:max val="1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(Stability Rating)</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818872"/>
        <c:crosses val="autoZero"/>
        <c:crossBetween val="midCat"/>
      </c:valAx>
      <c:valAx>
        <c:axId val="443818872"/>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81848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a:t>Woody Vegetation Cover</a:t>
            </a:r>
            <a:r>
              <a:rPr lang="en-US" sz="1400" baseline="0"/>
              <a:t> (%) </a:t>
            </a:r>
          </a:p>
          <a:p>
            <a:pPr>
              <a:defRPr/>
            </a:pPr>
            <a:r>
              <a:rPr lang="en-US" sz="1400" baseline="0"/>
              <a:t>Plains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488152952420112"/>
          <c:y val="0.13953577969898315"/>
          <c:w val="0.84596459290663495"/>
          <c:h val="0.73259244779879329"/>
        </c:manualLayout>
      </c:layout>
      <c:scatterChart>
        <c:scatterStyle val="lineMarker"/>
        <c:varyColors val="0"/>
        <c:ser>
          <c:idx val="0"/>
          <c:order val="0"/>
          <c:tx>
            <c:v>Plains - Rising Limb</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9.9091486140713975E-2"/>
                  <c:y val="6.5730568072814494E-2"/>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Curves'!$K$541:$P$541</c:f>
              <c:numCache>
                <c:formatCode>0</c:formatCode>
                <c:ptCount val="6"/>
                <c:pt idx="0">
                  <c:v>0</c:v>
                </c:pt>
                <c:pt idx="5">
                  <c:v>69</c:v>
                </c:pt>
              </c:numCache>
            </c:numRef>
          </c:xVal>
          <c:yVal>
            <c:numRef>
              <c:f>'Reference Curves'!$K$543:$P$543</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1-3992-4638-8CCB-E5B1E32B562F}"/>
            </c:ext>
          </c:extLst>
        </c:ser>
        <c:ser>
          <c:idx val="1"/>
          <c:order val="1"/>
          <c:tx>
            <c:v>Plains - Falling Limb</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poly"/>
            <c:order val="2"/>
            <c:forward val="13"/>
            <c:dispRSqr val="0"/>
            <c:dispEq val="1"/>
            <c:trendlineLbl>
              <c:layout>
                <c:manualLayout>
                  <c:x val="3.9972693299867863E-2"/>
                  <c:y val="-0.59088207513555246"/>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Curves'!$K$542:$P$542</c:f>
              <c:numCache>
                <c:formatCode>0</c:formatCode>
                <c:ptCount val="6"/>
                <c:pt idx="1">
                  <c:v>101</c:v>
                </c:pt>
                <c:pt idx="5">
                  <c:v>76</c:v>
                </c:pt>
              </c:numCache>
            </c:numRef>
          </c:xVal>
          <c:yVal>
            <c:numRef>
              <c:f>'Reference Curves'!$K$543:$P$543</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3-3992-4638-8CCB-E5B1E32B562F}"/>
            </c:ext>
          </c:extLst>
        </c:ser>
        <c:ser>
          <c:idx val="2"/>
          <c:order val="2"/>
          <c:tx>
            <c:v>Crest</c:v>
          </c:tx>
          <c:spPr>
            <a:ln w="31750" cap="rnd">
              <a:solidFill>
                <a:schemeClr val="tx1"/>
              </a:solidFill>
              <a:prstDash val="sysDash"/>
              <a:round/>
            </a:ln>
            <a:effectLst/>
          </c:spPr>
          <c:marker>
            <c:symbol val="none"/>
          </c:marker>
          <c:xVal>
            <c:numRef>
              <c:f>'Reference Curves'!$P$541:$P$542</c:f>
              <c:numCache>
                <c:formatCode>0</c:formatCode>
                <c:ptCount val="2"/>
                <c:pt idx="0">
                  <c:v>69</c:v>
                </c:pt>
                <c:pt idx="1">
                  <c:v>76</c:v>
                </c:pt>
              </c:numCache>
            </c:numRef>
          </c:xVal>
          <c:yVal>
            <c:numRef>
              <c:f>('Reference Curves'!$P$543,'Reference Curves'!$P$543)</c:f>
              <c:numCache>
                <c:formatCode>General</c:formatCode>
                <c:ptCount val="2"/>
                <c:pt idx="0">
                  <c:v>1</c:v>
                </c:pt>
                <c:pt idx="1">
                  <c:v>1</c:v>
                </c:pt>
              </c:numCache>
            </c:numRef>
          </c:yVal>
          <c:smooth val="0"/>
          <c:extLst>
            <c:ext xmlns:c16="http://schemas.microsoft.com/office/drawing/2014/chart" uri="{C3380CC4-5D6E-409C-BE32-E72D297353CC}">
              <c16:uniqueId val="{00000007-3992-4638-8CCB-E5B1E32B562F}"/>
            </c:ext>
          </c:extLst>
        </c:ser>
        <c:dLbls>
          <c:showLegendKey val="0"/>
          <c:showVal val="0"/>
          <c:showCatName val="0"/>
          <c:showSerName val="0"/>
          <c:showPercent val="0"/>
          <c:showBubbleSize val="0"/>
        </c:dLbls>
        <c:axId val="443821224"/>
        <c:axId val="443823576"/>
        <c:extLst/>
      </c:scatterChart>
      <c:valAx>
        <c:axId val="443821224"/>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823576"/>
        <c:crosses val="autoZero"/>
        <c:crossBetween val="midCat"/>
      </c:valAx>
      <c:valAx>
        <c:axId val="44382357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82122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Concentrated</a:t>
            </a:r>
            <a:r>
              <a:rPr lang="en-US" baseline="0"/>
              <a:t> Flow Points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'Reference Curves'!$B$40</c:f>
              <c:strCache>
                <c:ptCount val="1"/>
                <c:pt idx="0">
                  <c:v>Field Value</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forward val="2.2000000000000002"/>
            <c:dispRSqr val="0"/>
            <c:dispEq val="1"/>
            <c:trendlineLbl>
              <c:layout>
                <c:manualLayout>
                  <c:x val="-5.8426109047523891E-2"/>
                  <c:y val="-0.32205122564154565"/>
                </c:manualLayout>
              </c:layout>
              <c:numFmt formatCode="#,##0.000"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Curves'!$E$40:$H$40</c:f>
              <c:numCache>
                <c:formatCode>General</c:formatCode>
                <c:ptCount val="4"/>
                <c:pt idx="1">
                  <c:v>1</c:v>
                </c:pt>
                <c:pt idx="3">
                  <c:v>0</c:v>
                </c:pt>
              </c:numCache>
            </c:numRef>
          </c:xVal>
          <c:yVal>
            <c:numRef>
              <c:f>'Reference Curves'!$E$41:$H$41</c:f>
              <c:numCache>
                <c:formatCode>General</c:formatCode>
                <c:ptCount val="4"/>
                <c:pt idx="0">
                  <c:v>0.3</c:v>
                </c:pt>
                <c:pt idx="1">
                  <c:v>0.69</c:v>
                </c:pt>
                <c:pt idx="2">
                  <c:v>0.7</c:v>
                </c:pt>
                <c:pt idx="3">
                  <c:v>1</c:v>
                </c:pt>
              </c:numCache>
            </c:numRef>
          </c:yVal>
          <c:smooth val="0"/>
          <c:extLst>
            <c:ext xmlns:c16="http://schemas.microsoft.com/office/drawing/2014/chart" uri="{C3380CC4-5D6E-409C-BE32-E72D297353CC}">
              <c16:uniqueId val="{00000001-8253-4875-A358-B5F720F62AFA}"/>
            </c:ext>
          </c:extLst>
        </c:ser>
        <c:dLbls>
          <c:showLegendKey val="0"/>
          <c:showVal val="0"/>
          <c:showCatName val="0"/>
          <c:showSerName val="0"/>
          <c:showPercent val="0"/>
          <c:showBubbleSize val="0"/>
        </c:dLbls>
        <c:axId val="443217136"/>
        <c:axId val="443220664"/>
      </c:scatterChart>
      <c:valAx>
        <c:axId val="443217136"/>
        <c:scaling>
          <c:orientation val="minMax"/>
          <c:max val="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 Value (# Points per 1,000 feet)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220664"/>
        <c:crosses val="autoZero"/>
        <c:crossBetween val="midCat"/>
      </c:valAx>
      <c:valAx>
        <c:axId val="443220664"/>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b="0" i="0" baseline="0">
                    <a:effectLst/>
                  </a:rPr>
                  <a:t>Index Value</a:t>
                </a:r>
                <a:endParaRPr lang="en-US" sz="1100">
                  <a:effectLst/>
                </a:endParaRP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21713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Percent Native Cover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928084387367101"/>
          <c:y val="0.11383995627777838"/>
          <c:w val="0.78710276152185865"/>
          <c:h val="0.73757538467374906"/>
        </c:manualLayout>
      </c:layout>
      <c:scatterChart>
        <c:scatterStyle val="lineMarker"/>
        <c:varyColors val="0"/>
        <c:ser>
          <c:idx val="0"/>
          <c:order val="0"/>
          <c:tx>
            <c:v>F</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4.9479552942650815E-2"/>
                  <c:y val="8.1890488164295019E-2"/>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Curves'!$N$606:$P$606</c:f>
              <c:numCache>
                <c:formatCode>General</c:formatCode>
                <c:ptCount val="3"/>
                <c:pt idx="0">
                  <c:v>91</c:v>
                </c:pt>
                <c:pt idx="2">
                  <c:v>100</c:v>
                </c:pt>
              </c:numCache>
            </c:numRef>
          </c:xVal>
          <c:yVal>
            <c:numRef>
              <c:f>'Reference Curves'!$N$607:$P$607</c:f>
              <c:numCache>
                <c:formatCode>General</c:formatCode>
                <c:ptCount val="3"/>
                <c:pt idx="0">
                  <c:v>0.69</c:v>
                </c:pt>
                <c:pt idx="1">
                  <c:v>0.7</c:v>
                </c:pt>
                <c:pt idx="2">
                  <c:v>1</c:v>
                </c:pt>
              </c:numCache>
            </c:numRef>
          </c:yVal>
          <c:smooth val="0"/>
          <c:extLst>
            <c:ext xmlns:c16="http://schemas.microsoft.com/office/drawing/2014/chart" uri="{C3380CC4-5D6E-409C-BE32-E72D297353CC}">
              <c16:uniqueId val="{00000001-5D7A-4BAE-B3C3-8F5CC5CA9B82}"/>
            </c:ext>
          </c:extLst>
        </c:ser>
        <c:ser>
          <c:idx val="1"/>
          <c:order val="1"/>
          <c:tx>
            <c:v>FAR/NF</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backward val="19"/>
            <c:dispRSqr val="0"/>
            <c:dispEq val="1"/>
            <c:trendlineLbl>
              <c:layout>
                <c:manualLayout>
                  <c:x val="7.4687860979055734E-2"/>
                  <c:y val="0.23398881099979016"/>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Curves'!$K$606:$O$606</c:f>
              <c:numCache>
                <c:formatCode>General</c:formatCode>
                <c:ptCount val="5"/>
                <c:pt idx="2">
                  <c:v>65</c:v>
                </c:pt>
                <c:pt idx="3">
                  <c:v>91</c:v>
                </c:pt>
              </c:numCache>
            </c:numRef>
          </c:xVal>
          <c:yVal>
            <c:numRef>
              <c:f>'Reference Curves'!$K$607:$O$607</c:f>
              <c:numCache>
                <c:formatCode>General</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3-5D7A-4BAE-B3C3-8F5CC5CA9B82}"/>
            </c:ext>
          </c:extLst>
        </c:ser>
        <c:dLbls>
          <c:showLegendKey val="0"/>
          <c:showVal val="0"/>
          <c:showCatName val="0"/>
          <c:showSerName val="0"/>
          <c:showPercent val="0"/>
          <c:showBubbleSize val="0"/>
        </c:dLbls>
        <c:axId val="443886568"/>
        <c:axId val="443820440"/>
      </c:scatterChart>
      <c:valAx>
        <c:axId val="443886568"/>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820440"/>
        <c:crosses val="autoZero"/>
        <c:crossBetween val="midCat"/>
      </c:valAx>
      <c:valAx>
        <c:axId val="44382044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88656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Percent Armoring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928084387367101"/>
          <c:y val="0.11383995627777838"/>
          <c:w val="0.78710276152185865"/>
          <c:h val="0.73757538467374906"/>
        </c:manualLayout>
      </c:layout>
      <c:scatterChart>
        <c:scatterStyle val="lineMarker"/>
        <c:varyColors val="0"/>
        <c:ser>
          <c:idx val="1"/>
          <c:order val="0"/>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backward val="19"/>
            <c:dispRSqr val="0"/>
            <c:dispEq val="1"/>
            <c:trendlineLbl>
              <c:layout>
                <c:manualLayout>
                  <c:x val="-0.12133213452994257"/>
                  <c:y val="-0.44465878685964744"/>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Curves'!$K$144:$P$144</c:f>
              <c:numCache>
                <c:formatCode>General</c:formatCode>
                <c:ptCount val="6"/>
                <c:pt idx="0">
                  <c:v>30</c:v>
                </c:pt>
                <c:pt idx="5">
                  <c:v>0</c:v>
                </c:pt>
              </c:numCache>
            </c:numRef>
          </c:xVal>
          <c:yVal>
            <c:numRef>
              <c:f>'Reference Curves'!$K$145:$P$145</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3-442D-4866-83CE-EAE769C24016}"/>
            </c:ext>
          </c:extLst>
        </c:ser>
        <c:dLbls>
          <c:showLegendKey val="0"/>
          <c:showVal val="0"/>
          <c:showCatName val="0"/>
          <c:showSerName val="0"/>
          <c:showPercent val="0"/>
          <c:showBubbleSize val="0"/>
        </c:dLbls>
        <c:axId val="443886568"/>
        <c:axId val="443820440"/>
      </c:scatterChart>
      <c:valAx>
        <c:axId val="443886568"/>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820440"/>
        <c:crosses val="autoZero"/>
        <c:crossBetween val="midCat"/>
      </c:valAx>
      <c:valAx>
        <c:axId val="44382044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88656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Pool Spacing Ratio for E Stream</a:t>
            </a:r>
            <a:r>
              <a:rPr lang="en-US" sz="1600" baseline="0"/>
              <a:t> Types</a:t>
            </a:r>
            <a:endParaRPr lang="en-US" sz="1600"/>
          </a:p>
        </c:rich>
      </c:tx>
      <c:layout>
        <c:manualLayout>
          <c:xMode val="edge"/>
          <c:yMode val="edge"/>
          <c:x val="0.26244273292895509"/>
          <c:y val="1.5928787533303082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v>rising limb</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forward val="6"/>
            <c:dispRSqr val="0"/>
            <c:dispEq val="1"/>
            <c:trendlineLbl>
              <c:layout>
                <c:manualLayout>
                  <c:x val="-0.59690458398413804"/>
                  <c:y val="6.6120271627217203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Curves'!$K$305:$P$305</c:f>
              <c:numCache>
                <c:formatCode>General</c:formatCode>
                <c:ptCount val="6"/>
                <c:pt idx="0" formatCode="0.0">
                  <c:v>1.8333333333333335</c:v>
                </c:pt>
                <c:pt idx="4">
                  <c:v>3</c:v>
                </c:pt>
                <c:pt idx="5">
                  <c:v>3.5</c:v>
                </c:pt>
              </c:numCache>
            </c:numRef>
          </c:xVal>
          <c:yVal>
            <c:numRef>
              <c:f>'Reference Curves'!$K$307:$P$307</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1-87E5-4F46-B5F2-17E3C84A27E3}"/>
            </c:ext>
          </c:extLst>
        </c:ser>
        <c:ser>
          <c:idx val="0"/>
          <c:order val="1"/>
          <c:tx>
            <c:v>falling limb</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1.5367538818587432E-2"/>
                  <c:y val="-0.51330103928440363"/>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Curves'!$K$306:$P$306</c:f>
              <c:numCache>
                <c:formatCode>General</c:formatCode>
                <c:ptCount val="6"/>
                <c:pt idx="0" formatCode="0.0">
                  <c:v>8.3333333333333339</c:v>
                </c:pt>
                <c:pt idx="4">
                  <c:v>6</c:v>
                </c:pt>
                <c:pt idx="5">
                  <c:v>5</c:v>
                </c:pt>
              </c:numCache>
            </c:numRef>
          </c:xVal>
          <c:yVal>
            <c:numRef>
              <c:f>'Reference Curves'!$K$307:$P$307</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2-87E5-4F46-B5F2-17E3C84A27E3}"/>
            </c:ext>
          </c:extLst>
        </c:ser>
        <c:ser>
          <c:idx val="2"/>
          <c:order val="2"/>
          <c:tx>
            <c:v>crest</c:v>
          </c:tx>
          <c:spPr>
            <a:ln w="28575" cap="rnd">
              <a:solidFill>
                <a:schemeClr val="tx1"/>
              </a:solidFill>
              <a:prstDash val="dash"/>
              <a:round/>
            </a:ln>
            <a:effectLst/>
          </c:spPr>
          <c:marker>
            <c:symbol val="none"/>
          </c:marker>
          <c:xVal>
            <c:numRef>
              <c:f>('Reference Curves'!$P$305,'Reference Curves'!$P$306)</c:f>
              <c:numCache>
                <c:formatCode>General</c:formatCode>
                <c:ptCount val="2"/>
                <c:pt idx="0">
                  <c:v>3.5</c:v>
                </c:pt>
                <c:pt idx="1">
                  <c:v>5</c:v>
                </c:pt>
              </c:numCache>
            </c:numRef>
          </c:xVal>
          <c:yVal>
            <c:numRef>
              <c:f>('Reference Curves'!$P$307,'Reference Curves'!$P$307)</c:f>
              <c:numCache>
                <c:formatCode>General</c:formatCode>
                <c:ptCount val="2"/>
                <c:pt idx="0">
                  <c:v>1</c:v>
                </c:pt>
                <c:pt idx="1">
                  <c:v>1</c:v>
                </c:pt>
              </c:numCache>
            </c:numRef>
          </c:yVal>
          <c:smooth val="0"/>
          <c:extLst>
            <c:ext xmlns:c16="http://schemas.microsoft.com/office/drawing/2014/chart" uri="{C3380CC4-5D6E-409C-BE32-E72D297353CC}">
              <c16:uniqueId val="{00000003-87E5-4F46-B5F2-17E3C84A27E3}"/>
            </c:ext>
          </c:extLst>
        </c:ser>
        <c:dLbls>
          <c:showLegendKey val="0"/>
          <c:showVal val="0"/>
          <c:showCatName val="0"/>
          <c:showSerName val="0"/>
          <c:showPercent val="0"/>
          <c:showBubbleSize val="0"/>
        </c:dLbls>
        <c:axId val="440731696"/>
        <c:axId val="440736400"/>
      </c:scatterChart>
      <c:valAx>
        <c:axId val="44073169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(Ratio)</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0736400"/>
        <c:crosses val="autoZero"/>
        <c:crossBetween val="midCat"/>
      </c:valAx>
      <c:valAx>
        <c:axId val="44073640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073169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Riffle for A</a:t>
            </a:r>
            <a:r>
              <a:rPr lang="en-US" baseline="0"/>
              <a:t> and B</a:t>
            </a:r>
            <a:r>
              <a:rPr lang="en-US"/>
              <a:t> Streams and Percent Riffle &gt;70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57622122197586678"/>
                  <c:y val="-7.6397433403473824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Stds'!#REF!</c:f>
            </c:numRef>
          </c:xVal>
          <c:yVal>
            <c:numRef>
              <c:f>'Performance Stds'!#REF!</c:f>
              <c:numCache>
                <c:formatCode>General</c:formatCode>
                <c:ptCount val="1"/>
                <c:pt idx="0">
                  <c:v>1</c:v>
                </c:pt>
              </c:numCache>
            </c:numRef>
          </c:yVal>
          <c:smooth val="0"/>
          <c:extLst>
            <c:ext xmlns:c16="http://schemas.microsoft.com/office/drawing/2014/chart" uri="{C3380CC4-5D6E-409C-BE32-E72D297353CC}">
              <c16:uniqueId val="{00000001-3E46-45E7-A195-8897428E99E6}"/>
            </c:ext>
          </c:extLst>
        </c:ser>
        <c:dLbls>
          <c:showLegendKey val="0"/>
          <c:showVal val="0"/>
          <c:showCatName val="0"/>
          <c:showSerName val="0"/>
          <c:showPercent val="0"/>
          <c:showBubbleSize val="0"/>
        </c:dLbls>
        <c:axId val="441606912"/>
        <c:axId val="441607696"/>
      </c:scatterChart>
      <c:valAx>
        <c:axId val="441606912"/>
        <c:scaling>
          <c:orientation val="minMax"/>
          <c:min val="6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1607696"/>
        <c:crosses val="autoZero"/>
        <c:crossBetween val="midCat"/>
      </c:valAx>
      <c:valAx>
        <c:axId val="44160769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160691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MWAT</a:t>
            </a:r>
          </a:p>
        </c:rich>
      </c:tx>
      <c:layout>
        <c:manualLayout>
          <c:xMode val="edge"/>
          <c:yMode val="edge"/>
          <c:x val="0.30812407686007925"/>
          <c:y val="1.2517967191696169E-2"/>
        </c:manualLayout>
      </c:layout>
      <c:overlay val="0"/>
      <c:spPr>
        <a:solidFill>
          <a:sysClr val="window" lastClr="FFFFFF"/>
        </a:solid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7197240542752902E-2"/>
          <c:y val="9.3141937954091245E-2"/>
          <c:w val="0.59150597095815016"/>
          <c:h val="0.7791487548364594"/>
        </c:manualLayout>
      </c:layout>
      <c:scatterChart>
        <c:scatterStyle val="lineMarker"/>
        <c:varyColors val="0"/>
        <c:ser>
          <c:idx val="0"/>
          <c:order val="0"/>
          <c:tx>
            <c:strRef>
              <c:f>'Reference Curves'!$R$10</c:f>
              <c:strCache>
                <c:ptCount val="1"/>
                <c:pt idx="0">
                  <c:v>CS-I (MWF)</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forward val="2"/>
            <c:dispRSqr val="0"/>
            <c:dispEq val="1"/>
            <c:trendlineLbl>
              <c:layout>
                <c:manualLayout>
                  <c:x val="0.65246940170742862"/>
                  <c:y val="-0.37558791497093041"/>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1">
                          <a:lumMod val="75000"/>
                        </a:schemeClr>
                      </a:solidFill>
                      <a:latin typeface="+mn-lt"/>
                      <a:ea typeface="+mn-ea"/>
                      <a:cs typeface="+mn-cs"/>
                    </a:defRPr>
                  </a:pPr>
                  <a:endParaRPr lang="en-US"/>
                </a:p>
              </c:txPr>
            </c:trendlineLbl>
          </c:trendline>
          <c:xVal>
            <c:numRef>
              <c:f>'Reference Curves'!$S$10:$X$10</c:f>
              <c:numCache>
                <c:formatCode>General</c:formatCode>
                <c:ptCount val="6"/>
                <c:pt idx="2">
                  <c:v>16.899999999999999</c:v>
                </c:pt>
                <c:pt idx="5">
                  <c:v>13.8</c:v>
                </c:pt>
              </c:numCache>
            </c:numRef>
          </c:xVal>
          <c:yVal>
            <c:numRef>
              <c:f>'Reference Curves'!$S$16:$X$16</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1-5AFA-454D-A36A-F2297631EF6B}"/>
            </c:ext>
          </c:extLst>
        </c:ser>
        <c:ser>
          <c:idx val="1"/>
          <c:order val="1"/>
          <c:tx>
            <c:strRef>
              <c:f>'Reference Curves'!$R$11</c:f>
              <c:strCache>
                <c:ptCount val="1"/>
                <c:pt idx="0">
                  <c:v>CS-I</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forward val="2"/>
            <c:dispRSqr val="0"/>
            <c:dispEq val="1"/>
            <c:trendlineLbl>
              <c:layout>
                <c:manualLayout>
                  <c:x val="0.65010324917917484"/>
                  <c:y val="-0.30520548455366125"/>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lumMod val="75000"/>
                        </a:schemeClr>
                      </a:solidFill>
                      <a:latin typeface="+mn-lt"/>
                      <a:ea typeface="+mn-ea"/>
                      <a:cs typeface="+mn-cs"/>
                    </a:defRPr>
                  </a:pPr>
                  <a:endParaRPr lang="en-US"/>
                </a:p>
              </c:txPr>
            </c:trendlineLbl>
          </c:trendline>
          <c:xVal>
            <c:numRef>
              <c:f>'Reference Curves'!$S$11:$X$11</c:f>
              <c:numCache>
                <c:formatCode>General</c:formatCode>
                <c:ptCount val="6"/>
                <c:pt idx="2">
                  <c:v>17</c:v>
                </c:pt>
                <c:pt idx="5" formatCode="0.0">
                  <c:v>15.7</c:v>
                </c:pt>
              </c:numCache>
            </c:numRef>
          </c:xVal>
          <c:yVal>
            <c:numRef>
              <c:f>'Reference Curves'!$S$16:$X$16</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3-5AFA-454D-A36A-F2297631EF6B}"/>
            </c:ext>
          </c:extLst>
        </c:ser>
        <c:ser>
          <c:idx val="2"/>
          <c:order val="2"/>
          <c:tx>
            <c:strRef>
              <c:f>'Reference Curves'!$R$12</c:f>
              <c:strCache>
                <c:ptCount val="1"/>
                <c:pt idx="0">
                  <c:v>CS-II</c:v>
                </c:pt>
              </c:strCache>
            </c:strRef>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forward val="2"/>
            <c:dispRSqr val="0"/>
            <c:dispEq val="1"/>
            <c:trendlineLbl>
              <c:layout>
                <c:manualLayout>
                  <c:x val="0.6171238505691341"/>
                  <c:y val="-0.2460842430031551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bg1">
                          <a:lumMod val="65000"/>
                        </a:schemeClr>
                      </a:solidFill>
                      <a:latin typeface="+mn-lt"/>
                      <a:ea typeface="+mn-ea"/>
                      <a:cs typeface="+mn-cs"/>
                    </a:defRPr>
                  </a:pPr>
                  <a:endParaRPr lang="en-US"/>
                </a:p>
              </c:txPr>
            </c:trendlineLbl>
          </c:trendline>
          <c:xVal>
            <c:numRef>
              <c:f>'Reference Curves'!$S$12:$X$12</c:f>
              <c:numCache>
                <c:formatCode>General</c:formatCode>
                <c:ptCount val="6"/>
                <c:pt idx="2">
                  <c:v>18.3</c:v>
                </c:pt>
                <c:pt idx="5" formatCode="0.0">
                  <c:v>16.600000000000001</c:v>
                </c:pt>
              </c:numCache>
            </c:numRef>
          </c:xVal>
          <c:yVal>
            <c:numRef>
              <c:f>'Reference Curves'!$S$16:$X$16</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5-5AFA-454D-A36A-F2297631EF6B}"/>
            </c:ext>
          </c:extLst>
        </c:ser>
        <c:ser>
          <c:idx val="3"/>
          <c:order val="3"/>
          <c:tx>
            <c:strRef>
              <c:f>'Reference Curves'!$R$13</c:f>
              <c:strCache>
                <c:ptCount val="1"/>
                <c:pt idx="0">
                  <c:v>WS-I</c:v>
                </c:pt>
              </c:strCache>
            </c:strRef>
          </c:tx>
          <c:spPr>
            <a:ln w="2540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inear"/>
            <c:forward val="2"/>
            <c:dispRSqr val="0"/>
            <c:dispEq val="1"/>
            <c:trendlineLbl>
              <c:layout>
                <c:manualLayout>
                  <c:x val="0.46514546617437263"/>
                  <c:y val="-0.1869630014526490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4">
                          <a:lumMod val="75000"/>
                        </a:schemeClr>
                      </a:solidFill>
                      <a:latin typeface="+mn-lt"/>
                      <a:ea typeface="+mn-ea"/>
                      <a:cs typeface="+mn-cs"/>
                    </a:defRPr>
                  </a:pPr>
                  <a:endParaRPr lang="en-US"/>
                </a:p>
              </c:txPr>
            </c:trendlineLbl>
          </c:trendline>
          <c:xVal>
            <c:numRef>
              <c:f>'Reference Curves'!$S$13:$X$13</c:f>
              <c:numCache>
                <c:formatCode>General</c:formatCode>
                <c:ptCount val="6"/>
                <c:pt idx="2">
                  <c:v>24.2</c:v>
                </c:pt>
                <c:pt idx="5" formatCode="0.0">
                  <c:v>20.9</c:v>
                </c:pt>
              </c:numCache>
            </c:numRef>
          </c:xVal>
          <c:yVal>
            <c:numRef>
              <c:f>'Reference Curves'!$S$16:$X$16</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7-5AFA-454D-A36A-F2297631EF6B}"/>
            </c:ext>
          </c:extLst>
        </c:ser>
        <c:ser>
          <c:idx val="5"/>
          <c:order val="4"/>
          <c:tx>
            <c:strRef>
              <c:f>'Reference Curves'!$R$14</c:f>
              <c:strCache>
                <c:ptCount val="1"/>
                <c:pt idx="0">
                  <c:v>WS-II</c:v>
                </c:pt>
              </c:strCache>
            </c:strRef>
          </c:tx>
          <c:spPr>
            <a:ln w="25400" cap="rnd">
              <a:noFill/>
              <a:round/>
            </a:ln>
            <a:effectLst/>
          </c:spPr>
          <c:marker>
            <c:symbol val="circle"/>
            <c:size val="5"/>
            <c:spPr>
              <a:solidFill>
                <a:schemeClr val="accent6"/>
              </a:solidFill>
              <a:ln w="9525">
                <a:solidFill>
                  <a:schemeClr val="accent6"/>
                </a:solidFill>
              </a:ln>
              <a:effectLst/>
            </c:spPr>
          </c:marker>
          <c:trendline>
            <c:spPr>
              <a:ln w="19050" cap="rnd">
                <a:solidFill>
                  <a:schemeClr val="accent6"/>
                </a:solidFill>
                <a:prstDash val="sysDot"/>
              </a:ln>
              <a:effectLst/>
            </c:spPr>
            <c:trendlineType val="linear"/>
            <c:forward val="2"/>
            <c:dispRSqr val="0"/>
            <c:dispEq val="1"/>
            <c:trendlineLbl>
              <c:layout>
                <c:manualLayout>
                  <c:x val="0.39056505205483094"/>
                  <c:y val="-0.13065705711883369"/>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6"/>
                      </a:solidFill>
                      <a:latin typeface="+mn-lt"/>
                      <a:ea typeface="+mn-ea"/>
                      <a:cs typeface="+mn-cs"/>
                    </a:defRPr>
                  </a:pPr>
                  <a:endParaRPr lang="en-US"/>
                </a:p>
              </c:txPr>
            </c:trendlineLbl>
          </c:trendline>
          <c:xVal>
            <c:numRef>
              <c:f>'Reference Curves'!$S$14:$X$14</c:f>
              <c:numCache>
                <c:formatCode>General</c:formatCode>
                <c:ptCount val="6"/>
                <c:pt idx="2">
                  <c:v>27.5</c:v>
                </c:pt>
                <c:pt idx="5" formatCode="0.0">
                  <c:v>22.5</c:v>
                </c:pt>
              </c:numCache>
            </c:numRef>
          </c:xVal>
          <c:yVal>
            <c:numRef>
              <c:f>'Reference Curves'!$S$16:$X$16</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9-5AFA-454D-A36A-F2297631EF6B}"/>
            </c:ext>
          </c:extLst>
        </c:ser>
        <c:ser>
          <c:idx val="4"/>
          <c:order val="5"/>
          <c:tx>
            <c:strRef>
              <c:f>'Reference Curves'!$R$15</c:f>
              <c:strCache>
                <c:ptCount val="1"/>
                <c:pt idx="0">
                  <c:v>WS-III</c:v>
                </c:pt>
              </c:strCache>
            </c:strRef>
          </c:tx>
          <c:spPr>
            <a:ln w="25400" cap="rnd">
              <a:noFill/>
              <a:round/>
            </a:ln>
            <a:effectLst/>
          </c:spPr>
          <c:marker>
            <c:symbol val="circle"/>
            <c:size val="5"/>
            <c:spPr>
              <a:solidFill>
                <a:schemeClr val="accent5"/>
              </a:solidFill>
              <a:ln w="9525">
                <a:solidFill>
                  <a:schemeClr val="accent5"/>
                </a:solidFill>
              </a:ln>
              <a:effectLst/>
            </c:spPr>
          </c:marker>
          <c:trendline>
            <c:spPr>
              <a:ln w="19050" cap="rnd">
                <a:solidFill>
                  <a:schemeClr val="accent5"/>
                </a:solidFill>
                <a:prstDash val="sysDot"/>
              </a:ln>
              <a:effectLst/>
            </c:spPr>
            <c:trendlineType val="linear"/>
            <c:forward val="2"/>
            <c:dispRSqr val="0"/>
            <c:dispEq val="1"/>
            <c:trendlineLbl>
              <c:layout>
                <c:manualLayout>
                  <c:x val="0.36217262087464569"/>
                  <c:y val="-7.7166410001709124E-2"/>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5">
                          <a:lumMod val="75000"/>
                        </a:schemeClr>
                      </a:solidFill>
                      <a:latin typeface="+mn-lt"/>
                      <a:ea typeface="+mn-ea"/>
                      <a:cs typeface="+mn-cs"/>
                    </a:defRPr>
                  </a:pPr>
                  <a:endParaRPr lang="en-US"/>
                </a:p>
              </c:txPr>
            </c:trendlineLbl>
          </c:trendline>
          <c:xVal>
            <c:numRef>
              <c:f>'Reference Curves'!$S$15:$X$15</c:f>
              <c:numCache>
                <c:formatCode>General</c:formatCode>
                <c:ptCount val="6"/>
                <c:pt idx="2">
                  <c:v>28.7</c:v>
                </c:pt>
                <c:pt idx="5">
                  <c:v>25.9</c:v>
                </c:pt>
              </c:numCache>
            </c:numRef>
          </c:xVal>
          <c:yVal>
            <c:numRef>
              <c:f>'Reference Curves'!$S$16:$X$16</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B-5AFA-454D-A36A-F2297631EF6B}"/>
            </c:ext>
          </c:extLst>
        </c:ser>
        <c:dLbls>
          <c:showLegendKey val="0"/>
          <c:showVal val="0"/>
          <c:showCatName val="0"/>
          <c:showSerName val="0"/>
          <c:showPercent val="0"/>
          <c:showBubbleSize val="0"/>
        </c:dLbls>
        <c:axId val="443890488"/>
        <c:axId val="443892840"/>
      </c:scatterChart>
      <c:valAx>
        <c:axId val="443890488"/>
        <c:scaling>
          <c:orientation val="minMax"/>
          <c:max val="35"/>
          <c:min val="1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(⁰C)</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892840"/>
        <c:crosses val="autoZero"/>
        <c:crossBetween val="midCat"/>
      </c:valAx>
      <c:valAx>
        <c:axId val="44389284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a:t>
                </a:r>
                <a:r>
                  <a:rPr lang="en-US" sz="1100" baseline="0"/>
                  <a:t> Value</a:t>
                </a:r>
                <a:endParaRPr lang="en-US" sz="1100"/>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890488"/>
        <c:crosses val="autoZero"/>
        <c:crossBetween val="midCat"/>
      </c:valAx>
      <c:spPr>
        <a:noFill/>
        <a:ln>
          <a:noFill/>
        </a:ln>
        <a:effectLst/>
      </c:spPr>
    </c:plotArea>
    <c:legend>
      <c:legendPos val="r"/>
      <c:layout>
        <c:manualLayout>
          <c:xMode val="edge"/>
          <c:yMode val="edge"/>
          <c:x val="0.69605145126878343"/>
          <c:y val="0.18577481302103779"/>
          <c:w val="0.27123241096599832"/>
          <c:h val="0.2223833949581258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0" i="0" u="none" strike="noStrike" baseline="0">
                <a:effectLst/>
              </a:rPr>
              <a:t>Dissolved Oxygen Concentration</a:t>
            </a:r>
            <a:endParaRPr lang="en-US" sz="1600"/>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forward val="1.5"/>
            <c:dispRSqr val="0"/>
            <c:dispEq val="1"/>
            <c:trendlineLbl>
              <c:layout>
                <c:manualLayout>
                  <c:x val="-0.11637335551415039"/>
                  <c:y val="9.4806699022527127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Curves'!$S$48:$X$48</c:f>
              <c:numCache>
                <c:formatCode>General</c:formatCode>
                <c:ptCount val="6"/>
                <c:pt idx="0">
                  <c:v>6</c:v>
                </c:pt>
                <c:pt idx="4">
                  <c:v>9</c:v>
                </c:pt>
              </c:numCache>
            </c:numRef>
          </c:xVal>
          <c:yVal>
            <c:numRef>
              <c:f>'Reference Curves'!$S$49:$X$49</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4-A3C9-4A67-BFA6-E53207D8F32A}"/>
            </c:ext>
          </c:extLst>
        </c:ser>
        <c:dLbls>
          <c:showLegendKey val="0"/>
          <c:showVal val="0"/>
          <c:showCatName val="0"/>
          <c:showSerName val="0"/>
          <c:showPercent val="0"/>
          <c:showBubbleSize val="0"/>
        </c:dLbls>
        <c:axId val="442560872"/>
        <c:axId val="442559696"/>
      </c:scatterChart>
      <c:valAx>
        <c:axId val="442560872"/>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(mg/L)</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2559696"/>
        <c:crosses val="autoZero"/>
        <c:crossBetween val="midCat"/>
      </c:valAx>
      <c:valAx>
        <c:axId val="44255969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a:t>
                </a:r>
                <a:r>
                  <a:rPr lang="en-US" sz="1100" baseline="0"/>
                  <a:t> Value</a:t>
                </a:r>
                <a:endParaRPr lang="en-US" sz="1100"/>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256087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a:t>Functional Category - Condition</a:t>
            </a:r>
            <a:r>
              <a:rPr lang="en-US" sz="2000" baseline="0"/>
              <a:t> Score Tracking</a:t>
            </a:r>
            <a:endParaRPr lang="en-US" sz="2000"/>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5"/>
          <c:order val="0"/>
          <c:tx>
            <c:strRef>
              <c:f>'Data Summary'!$A$22</c:f>
              <c:strCache>
                <c:ptCount val="1"/>
                <c:pt idx="0">
                  <c:v>Reach Hydrology &amp; Hydraulics</c:v>
                </c:pt>
              </c:strCache>
            </c:strRef>
          </c:tx>
          <c:spPr>
            <a:ln w="19050" cap="rnd">
              <a:solidFill>
                <a:srgbClr val="00B0F0"/>
              </a:solidFill>
              <a:prstDash val="dash"/>
              <a:round/>
            </a:ln>
            <a:effectLst/>
          </c:spPr>
          <c:marker>
            <c:symbol val="none"/>
          </c:marker>
          <c:xVal>
            <c:numRef>
              <c:f>'Data Summary'!$F$21:$O$21</c:f>
            </c:numRef>
          </c:xVal>
          <c:yVal>
            <c:numRef>
              <c:f>'Data Summary'!$F$22:$O$22</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1-53E5-43F6-935D-28E090B64FB7}"/>
            </c:ext>
          </c:extLst>
        </c:ser>
        <c:ser>
          <c:idx val="4"/>
          <c:order val="1"/>
          <c:tx>
            <c:strRef>
              <c:f>'Data Summary'!$A$23:$B$23</c:f>
              <c:strCache>
                <c:ptCount val="2"/>
                <c:pt idx="0">
                  <c:v>Geomorphology</c:v>
                </c:pt>
              </c:strCache>
            </c:strRef>
          </c:tx>
          <c:spPr>
            <a:ln w="19050" cap="rnd">
              <a:solidFill>
                <a:schemeClr val="accent2"/>
              </a:solidFill>
              <a:prstDash val="dash"/>
              <a:round/>
            </a:ln>
            <a:effectLst/>
          </c:spPr>
          <c:marker>
            <c:symbol val="none"/>
          </c:marker>
          <c:xVal>
            <c:numRef>
              <c:f>'Data Summary'!$F$21:$O$21</c:f>
            </c:numRef>
          </c:xVal>
          <c:yVal>
            <c:numRef>
              <c:f>'Data Summary'!$F$23:$O$23</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0-53E5-43F6-935D-28E090B64FB7}"/>
            </c:ext>
          </c:extLst>
        </c:ser>
        <c:ser>
          <c:idx val="7"/>
          <c:order val="2"/>
          <c:tx>
            <c:strRef>
              <c:f>'Data Summary'!$A$24</c:f>
              <c:strCache>
                <c:ptCount val="1"/>
                <c:pt idx="0">
                  <c:v>Physicochemical</c:v>
                </c:pt>
              </c:strCache>
            </c:strRef>
          </c:tx>
          <c:spPr>
            <a:ln w="19050" cap="rnd">
              <a:solidFill>
                <a:schemeClr val="accent4"/>
              </a:solidFill>
              <a:prstDash val="dash"/>
              <a:round/>
            </a:ln>
            <a:effectLst/>
          </c:spPr>
          <c:marker>
            <c:symbol val="none"/>
          </c:marker>
          <c:xVal>
            <c:numRef>
              <c:f>'Data Summary'!$F$21:$O$21</c:f>
            </c:numRef>
          </c:xVal>
          <c:yVal>
            <c:numRef>
              <c:f>'Data Summary'!$F$24:$O$24</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3-53E5-43F6-935D-28E090B64FB7}"/>
            </c:ext>
          </c:extLst>
        </c:ser>
        <c:ser>
          <c:idx val="1"/>
          <c:order val="3"/>
          <c:tx>
            <c:strRef>
              <c:f>'Data Summary'!$A$25:$B$25</c:f>
              <c:strCache>
                <c:ptCount val="2"/>
                <c:pt idx="0">
                  <c:v>Biology</c:v>
                </c:pt>
              </c:strCache>
            </c:strRef>
          </c:tx>
          <c:spPr>
            <a:ln w="19050" cap="rnd">
              <a:solidFill>
                <a:srgbClr val="92D050"/>
              </a:solidFill>
              <a:prstDash val="dash"/>
              <a:round/>
            </a:ln>
            <a:effectLst/>
          </c:spPr>
          <c:marker>
            <c:symbol val="none"/>
          </c:marker>
          <c:xVal>
            <c:numRef>
              <c:f>'Data Summary'!$F$21:$O$21</c:f>
            </c:numRef>
          </c:xVal>
          <c:yVal>
            <c:numRef>
              <c:f>'Data Summary'!$F$25:$O$25</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5-53E5-43F6-935D-28E090B64FB7}"/>
            </c:ext>
          </c:extLst>
        </c:ser>
        <c:ser>
          <c:idx val="0"/>
          <c:order val="4"/>
          <c:tx>
            <c:v>Monitoring Data</c:v>
          </c:tx>
          <c:spPr>
            <a:ln w="28575" cap="rnd">
              <a:solidFill>
                <a:schemeClr val="tx1"/>
              </a:solidFill>
              <a:round/>
            </a:ln>
            <a:effectLst/>
          </c:spPr>
          <c:marker>
            <c:symbol val="none"/>
          </c:marker>
          <c:xVal>
            <c:numRef>
              <c:f>'Data Summary'!$F$21:$O$21</c:f>
            </c:numRef>
          </c:xVal>
          <c:yVal>
            <c:numRef>
              <c:f>'Data Summary'!$F$26:$O$26</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4-53E5-43F6-935D-28E090B64FB7}"/>
            </c:ext>
          </c:extLst>
        </c:ser>
        <c:dLbls>
          <c:showLegendKey val="0"/>
          <c:showVal val="0"/>
          <c:showCatName val="0"/>
          <c:showSerName val="0"/>
          <c:showPercent val="0"/>
          <c:showBubbleSize val="0"/>
        </c:dLbls>
        <c:axId val="419252376"/>
        <c:axId val="419253160"/>
      </c:scatterChart>
      <c:valAx>
        <c:axId val="419252376"/>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Monitoring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19253160"/>
        <c:crosses val="autoZero"/>
        <c:crossBetween val="midCat"/>
      </c:valAx>
      <c:valAx>
        <c:axId val="419253160"/>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Condition Score</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19252376"/>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Average Depth</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158833736381451"/>
          <c:y val="0.11710805123580348"/>
          <c:w val="0.55899998358096903"/>
          <c:h val="0.73930884272192043"/>
        </c:manualLayout>
      </c:layout>
      <c:scatterChart>
        <c:scatterStyle val="lineMarker"/>
        <c:varyColors val="0"/>
        <c:ser>
          <c:idx val="0"/>
          <c:order val="0"/>
          <c:tx>
            <c:strRef>
              <c:f>'Reference Curves'!$B$71</c:f>
              <c:strCache>
                <c:ptCount val="1"/>
                <c:pt idx="0">
                  <c:v>CS-I &amp; CS-I MWF; W &lt; 20ft</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forward val="2.5"/>
            <c:dispRSqr val="0"/>
            <c:dispEq val="1"/>
            <c:trendlineLbl>
              <c:layout>
                <c:manualLayout>
                  <c:x val="0.26765434839917124"/>
                  <c:y val="0.37533643953446411"/>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Curves'!$C$71:$H$71</c:f>
              <c:numCache>
                <c:formatCode>General</c:formatCode>
                <c:ptCount val="6"/>
                <c:pt idx="0">
                  <c:v>0.2</c:v>
                </c:pt>
                <c:pt idx="5">
                  <c:v>1</c:v>
                </c:pt>
              </c:numCache>
            </c:numRef>
          </c:xVal>
          <c:yVal>
            <c:numRef>
              <c:f>'Reference Curves'!$C$74:$H$74</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1-2DE6-496F-930D-3B85E69C9F99}"/>
            </c:ext>
          </c:extLst>
        </c:ser>
        <c:ser>
          <c:idx val="1"/>
          <c:order val="1"/>
          <c:tx>
            <c:strRef>
              <c:f>'Reference Curves'!$B$72</c:f>
              <c:strCache>
                <c:ptCount val="1"/>
                <c:pt idx="0">
                  <c:v>CS-I &amp; CS-I MWF; W &gt; 20ft</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59438402342267971"/>
                  <c:y val="0.43310926776243691"/>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Curves'!$C$72:$H$72</c:f>
              <c:numCache>
                <c:formatCode>General</c:formatCode>
                <c:ptCount val="6"/>
                <c:pt idx="0">
                  <c:v>0.4</c:v>
                </c:pt>
                <c:pt idx="5">
                  <c:v>1.5</c:v>
                </c:pt>
              </c:numCache>
            </c:numRef>
          </c:xVal>
          <c:yVal>
            <c:numRef>
              <c:f>'Reference Curves'!$C$74:$H$74</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2-2DE6-496F-930D-3B85E69C9F99}"/>
            </c:ext>
          </c:extLst>
        </c:ser>
        <c:ser>
          <c:idx val="2"/>
          <c:order val="2"/>
          <c:tx>
            <c:strRef>
              <c:f>'Reference Curves'!$B$73</c:f>
              <c:strCache>
                <c:ptCount val="1"/>
                <c:pt idx="0">
                  <c:v>CS-II</c:v>
                </c:pt>
              </c:strCache>
            </c:strRef>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1"/>
            <c:trendlineLbl>
              <c:layout>
                <c:manualLayout>
                  <c:x val="0.48723739113819731"/>
                  <c:y val="0.49088209599040977"/>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 Curves'!$C$73:$H$73</c:f>
              <c:numCache>
                <c:formatCode>General</c:formatCode>
                <c:ptCount val="6"/>
                <c:pt idx="0">
                  <c:v>0.6</c:v>
                </c:pt>
                <c:pt idx="5">
                  <c:v>2.2999999999999998</c:v>
                </c:pt>
              </c:numCache>
            </c:numRef>
          </c:xVal>
          <c:yVal>
            <c:numRef>
              <c:f>'Reference Curves'!$C$74:$H$74</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3-2DE6-496F-930D-3B85E69C9F99}"/>
            </c:ext>
          </c:extLst>
        </c:ser>
        <c:dLbls>
          <c:showLegendKey val="0"/>
          <c:showVal val="0"/>
          <c:showCatName val="0"/>
          <c:showSerName val="0"/>
          <c:showPercent val="0"/>
          <c:showBubbleSize val="0"/>
        </c:dLbls>
        <c:axId val="419254728"/>
        <c:axId val="419247280"/>
      </c:scatterChart>
      <c:valAx>
        <c:axId val="4192547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(ft)</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9247280"/>
        <c:crosses val="autoZero"/>
        <c:crossBetween val="midCat"/>
      </c:valAx>
      <c:valAx>
        <c:axId val="41924728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a:t>
                </a:r>
                <a:r>
                  <a:rPr lang="en-US" sz="1100" baseline="0"/>
                  <a:t> Value</a:t>
                </a:r>
                <a:endParaRPr lang="en-US" sz="1100"/>
              </a:p>
            </c:rich>
          </c:tx>
          <c:layout>
            <c:manualLayout>
              <c:xMode val="edge"/>
              <c:yMode val="edge"/>
              <c:x val="2.5144911728220403E-2"/>
              <c:y val="0.3955178180195148"/>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9254728"/>
        <c:crosses val="autoZero"/>
        <c:crossBetween val="midCat"/>
      </c:valAx>
      <c:spPr>
        <a:noFill/>
        <a:ln>
          <a:noFill/>
        </a:ln>
        <a:effectLst/>
      </c:spPr>
    </c:plotArea>
    <c:legend>
      <c:legendPos val="r"/>
      <c:layout>
        <c:manualLayout>
          <c:xMode val="edge"/>
          <c:yMode val="edge"/>
          <c:x val="0.66864410739922731"/>
          <c:y val="0.14447573574094974"/>
          <c:w val="0.31760720950629417"/>
          <c:h val="0.171401605205143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Percent Side Channels</a:t>
            </a:r>
            <a:endParaRPr lang="en-US"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588566788026699"/>
          <c:y val="0.10411228070175439"/>
          <c:w val="0.56742294317103137"/>
          <c:h val="0.75217328360270752"/>
        </c:manualLayout>
      </c:layout>
      <c:scatterChart>
        <c:scatterStyle val="lineMarker"/>
        <c:varyColors val="0"/>
        <c:ser>
          <c:idx val="0"/>
          <c:order val="0"/>
          <c:tx>
            <c:strRef>
              <c:f>'Reference Curves'!$B$278</c:f>
              <c:strCache>
                <c:ptCount val="1"/>
                <c:pt idx="0">
                  <c:v>Unconfined Alluvial</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11336095266054967"/>
                  <c:y val="0.1045583124110364"/>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Curves'!$C$278:$E$278</c:f>
              <c:numCache>
                <c:formatCode>General</c:formatCode>
                <c:ptCount val="3"/>
                <c:pt idx="0">
                  <c:v>0</c:v>
                </c:pt>
                <c:pt idx="2">
                  <c:v>10</c:v>
                </c:pt>
              </c:numCache>
            </c:numRef>
          </c:xVal>
          <c:yVal>
            <c:numRef>
              <c:f>'Reference Curves'!$C$280:$E$280</c:f>
              <c:numCache>
                <c:formatCode>General</c:formatCode>
                <c:ptCount val="3"/>
                <c:pt idx="0">
                  <c:v>0</c:v>
                </c:pt>
                <c:pt idx="1">
                  <c:v>0.28999999999999998</c:v>
                </c:pt>
                <c:pt idx="2">
                  <c:v>0.3</c:v>
                </c:pt>
              </c:numCache>
            </c:numRef>
          </c:yVal>
          <c:smooth val="0"/>
          <c:extLst>
            <c:ext xmlns:c16="http://schemas.microsoft.com/office/drawing/2014/chart" uri="{C3380CC4-5D6E-409C-BE32-E72D297353CC}">
              <c16:uniqueId val="{00000001-1343-428A-A0A1-4E93826E1FF1}"/>
            </c:ext>
          </c:extLst>
        </c:ser>
        <c:ser>
          <c:idx val="2"/>
          <c:order val="1"/>
          <c:tx>
            <c:strRef>
              <c:f>'Reference Curves'!$B$278</c:f>
              <c:strCache>
                <c:ptCount val="1"/>
                <c:pt idx="0">
                  <c:v>Unconfined Alluvial</c:v>
                </c:pt>
              </c:strCache>
            </c:strRef>
          </c:tx>
          <c:spPr>
            <a:ln w="25400" cap="rnd">
              <a:noFill/>
              <a:round/>
            </a:ln>
            <a:effectLst/>
          </c:spPr>
          <c:marker>
            <c:symbol val="circle"/>
            <c:size val="5"/>
            <c:spPr>
              <a:solidFill>
                <a:schemeClr val="accent5"/>
              </a:solidFill>
              <a:ln w="9525">
                <a:solidFill>
                  <a:schemeClr val="accent5"/>
                </a:solidFill>
              </a:ln>
              <a:effectLst/>
            </c:spPr>
          </c:marker>
          <c:trendline>
            <c:spPr>
              <a:ln w="19050" cap="rnd">
                <a:solidFill>
                  <a:schemeClr val="accent5"/>
                </a:solidFill>
                <a:prstDash val="sysDot"/>
              </a:ln>
              <a:effectLst/>
            </c:spPr>
            <c:trendlineType val="linear"/>
            <c:dispRSqr val="0"/>
            <c:dispEq val="1"/>
            <c:trendlineLbl>
              <c:layout>
                <c:manualLayout>
                  <c:x val="0.14600128011833471"/>
                  <c:y val="0.1077535398275555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Curves'!$E$278:$G$278</c:f>
              <c:numCache>
                <c:formatCode>General</c:formatCode>
                <c:ptCount val="3"/>
                <c:pt idx="0">
                  <c:v>10</c:v>
                </c:pt>
                <c:pt idx="2">
                  <c:v>50</c:v>
                </c:pt>
              </c:numCache>
            </c:numRef>
          </c:xVal>
          <c:yVal>
            <c:numRef>
              <c:f>'Reference Curves'!$E$280:$G$280</c:f>
              <c:numCache>
                <c:formatCode>General</c:formatCode>
                <c:ptCount val="3"/>
                <c:pt idx="0">
                  <c:v>0.3</c:v>
                </c:pt>
                <c:pt idx="1">
                  <c:v>0.69</c:v>
                </c:pt>
                <c:pt idx="2">
                  <c:v>0.7</c:v>
                </c:pt>
              </c:numCache>
            </c:numRef>
          </c:yVal>
          <c:smooth val="0"/>
          <c:extLst>
            <c:ext xmlns:c16="http://schemas.microsoft.com/office/drawing/2014/chart" uri="{C3380CC4-5D6E-409C-BE32-E72D297353CC}">
              <c16:uniqueId val="{00000006-1343-428A-A0A1-4E93826E1FF1}"/>
            </c:ext>
          </c:extLst>
        </c:ser>
        <c:ser>
          <c:idx val="3"/>
          <c:order val="2"/>
          <c:tx>
            <c:strRef>
              <c:f>'Reference Curves'!$B$278</c:f>
              <c:strCache>
                <c:ptCount val="1"/>
                <c:pt idx="0">
                  <c:v>Unconfined Alluvial</c:v>
                </c:pt>
              </c:strCache>
            </c:strRef>
          </c:tx>
          <c:spPr>
            <a:ln w="25400" cap="rnd">
              <a:noFill/>
              <a:round/>
            </a:ln>
            <a:effectLst/>
          </c:spPr>
          <c:marker>
            <c:symbol val="circle"/>
            <c:size val="5"/>
            <c:spPr>
              <a:solidFill>
                <a:schemeClr val="accent5">
                  <a:lumMod val="75000"/>
                </a:schemeClr>
              </a:solidFill>
              <a:ln w="9525">
                <a:solidFill>
                  <a:schemeClr val="accent5">
                    <a:lumMod val="75000"/>
                  </a:schemeClr>
                </a:solidFill>
              </a:ln>
              <a:effectLst/>
            </c:spPr>
          </c:marker>
          <c:trendline>
            <c:spPr>
              <a:ln w="19050" cap="rnd">
                <a:solidFill>
                  <a:schemeClr val="accent5"/>
                </a:solidFill>
                <a:prstDash val="sysDot"/>
              </a:ln>
              <a:effectLst/>
            </c:spPr>
            <c:trendlineType val="linear"/>
            <c:dispRSqr val="0"/>
            <c:dispEq val="1"/>
            <c:trendlineLbl>
              <c:layout>
                <c:manualLayout>
                  <c:x val="9.8786649395171885E-2"/>
                  <c:y val="0.11092699272339557"/>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Curves'!$G$278:$H$278</c:f>
              <c:numCache>
                <c:formatCode>General</c:formatCode>
                <c:ptCount val="2"/>
                <c:pt idx="0">
                  <c:v>50</c:v>
                </c:pt>
                <c:pt idx="1">
                  <c:v>100</c:v>
                </c:pt>
              </c:numCache>
            </c:numRef>
          </c:xVal>
          <c:yVal>
            <c:numRef>
              <c:f>'Reference Curves'!$G$280:$H$280</c:f>
              <c:numCache>
                <c:formatCode>General</c:formatCode>
                <c:ptCount val="2"/>
                <c:pt idx="0">
                  <c:v>0.7</c:v>
                </c:pt>
                <c:pt idx="1">
                  <c:v>1</c:v>
                </c:pt>
              </c:numCache>
            </c:numRef>
          </c:yVal>
          <c:smooth val="0"/>
          <c:extLst>
            <c:ext xmlns:c16="http://schemas.microsoft.com/office/drawing/2014/chart" uri="{C3380CC4-5D6E-409C-BE32-E72D297353CC}">
              <c16:uniqueId val="{00000007-1343-428A-A0A1-4E93826E1FF1}"/>
            </c:ext>
          </c:extLst>
        </c:ser>
        <c:ser>
          <c:idx val="1"/>
          <c:order val="3"/>
          <c:tx>
            <c:strRef>
              <c:f>'Reference Curves'!$B$279</c:f>
              <c:strCache>
                <c:ptCount val="1"/>
                <c:pt idx="0">
                  <c:v>Confined Alluvial</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3586488779596009"/>
                  <c:y val="0.16670132648422717"/>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Curves'!$C$279:$E$279</c:f>
              <c:numCache>
                <c:formatCode>General</c:formatCode>
                <c:ptCount val="3"/>
                <c:pt idx="0">
                  <c:v>0</c:v>
                </c:pt>
                <c:pt idx="2">
                  <c:v>5</c:v>
                </c:pt>
              </c:numCache>
            </c:numRef>
          </c:xVal>
          <c:yVal>
            <c:numRef>
              <c:f>'Reference Curves'!$C$280:$E$280</c:f>
              <c:numCache>
                <c:formatCode>General</c:formatCode>
                <c:ptCount val="3"/>
                <c:pt idx="0">
                  <c:v>0</c:v>
                </c:pt>
                <c:pt idx="1">
                  <c:v>0.28999999999999998</c:v>
                </c:pt>
                <c:pt idx="2">
                  <c:v>0.3</c:v>
                </c:pt>
              </c:numCache>
            </c:numRef>
          </c:yVal>
          <c:smooth val="0"/>
          <c:extLst>
            <c:ext xmlns:c16="http://schemas.microsoft.com/office/drawing/2014/chart" uri="{C3380CC4-5D6E-409C-BE32-E72D297353CC}">
              <c16:uniqueId val="{00000008-1343-428A-A0A1-4E93826E1FF1}"/>
            </c:ext>
          </c:extLst>
        </c:ser>
        <c:ser>
          <c:idx val="4"/>
          <c:order val="4"/>
          <c:tx>
            <c:strRef>
              <c:f>'Reference Curves'!$B$279</c:f>
              <c:strCache>
                <c:ptCount val="1"/>
                <c:pt idx="0">
                  <c:v>Confined Alluvial</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26079801694641386"/>
                  <c:y val="0.17300370460440589"/>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Curves'!$E$279:$G$279</c:f>
              <c:numCache>
                <c:formatCode>General</c:formatCode>
                <c:ptCount val="3"/>
                <c:pt idx="0">
                  <c:v>5</c:v>
                </c:pt>
                <c:pt idx="2">
                  <c:v>25</c:v>
                </c:pt>
              </c:numCache>
            </c:numRef>
          </c:xVal>
          <c:yVal>
            <c:numRef>
              <c:f>'Reference Curves'!$E$280:$G$280</c:f>
              <c:numCache>
                <c:formatCode>General</c:formatCode>
                <c:ptCount val="3"/>
                <c:pt idx="0">
                  <c:v>0.3</c:v>
                </c:pt>
                <c:pt idx="1">
                  <c:v>0.69</c:v>
                </c:pt>
                <c:pt idx="2">
                  <c:v>0.7</c:v>
                </c:pt>
              </c:numCache>
            </c:numRef>
          </c:yVal>
          <c:smooth val="0"/>
          <c:extLst>
            <c:ext xmlns:c16="http://schemas.microsoft.com/office/drawing/2014/chart" uri="{C3380CC4-5D6E-409C-BE32-E72D297353CC}">
              <c16:uniqueId val="{00000009-1343-428A-A0A1-4E93826E1FF1}"/>
            </c:ext>
          </c:extLst>
        </c:ser>
        <c:ser>
          <c:idx val="5"/>
          <c:order val="5"/>
          <c:tx>
            <c:strRef>
              <c:f>'Reference Curves'!$B$279</c:f>
              <c:strCache>
                <c:ptCount val="1"/>
                <c:pt idx="0">
                  <c:v>Confined Alluvial</c:v>
                </c:pt>
              </c:strCache>
            </c:strRef>
          </c:tx>
          <c:spPr>
            <a:ln w="25400" cap="rnd">
              <a:noFill/>
              <a:round/>
            </a:ln>
            <a:effectLst/>
          </c:spPr>
          <c:marker>
            <c:symbol val="circle"/>
            <c:size val="5"/>
            <c:spPr>
              <a:solidFill>
                <a:schemeClr val="accent2">
                  <a:lumMod val="75000"/>
                </a:schemeClr>
              </a:solidFill>
              <a:ln w="9525">
                <a:solidFill>
                  <a:schemeClr val="accent2">
                    <a:lumMod val="75000"/>
                  </a:schemeClr>
                </a:solidFill>
              </a:ln>
              <a:effectLst/>
            </c:spPr>
          </c:marker>
          <c:trendline>
            <c:spPr>
              <a:ln w="19050" cap="rnd">
                <a:solidFill>
                  <a:schemeClr val="accent2">
                    <a:lumMod val="75000"/>
                  </a:schemeClr>
                </a:solidFill>
                <a:prstDash val="sysDot"/>
              </a:ln>
              <a:effectLst/>
            </c:spPr>
            <c:trendlineType val="linear"/>
            <c:dispRSqr val="0"/>
            <c:dispEq val="1"/>
            <c:trendlineLbl>
              <c:layout>
                <c:manualLayout>
                  <c:x val="-3.0023032713778777E-2"/>
                  <c:y val="-3.4531359127067383E-3"/>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Curves'!$G$279:$H$279</c:f>
              <c:numCache>
                <c:formatCode>General</c:formatCode>
                <c:ptCount val="2"/>
                <c:pt idx="0">
                  <c:v>25</c:v>
                </c:pt>
                <c:pt idx="1">
                  <c:v>50</c:v>
                </c:pt>
              </c:numCache>
            </c:numRef>
          </c:xVal>
          <c:yVal>
            <c:numRef>
              <c:f>'Reference Curves'!$G$280:$H$280</c:f>
              <c:numCache>
                <c:formatCode>General</c:formatCode>
                <c:ptCount val="2"/>
                <c:pt idx="0">
                  <c:v>0.7</c:v>
                </c:pt>
                <c:pt idx="1">
                  <c:v>1</c:v>
                </c:pt>
              </c:numCache>
            </c:numRef>
          </c:yVal>
          <c:smooth val="0"/>
          <c:extLst>
            <c:ext xmlns:c16="http://schemas.microsoft.com/office/drawing/2014/chart" uri="{C3380CC4-5D6E-409C-BE32-E72D297353CC}">
              <c16:uniqueId val="{0000000A-1343-428A-A0A1-4E93826E1FF1}"/>
            </c:ext>
          </c:extLst>
        </c:ser>
        <c:dLbls>
          <c:showLegendKey val="0"/>
          <c:showVal val="0"/>
          <c:showCatName val="0"/>
          <c:showSerName val="0"/>
          <c:showPercent val="0"/>
          <c:showBubbleSize val="0"/>
        </c:dLbls>
        <c:axId val="443893232"/>
        <c:axId val="443893624"/>
        <c:extLst/>
      </c:scatterChart>
      <c:valAx>
        <c:axId val="443893232"/>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a:t>
                </a:r>
                <a:r>
                  <a:rPr lang="en-US" sz="1100" baseline="0"/>
                  <a:t> Value (%)</a:t>
                </a:r>
                <a:endParaRPr lang="en-US" sz="1100"/>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893624"/>
        <c:crosses val="autoZero"/>
        <c:crossBetween val="midCat"/>
      </c:valAx>
      <c:valAx>
        <c:axId val="443893624"/>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a:t>
                </a:r>
                <a:r>
                  <a:rPr lang="en-US" sz="1100" baseline="0"/>
                  <a:t> Value</a:t>
                </a:r>
                <a:endParaRPr lang="en-US" sz="1100"/>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893232"/>
        <c:crosses val="autoZero"/>
        <c:crossBetween val="midCat"/>
        <c:majorUnit val="0.1"/>
      </c:valAx>
      <c:spPr>
        <a:noFill/>
        <a:ln>
          <a:noFill/>
        </a:ln>
        <a:effectLst/>
      </c:spPr>
    </c:plotArea>
    <c:legend>
      <c:legendPos val="r"/>
      <c:layout>
        <c:manualLayout>
          <c:xMode val="edge"/>
          <c:yMode val="edge"/>
          <c:x val="0.67805472227906249"/>
          <c:y val="0.17275366460289879"/>
          <c:w val="0.3196676785543594"/>
          <c:h val="0.1918066148547248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ER</a:t>
            </a:r>
            <a:r>
              <a:rPr lang="en-US" sz="1600" baseline="0"/>
              <a:t> for Cb Streams</a:t>
            </a:r>
            <a:endParaRPr lang="en-US" sz="1600"/>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backward val="0.30000000000000004"/>
            <c:dispRSqr val="0"/>
            <c:dispEq val="1"/>
            <c:trendlineLbl>
              <c:layout>
                <c:manualLayout>
                  <c:x val="0.13601790980977305"/>
                  <c:y val="0.16682413040130759"/>
                </c:manualLayout>
              </c:layout>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baseline="0">
                        <a:solidFill>
                          <a:schemeClr val="accent1"/>
                        </a:solidFill>
                      </a:rPr>
                      <a:t>y = 1x - 1.7</a:t>
                    </a:r>
                    <a:endParaRPr lang="en-US" sz="1100">
                      <a:solidFill>
                        <a:schemeClr val="accent1"/>
                      </a:solidFill>
                    </a:endParaRPr>
                  </a:p>
                </c:rich>
              </c:tx>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 Curves'!$C$176:$G$176</c:f>
              <c:numCache>
                <c:formatCode>General</c:formatCode>
                <c:ptCount val="5"/>
                <c:pt idx="2">
                  <c:v>2</c:v>
                </c:pt>
                <c:pt idx="4">
                  <c:v>2.4</c:v>
                </c:pt>
              </c:numCache>
            </c:numRef>
          </c:xVal>
          <c:yVal>
            <c:numRef>
              <c:f>'Reference Curves'!$C$177:$G$177</c:f>
              <c:numCache>
                <c:formatCode>General</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1-8423-4C17-8138-862FD8D33FBF}"/>
            </c:ext>
          </c:extLst>
        </c:ser>
        <c:ser>
          <c:idx val="1"/>
          <c:order val="1"/>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1.5779385800315841E-2"/>
                  <c:y val="0.14864414216354707"/>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Curves'!$G$176:$H$176</c:f>
              <c:numCache>
                <c:formatCode>General</c:formatCode>
                <c:ptCount val="2"/>
                <c:pt idx="0">
                  <c:v>2.4</c:v>
                </c:pt>
                <c:pt idx="1">
                  <c:v>3.9</c:v>
                </c:pt>
              </c:numCache>
            </c:numRef>
          </c:xVal>
          <c:yVal>
            <c:numRef>
              <c:f>'Reference Curves'!$G$177:$H$177</c:f>
              <c:numCache>
                <c:formatCode>General</c:formatCode>
                <c:ptCount val="2"/>
                <c:pt idx="0">
                  <c:v>0.7</c:v>
                </c:pt>
                <c:pt idx="1">
                  <c:v>1</c:v>
                </c:pt>
              </c:numCache>
            </c:numRef>
          </c:yVal>
          <c:smooth val="0"/>
          <c:extLst>
            <c:ext xmlns:c16="http://schemas.microsoft.com/office/drawing/2014/chart" uri="{C3380CC4-5D6E-409C-BE32-E72D297353CC}">
              <c16:uniqueId val="{00000003-8423-4C17-8138-862FD8D33FBF}"/>
            </c:ext>
          </c:extLst>
        </c:ser>
        <c:dLbls>
          <c:showLegendKey val="0"/>
          <c:showVal val="0"/>
          <c:showCatName val="0"/>
          <c:showSerName val="0"/>
          <c:showPercent val="0"/>
          <c:showBubbleSize val="0"/>
        </c:dLbls>
        <c:axId val="440736008"/>
        <c:axId val="440734048"/>
      </c:scatterChart>
      <c:valAx>
        <c:axId val="440736008"/>
        <c:scaling>
          <c:orientation val="minMax"/>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(Ratio)</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0734048"/>
        <c:crosses val="autoZero"/>
        <c:crossBetween val="midCat"/>
      </c:valAx>
      <c:valAx>
        <c:axId val="440734048"/>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073600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ER</a:t>
            </a:r>
            <a:r>
              <a:rPr lang="en-US" sz="1600" baseline="0"/>
              <a:t> for E Streams</a:t>
            </a:r>
            <a:endParaRPr lang="en-US" sz="1600"/>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backward val="0.30000000000000004"/>
            <c:dispRSqr val="0"/>
            <c:dispEq val="1"/>
            <c:trendlineLbl>
              <c:layout>
                <c:manualLayout>
                  <c:x val="0.13601790980977305"/>
                  <c:y val="0.16682413040130759"/>
                </c:manualLayout>
              </c:layout>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baseline="0">
                        <a:solidFill>
                          <a:schemeClr val="accent1"/>
                        </a:solidFill>
                      </a:rPr>
                      <a:t>y = 1x - 1.7</a:t>
                    </a:r>
                    <a:endParaRPr lang="en-US" sz="1100">
                      <a:solidFill>
                        <a:schemeClr val="accent1"/>
                      </a:solidFill>
                    </a:endParaRPr>
                  </a:p>
                </c:rich>
              </c:tx>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 Curves'!$C$210:$G$210</c:f>
              <c:numCache>
                <c:formatCode>General</c:formatCode>
                <c:ptCount val="5"/>
                <c:pt idx="2">
                  <c:v>2</c:v>
                </c:pt>
                <c:pt idx="4">
                  <c:v>2.4</c:v>
                </c:pt>
              </c:numCache>
            </c:numRef>
          </c:xVal>
          <c:yVal>
            <c:numRef>
              <c:f>'Reference Curves'!$C$211:$G$211</c:f>
              <c:numCache>
                <c:formatCode>General</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1-BF2D-4C64-879A-74EFD3CDDBF5}"/>
            </c:ext>
          </c:extLst>
        </c:ser>
        <c:ser>
          <c:idx val="2"/>
          <c:order val="1"/>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2"/>
                </a:solidFill>
                <a:prstDash val="sysDot"/>
              </a:ln>
              <a:effectLst/>
            </c:spPr>
            <c:trendlineType val="linear"/>
            <c:dispRSqr val="0"/>
            <c:dispEq val="1"/>
            <c:trendlineLbl>
              <c:layout>
                <c:manualLayout>
                  <c:x val="-5.0351584010779875E-2"/>
                  <c:y val="0.1031904303668859"/>
                </c:manualLayout>
              </c:layout>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baseline="0">
                        <a:solidFill>
                          <a:schemeClr val="accent2"/>
                        </a:solidFill>
                      </a:rPr>
                      <a:t>y = 0.0698x + 0.5326</a:t>
                    </a:r>
                  </a:p>
                </c:rich>
              </c:tx>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 Curves'!$G$210:$H$210</c:f>
              <c:numCache>
                <c:formatCode>General</c:formatCode>
                <c:ptCount val="2"/>
                <c:pt idx="0">
                  <c:v>2.4</c:v>
                </c:pt>
                <c:pt idx="1">
                  <c:v>6.7</c:v>
                </c:pt>
              </c:numCache>
            </c:numRef>
          </c:xVal>
          <c:yVal>
            <c:numRef>
              <c:f>'Reference Curves'!$G$211:$H$211</c:f>
              <c:numCache>
                <c:formatCode>General</c:formatCode>
                <c:ptCount val="2"/>
                <c:pt idx="0">
                  <c:v>0.7</c:v>
                </c:pt>
                <c:pt idx="1">
                  <c:v>1</c:v>
                </c:pt>
              </c:numCache>
            </c:numRef>
          </c:yVal>
          <c:smooth val="0"/>
          <c:extLst>
            <c:ext xmlns:c16="http://schemas.microsoft.com/office/drawing/2014/chart" uri="{C3380CC4-5D6E-409C-BE32-E72D297353CC}">
              <c16:uniqueId val="{00000004-BF2D-4C64-879A-74EFD3CDDBF5}"/>
            </c:ext>
          </c:extLst>
        </c:ser>
        <c:dLbls>
          <c:showLegendKey val="0"/>
          <c:showVal val="0"/>
          <c:showCatName val="0"/>
          <c:showSerName val="0"/>
          <c:showPercent val="0"/>
          <c:showBubbleSize val="0"/>
        </c:dLbls>
        <c:axId val="440736008"/>
        <c:axId val="440734048"/>
      </c:scatterChart>
      <c:valAx>
        <c:axId val="440736008"/>
        <c:scaling>
          <c:orientation val="minMax"/>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(Ratio)</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0734048"/>
        <c:crosses val="autoZero"/>
        <c:crossBetween val="midCat"/>
      </c:valAx>
      <c:valAx>
        <c:axId val="440734048"/>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073600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Bank Height Ratio (BHR)</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BHR</c:v>
          </c:tx>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forward val="0.21000000000000002"/>
            <c:dispRSqr val="0"/>
            <c:dispEq val="1"/>
            <c:trendlineLbl>
              <c:layout>
                <c:manualLayout>
                  <c:x val="-3.9127659011418917E-2"/>
                  <c:y val="-0.54594458308208949"/>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Curves'!$C$107:$H$107</c:f>
              <c:numCache>
                <c:formatCode>General</c:formatCode>
                <c:ptCount val="6"/>
                <c:pt idx="2">
                  <c:v>1.5</c:v>
                </c:pt>
                <c:pt idx="5">
                  <c:v>1</c:v>
                </c:pt>
              </c:numCache>
            </c:numRef>
          </c:xVal>
          <c:yVal>
            <c:numRef>
              <c:f>'Reference Curves'!$C$109:$H$109</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0-C266-4796-88E9-230BE821F3E6}"/>
            </c:ext>
          </c:extLst>
        </c:ser>
        <c:ser>
          <c:idx val="1"/>
          <c:order val="1"/>
          <c:tx>
            <c:v>Transport</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backward val="0.60000000000000009"/>
            <c:dispRSqr val="0"/>
            <c:dispEq val="1"/>
            <c:trendlineLbl>
              <c:layout>
                <c:manualLayout>
                  <c:x val="-7.7613398962344135E-2"/>
                  <c:y val="7.0971287795333085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Curves'!$C$108:$H$108</c:f>
              <c:numCache>
                <c:formatCode>General</c:formatCode>
                <c:ptCount val="6"/>
                <c:pt idx="4">
                  <c:v>0.8</c:v>
                </c:pt>
                <c:pt idx="5">
                  <c:v>1</c:v>
                </c:pt>
              </c:numCache>
            </c:numRef>
          </c:xVal>
          <c:yVal>
            <c:numRef>
              <c:f>'Reference Curves'!$C$109:$H$109</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1-ACB0-4759-B200-813F482A33F6}"/>
            </c:ext>
          </c:extLst>
        </c:ser>
        <c:dLbls>
          <c:showLegendKey val="0"/>
          <c:showVal val="0"/>
          <c:showCatName val="0"/>
          <c:showSerName val="0"/>
          <c:showPercent val="0"/>
          <c:showBubbleSize val="0"/>
        </c:dLbls>
        <c:axId val="419254728"/>
        <c:axId val="419247280"/>
      </c:scatterChart>
      <c:valAx>
        <c:axId val="419254728"/>
        <c:scaling>
          <c:orientation val="minMax"/>
          <c:max val="1.8"/>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(Ratio)</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9247280"/>
        <c:crosses val="autoZero"/>
        <c:crossBetween val="midCat"/>
      </c:valAx>
      <c:valAx>
        <c:axId val="41924728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a:t>
                </a:r>
                <a:r>
                  <a:rPr lang="en-US" sz="1100" baseline="0"/>
                  <a:t> Value</a:t>
                </a:r>
                <a:endParaRPr lang="en-US" sz="1100"/>
              </a:p>
            </c:rich>
          </c:tx>
          <c:layout>
            <c:manualLayout>
              <c:xMode val="edge"/>
              <c:yMode val="edge"/>
              <c:x val="2.5144911728220403E-2"/>
              <c:y val="0.3955178180195148"/>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925472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ER</a:t>
            </a:r>
            <a:r>
              <a:rPr lang="en-US" sz="1600" baseline="0"/>
              <a:t> for C Streams</a:t>
            </a:r>
            <a:endParaRPr lang="en-US" sz="1600"/>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backward val="0.30000000000000004"/>
            <c:dispRSqr val="0"/>
            <c:dispEq val="1"/>
            <c:trendlineLbl>
              <c:layout>
                <c:manualLayout>
                  <c:x val="0.13601790980977305"/>
                  <c:y val="0.16682413040130759"/>
                </c:manualLayout>
              </c:layout>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baseline="0">
                        <a:solidFill>
                          <a:schemeClr val="accent1"/>
                        </a:solidFill>
                      </a:rPr>
                      <a:t>y = 1x - 1.7</a:t>
                    </a:r>
                    <a:endParaRPr lang="en-US" sz="1100">
                      <a:solidFill>
                        <a:schemeClr val="accent1"/>
                      </a:solidFill>
                    </a:endParaRPr>
                  </a:p>
                </c:rich>
              </c:tx>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 Curves'!$C$142:$G$142</c:f>
              <c:numCache>
                <c:formatCode>General</c:formatCode>
                <c:ptCount val="5"/>
                <c:pt idx="2">
                  <c:v>2</c:v>
                </c:pt>
                <c:pt idx="4">
                  <c:v>2.4</c:v>
                </c:pt>
              </c:numCache>
            </c:numRef>
          </c:xVal>
          <c:yVal>
            <c:numRef>
              <c:f>'Reference Curves'!$C$143:$G$143</c:f>
              <c:numCache>
                <c:formatCode>General</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0-1EEA-4BDA-8E2E-1D9F09529777}"/>
            </c:ext>
          </c:extLst>
        </c:ser>
        <c:ser>
          <c:idx val="1"/>
          <c:order val="1"/>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1.5779385800315841E-2"/>
                  <c:y val="0.14864414216354707"/>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Curves'!$G$142:$H$142</c:f>
              <c:numCache>
                <c:formatCode>General</c:formatCode>
                <c:ptCount val="2"/>
                <c:pt idx="0">
                  <c:v>2.4</c:v>
                </c:pt>
                <c:pt idx="1">
                  <c:v>4.2</c:v>
                </c:pt>
              </c:numCache>
            </c:numRef>
          </c:xVal>
          <c:yVal>
            <c:numRef>
              <c:f>'Reference Curves'!$G$143:$H$143</c:f>
              <c:numCache>
                <c:formatCode>General</c:formatCode>
                <c:ptCount val="2"/>
                <c:pt idx="0">
                  <c:v>0.7</c:v>
                </c:pt>
                <c:pt idx="1">
                  <c:v>1</c:v>
                </c:pt>
              </c:numCache>
            </c:numRef>
          </c:yVal>
          <c:smooth val="0"/>
          <c:extLst>
            <c:ext xmlns:c16="http://schemas.microsoft.com/office/drawing/2014/chart" uri="{C3380CC4-5D6E-409C-BE32-E72D297353CC}">
              <c16:uniqueId val="{00000000-FBB7-4035-A17D-E0D766088381}"/>
            </c:ext>
          </c:extLst>
        </c:ser>
        <c:dLbls>
          <c:showLegendKey val="0"/>
          <c:showVal val="0"/>
          <c:showCatName val="0"/>
          <c:showSerName val="0"/>
          <c:showPercent val="0"/>
          <c:showBubbleSize val="0"/>
        </c:dLbls>
        <c:axId val="440736008"/>
        <c:axId val="440734048"/>
      </c:scatterChart>
      <c:valAx>
        <c:axId val="440736008"/>
        <c:scaling>
          <c:orientation val="minMax"/>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(Ratio)</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0734048"/>
        <c:crosses val="autoZero"/>
        <c:crossBetween val="midCat"/>
      </c:valAx>
      <c:valAx>
        <c:axId val="440734048"/>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073600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ER for A</a:t>
            </a:r>
            <a:r>
              <a:rPr lang="en-US" sz="1600" baseline="0"/>
              <a:t> </a:t>
            </a:r>
            <a:r>
              <a:rPr lang="en-US" sz="1600"/>
              <a:t>and B Streams</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backward val="0.30000000000000004"/>
            <c:dispRSqr val="0"/>
            <c:dispEq val="1"/>
            <c:trendlineLbl>
              <c:layout>
                <c:manualLayout>
                  <c:x val="0.13672139332899724"/>
                  <c:y val="0.11509035641721276"/>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 Curves'!$C$245:$G$245</c:f>
              <c:numCache>
                <c:formatCode>General</c:formatCode>
                <c:ptCount val="5"/>
                <c:pt idx="2">
                  <c:v>1.2</c:v>
                </c:pt>
                <c:pt idx="4">
                  <c:v>1.4</c:v>
                </c:pt>
              </c:numCache>
            </c:numRef>
          </c:xVal>
          <c:yVal>
            <c:numRef>
              <c:f>'Reference Curves'!$C$246:$G$246</c:f>
              <c:numCache>
                <c:formatCode>General</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0-B511-473E-8345-F7FDAF1C4433}"/>
            </c:ext>
          </c:extLst>
        </c:ser>
        <c:ser>
          <c:idx val="1"/>
          <c:order val="1"/>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4651335609413541"/>
                  <c:y val="5.3232460432122049E-3"/>
                </c:manualLayout>
              </c:layout>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baseline="0">
                        <a:solidFill>
                          <a:schemeClr val="accent2"/>
                        </a:solidFill>
                      </a:rPr>
                      <a:t>y = 0.375x + 0.175</a:t>
                    </a:r>
                    <a:endParaRPr lang="en-US" sz="1100">
                      <a:solidFill>
                        <a:schemeClr val="accent2"/>
                      </a:solidFill>
                    </a:endParaRPr>
                  </a:p>
                </c:rich>
              </c:tx>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 Curves'!$G$245:$H$245</c:f>
              <c:numCache>
                <c:formatCode>General</c:formatCode>
                <c:ptCount val="2"/>
                <c:pt idx="0">
                  <c:v>1.4</c:v>
                </c:pt>
                <c:pt idx="1">
                  <c:v>2.2000000000000002</c:v>
                </c:pt>
              </c:numCache>
            </c:numRef>
          </c:xVal>
          <c:yVal>
            <c:numRef>
              <c:f>'Reference Curves'!$G$246:$H$246</c:f>
              <c:numCache>
                <c:formatCode>General</c:formatCode>
                <c:ptCount val="2"/>
                <c:pt idx="0">
                  <c:v>0.7</c:v>
                </c:pt>
                <c:pt idx="1">
                  <c:v>1</c:v>
                </c:pt>
              </c:numCache>
            </c:numRef>
          </c:yVal>
          <c:smooth val="0"/>
          <c:extLst>
            <c:ext xmlns:c16="http://schemas.microsoft.com/office/drawing/2014/chart" uri="{C3380CC4-5D6E-409C-BE32-E72D297353CC}">
              <c16:uniqueId val="{00000000-EF40-4FA8-8C0D-00C8C3EA5E04}"/>
            </c:ext>
          </c:extLst>
        </c:ser>
        <c:dLbls>
          <c:showLegendKey val="0"/>
          <c:showVal val="0"/>
          <c:showCatName val="0"/>
          <c:showSerName val="0"/>
          <c:showPercent val="0"/>
          <c:showBubbleSize val="0"/>
        </c:dLbls>
        <c:axId val="440734832"/>
        <c:axId val="440733264"/>
      </c:scatterChart>
      <c:valAx>
        <c:axId val="440734832"/>
        <c:scaling>
          <c:orientation val="minMax"/>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(Ratio)</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0733264"/>
        <c:crosses val="autoZero"/>
        <c:crossBetween val="midCat"/>
      </c:valAx>
      <c:valAx>
        <c:axId val="440733264"/>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073483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LWDI</a:t>
            </a:r>
            <a:r>
              <a:rPr lang="en-US" baseline="0"/>
              <a:t>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'Reference Curves'!$K$13</c:f>
              <c:strCache>
                <c:ptCount val="1"/>
                <c:pt idx="0">
                  <c:v>NF/FAR</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7.4994042715032835E-2"/>
                  <c:y val="0.27016364529992942"/>
                </c:manualLayout>
              </c:layout>
              <c:numFmt formatCode="#,##0.0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Curves'!$K$10:$O$10</c:f>
              <c:numCache>
                <c:formatCode>General</c:formatCode>
                <c:ptCount val="5"/>
                <c:pt idx="0">
                  <c:v>0</c:v>
                </c:pt>
                <c:pt idx="4">
                  <c:v>430</c:v>
                </c:pt>
              </c:numCache>
            </c:numRef>
          </c:xVal>
          <c:yVal>
            <c:numRef>
              <c:f>'Reference Curves'!$K$11:$O$11</c:f>
              <c:numCache>
                <c:formatCode>General</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0-7D9C-4895-B98E-45CEF21B931D}"/>
            </c:ext>
          </c:extLst>
        </c:ser>
        <c:ser>
          <c:idx val="1"/>
          <c:order val="1"/>
          <c:tx>
            <c:strRef>
              <c:f>'Reference Curves'!$L$13</c:f>
              <c:strCache>
                <c:ptCount val="1"/>
                <c:pt idx="0">
                  <c:v>F</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5.6577018681140116E-2"/>
                  <c:y val="0.14952573005998884"/>
                </c:manualLayout>
              </c:layout>
              <c:numFmt formatCode="#,##0.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Curves'!$O$10:$P$10</c:f>
              <c:numCache>
                <c:formatCode>General</c:formatCode>
                <c:ptCount val="2"/>
                <c:pt idx="0">
                  <c:v>430</c:v>
                </c:pt>
                <c:pt idx="1">
                  <c:v>660</c:v>
                </c:pt>
              </c:numCache>
            </c:numRef>
          </c:xVal>
          <c:yVal>
            <c:numRef>
              <c:f>'Reference Curves'!$O$11:$P$11</c:f>
              <c:numCache>
                <c:formatCode>General</c:formatCode>
                <c:ptCount val="2"/>
                <c:pt idx="0">
                  <c:v>0.7</c:v>
                </c:pt>
                <c:pt idx="1">
                  <c:v>1</c:v>
                </c:pt>
              </c:numCache>
            </c:numRef>
          </c:yVal>
          <c:smooth val="0"/>
          <c:extLst>
            <c:ext xmlns:c16="http://schemas.microsoft.com/office/drawing/2014/chart" uri="{C3380CC4-5D6E-409C-BE32-E72D297353CC}">
              <c16:uniqueId val="{00000001-2777-4E45-B140-67A5ECEFF695}"/>
            </c:ext>
          </c:extLst>
        </c:ser>
        <c:dLbls>
          <c:showLegendKey val="0"/>
          <c:showVal val="0"/>
          <c:showCatName val="0"/>
          <c:showSerName val="0"/>
          <c:showPercent val="0"/>
          <c:showBubbleSize val="0"/>
        </c:dLbls>
        <c:axId val="440733656"/>
        <c:axId val="440730912"/>
      </c:scatterChart>
      <c:valAx>
        <c:axId val="44073365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a:t>
                </a:r>
                <a:r>
                  <a:rPr lang="en-US" sz="1100" baseline="0"/>
                  <a:t> Value (Index Score)</a:t>
                </a:r>
                <a:endParaRPr lang="en-US" sz="1100"/>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0730912"/>
        <c:crosses val="autoZero"/>
        <c:crossBetween val="midCat"/>
      </c:valAx>
      <c:valAx>
        <c:axId val="440730912"/>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a:t>
                </a:r>
                <a:r>
                  <a:rPr lang="en-US" sz="1100" baseline="0"/>
                  <a:t> Value</a:t>
                </a:r>
                <a:endParaRPr lang="en-US" sz="1100"/>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073365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Pool Spacing Ratio for Bc Stream</a:t>
            </a:r>
            <a:r>
              <a:rPr lang="en-US" sz="1600" baseline="0"/>
              <a:t> Types</a:t>
            </a:r>
            <a:endParaRPr lang="en-US" sz="1600"/>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forward val="6"/>
            <c:dispRSqr val="0"/>
            <c:dispEq val="1"/>
            <c:trendlineLbl>
              <c:layout>
                <c:manualLayout>
                  <c:x val="-0.22445408719152712"/>
                  <c:y val="-0.11792910277204711"/>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Curves'!$K$274:$P$274</c:f>
              <c:numCache>
                <c:formatCode>General</c:formatCode>
                <c:ptCount val="6"/>
                <c:pt idx="4">
                  <c:v>6</c:v>
                </c:pt>
                <c:pt idx="5">
                  <c:v>3.4</c:v>
                </c:pt>
              </c:numCache>
            </c:numRef>
          </c:xVal>
          <c:yVal>
            <c:numRef>
              <c:f>'Reference Curves'!$K$275:$P$275</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1-2D8B-439A-A86A-F9817A30EAA5}"/>
            </c:ext>
          </c:extLst>
        </c:ser>
        <c:dLbls>
          <c:showLegendKey val="0"/>
          <c:showVal val="0"/>
          <c:showCatName val="0"/>
          <c:showSerName val="0"/>
          <c:showPercent val="0"/>
          <c:showBubbleSize val="0"/>
        </c:dLbls>
        <c:axId val="440731696"/>
        <c:axId val="440736400"/>
      </c:scatterChart>
      <c:valAx>
        <c:axId val="44073169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(Ratio)</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0736400"/>
        <c:crosses val="autoZero"/>
        <c:crossBetween val="midCat"/>
      </c:valAx>
      <c:valAx>
        <c:axId val="44073640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073169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3" Type="http://schemas.openxmlformats.org/officeDocument/2006/relationships/chart" Target="../charts/chart17.xml"/><Relationship Id="rId18" Type="http://schemas.openxmlformats.org/officeDocument/2006/relationships/chart" Target="../charts/chart22.xml"/><Relationship Id="rId26" Type="http://schemas.openxmlformats.org/officeDocument/2006/relationships/chart" Target="../charts/chart30.xml"/><Relationship Id="rId39" Type="http://schemas.openxmlformats.org/officeDocument/2006/relationships/chart" Target="../charts/chart43.xml"/><Relationship Id="rId21" Type="http://schemas.openxmlformats.org/officeDocument/2006/relationships/chart" Target="../charts/chart25.xml"/><Relationship Id="rId34" Type="http://schemas.openxmlformats.org/officeDocument/2006/relationships/chart" Target="../charts/chart38.xml"/><Relationship Id="rId7" Type="http://schemas.openxmlformats.org/officeDocument/2006/relationships/chart" Target="../charts/chart11.xml"/><Relationship Id="rId12" Type="http://schemas.openxmlformats.org/officeDocument/2006/relationships/chart" Target="../charts/chart16.xml"/><Relationship Id="rId17" Type="http://schemas.openxmlformats.org/officeDocument/2006/relationships/chart" Target="../charts/chart21.xml"/><Relationship Id="rId25" Type="http://schemas.openxmlformats.org/officeDocument/2006/relationships/chart" Target="../charts/chart29.xml"/><Relationship Id="rId33" Type="http://schemas.openxmlformats.org/officeDocument/2006/relationships/chart" Target="../charts/chart37.xml"/><Relationship Id="rId38" Type="http://schemas.openxmlformats.org/officeDocument/2006/relationships/chart" Target="../charts/chart42.xml"/><Relationship Id="rId2" Type="http://schemas.openxmlformats.org/officeDocument/2006/relationships/chart" Target="../charts/chart6.xml"/><Relationship Id="rId16" Type="http://schemas.openxmlformats.org/officeDocument/2006/relationships/chart" Target="../charts/chart20.xml"/><Relationship Id="rId20" Type="http://schemas.openxmlformats.org/officeDocument/2006/relationships/chart" Target="../charts/chart24.xml"/><Relationship Id="rId29" Type="http://schemas.openxmlformats.org/officeDocument/2006/relationships/chart" Target="../charts/chart33.xml"/><Relationship Id="rId1" Type="http://schemas.openxmlformats.org/officeDocument/2006/relationships/chart" Target="../charts/chart5.xml"/><Relationship Id="rId6" Type="http://schemas.openxmlformats.org/officeDocument/2006/relationships/chart" Target="../charts/chart10.xml"/><Relationship Id="rId11" Type="http://schemas.openxmlformats.org/officeDocument/2006/relationships/chart" Target="../charts/chart15.xml"/><Relationship Id="rId24" Type="http://schemas.openxmlformats.org/officeDocument/2006/relationships/chart" Target="../charts/chart28.xml"/><Relationship Id="rId32" Type="http://schemas.openxmlformats.org/officeDocument/2006/relationships/chart" Target="../charts/chart36.xml"/><Relationship Id="rId37" Type="http://schemas.openxmlformats.org/officeDocument/2006/relationships/chart" Target="../charts/chart41.xml"/><Relationship Id="rId5" Type="http://schemas.openxmlformats.org/officeDocument/2006/relationships/chart" Target="../charts/chart9.xml"/><Relationship Id="rId15" Type="http://schemas.openxmlformats.org/officeDocument/2006/relationships/chart" Target="../charts/chart19.xml"/><Relationship Id="rId23" Type="http://schemas.openxmlformats.org/officeDocument/2006/relationships/chart" Target="../charts/chart27.xml"/><Relationship Id="rId28" Type="http://schemas.openxmlformats.org/officeDocument/2006/relationships/chart" Target="../charts/chart32.xml"/><Relationship Id="rId36" Type="http://schemas.openxmlformats.org/officeDocument/2006/relationships/chart" Target="../charts/chart40.xml"/><Relationship Id="rId10" Type="http://schemas.openxmlformats.org/officeDocument/2006/relationships/chart" Target="../charts/chart14.xml"/><Relationship Id="rId19" Type="http://schemas.openxmlformats.org/officeDocument/2006/relationships/chart" Target="../charts/chart23.xml"/><Relationship Id="rId31" Type="http://schemas.openxmlformats.org/officeDocument/2006/relationships/chart" Target="../charts/chart35.xml"/><Relationship Id="rId4" Type="http://schemas.openxmlformats.org/officeDocument/2006/relationships/chart" Target="../charts/chart8.xml"/><Relationship Id="rId9" Type="http://schemas.openxmlformats.org/officeDocument/2006/relationships/chart" Target="../charts/chart13.xml"/><Relationship Id="rId14" Type="http://schemas.openxmlformats.org/officeDocument/2006/relationships/chart" Target="../charts/chart18.xml"/><Relationship Id="rId22" Type="http://schemas.openxmlformats.org/officeDocument/2006/relationships/chart" Target="../charts/chart26.xml"/><Relationship Id="rId27" Type="http://schemas.openxmlformats.org/officeDocument/2006/relationships/chart" Target="../charts/chart31.xml"/><Relationship Id="rId30" Type="http://schemas.openxmlformats.org/officeDocument/2006/relationships/chart" Target="../charts/chart34.xml"/><Relationship Id="rId35" Type="http://schemas.openxmlformats.org/officeDocument/2006/relationships/chart" Target="../charts/chart39.xml"/><Relationship Id="rId8" Type="http://schemas.openxmlformats.org/officeDocument/2006/relationships/chart" Target="../charts/chart12.xml"/><Relationship Id="rId3"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6</xdr:col>
      <xdr:colOff>38659</xdr:colOff>
      <xdr:row>9</xdr:row>
      <xdr:rowOff>7845</xdr:rowOff>
    </xdr:from>
    <xdr:to>
      <xdr:col>11</xdr:col>
      <xdr:colOff>315056</xdr:colOff>
      <xdr:row>18</xdr:row>
      <xdr:rowOff>99061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977005" y="1568480"/>
          <a:ext cx="4240263" cy="18057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Expand</a:t>
          </a:r>
          <a:r>
            <a:rPr lang="en-US" sz="1100" baseline="0"/>
            <a:t> on the programmatic goals of this project:</a:t>
          </a:r>
        </a:p>
        <a:p>
          <a:endParaRPr lang="en-US" sz="1100"/>
        </a:p>
      </xdr:txBody>
    </xdr:sp>
    <xdr:clientData/>
  </xdr:twoCellAnchor>
  <xdr:twoCellAnchor>
    <xdr:from>
      <xdr:col>6</xdr:col>
      <xdr:colOff>19684</xdr:colOff>
      <xdr:row>20</xdr:row>
      <xdr:rowOff>85052</xdr:rowOff>
    </xdr:from>
    <xdr:to>
      <xdr:col>11</xdr:col>
      <xdr:colOff>293076</xdr:colOff>
      <xdr:row>29</xdr:row>
      <xdr:rowOff>73269</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958030" y="3748514"/>
          <a:ext cx="4237258" cy="16953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2)</a:t>
          </a:r>
          <a:r>
            <a:rPr lang="en-US" sz="1100" baseline="0"/>
            <a:t> </a:t>
          </a:r>
          <a:r>
            <a:rPr lang="en-US" sz="1100"/>
            <a:t>Explain the restoration</a:t>
          </a:r>
          <a:r>
            <a:rPr lang="en-US" sz="1100" baseline="0"/>
            <a:t> potential of this project based on the programmatic goals (based on catchment assessment form):</a:t>
          </a:r>
        </a:p>
        <a:p>
          <a:endParaRPr lang="en-US" sz="1100"/>
        </a:p>
      </xdr:txBody>
    </xdr:sp>
    <xdr:clientData/>
  </xdr:twoCellAnchor>
  <xdr:twoCellAnchor>
    <xdr:from>
      <xdr:col>6</xdr:col>
      <xdr:colOff>32384</xdr:colOff>
      <xdr:row>29</xdr:row>
      <xdr:rowOff>117230</xdr:rowOff>
    </xdr:from>
    <xdr:to>
      <xdr:col>11</xdr:col>
      <xdr:colOff>300403</xdr:colOff>
      <xdr:row>39</xdr:row>
      <xdr:rowOff>157369</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4970730" y="5487865"/>
          <a:ext cx="4231885" cy="19744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3) Explain </a:t>
          </a:r>
          <a:r>
            <a:rPr lang="en-US" sz="1100" baseline="0"/>
            <a:t>the goals and objectives for this project:</a:t>
          </a:r>
        </a:p>
        <a:p>
          <a:endParaRPr lang="en-US" sz="1100"/>
        </a:p>
        <a:p>
          <a:r>
            <a:rPr lang="en-US" sz="1100"/>
            <a:t>Goals:</a:t>
          </a:r>
          <a:r>
            <a:rPr lang="en-US" sz="1100" baseline="0"/>
            <a:t> </a:t>
          </a:r>
        </a:p>
        <a:p>
          <a:endParaRPr lang="en-US" sz="1100" baseline="0"/>
        </a:p>
        <a:p>
          <a:endParaRPr lang="en-US" sz="1100" baseline="0"/>
        </a:p>
        <a:p>
          <a:endParaRPr lang="en-US" sz="1100" baseline="0"/>
        </a:p>
        <a:p>
          <a:endParaRPr lang="en-US" sz="1100" baseline="0"/>
        </a:p>
        <a:p>
          <a:r>
            <a:rPr lang="en-US" sz="1100" baseline="0"/>
            <a:t>Objectives: </a:t>
          </a:r>
          <a:endParaRPr lang="en-US" sz="1100"/>
        </a:p>
      </xdr:txBody>
    </xdr:sp>
    <xdr:clientData/>
  </xdr:twoCellAnchor>
  <xdr:twoCellAnchor>
    <xdr:from>
      <xdr:col>0</xdr:col>
      <xdr:colOff>31200</xdr:colOff>
      <xdr:row>40</xdr:row>
      <xdr:rowOff>15241</xdr:rowOff>
    </xdr:from>
    <xdr:to>
      <xdr:col>5</xdr:col>
      <xdr:colOff>100081</xdr:colOff>
      <xdr:row>43</xdr:row>
      <xdr:rowOff>137160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31200" y="7467601"/>
          <a:ext cx="5075221" cy="670559"/>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300" b="1"/>
            <a:t>NOTICE: </a:t>
          </a:r>
          <a:r>
            <a:rPr lang="en-US" sz="1100" baseline="0"/>
            <a:t>If you find errors or problems, please </a:t>
          </a:r>
          <a:r>
            <a:rPr lang="en-US" sz="1100" baseline="0">
              <a:solidFill>
                <a:sysClr val="windowText" lastClr="000000"/>
              </a:solidFill>
            </a:rPr>
            <a:t>contact </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Joshua Carpenter at </a:t>
          </a:r>
          <a:r>
            <a:rPr lang="en-US" sz="1100" u="sng">
              <a:solidFill>
                <a:schemeClr val="dk1"/>
              </a:solidFill>
              <a:effectLst/>
              <a:latin typeface="+mn-lt"/>
              <a:ea typeface="+mn-ea"/>
              <a:cs typeface="+mn-cs"/>
              <a:hlinkClick xmlns:r="http://schemas.openxmlformats.org/officeDocument/2006/relationships" r:id=""/>
            </a:rPr>
            <a:t>Joshua.G.Carpenter@usace.army.mil</a:t>
          </a:r>
          <a:r>
            <a:rPr lang="en-US" sz="1100" u="none" baseline="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u="none">
              <a:solidFill>
                <a:sysClr val="windowText" lastClr="000000"/>
              </a:solidFill>
              <a:effectLst/>
              <a:latin typeface="+mn-lt"/>
              <a:ea typeface="+mn-ea"/>
              <a:cs typeface="+mn-cs"/>
            </a:rPr>
            <a:t>or Julia McCarthy at </a:t>
          </a:r>
          <a:r>
            <a:rPr lang="en-US" sz="1100" u="sng">
              <a:solidFill>
                <a:schemeClr val="dk1"/>
              </a:solidFill>
              <a:effectLst/>
              <a:latin typeface="+mn-lt"/>
              <a:ea typeface="+mn-ea"/>
              <a:cs typeface="+mn-cs"/>
              <a:hlinkClick xmlns:r="http://schemas.openxmlformats.org/officeDocument/2006/relationships" r:id=""/>
            </a:rPr>
            <a:t>Mccarthy.julia@epa.gov</a:t>
          </a:r>
          <a:endParaRPr lang="en-US" sz="1100">
            <a:solidFill>
              <a:schemeClr val="dk1"/>
            </a:solidFill>
            <a:effectLst/>
            <a:latin typeface="+mn-lt"/>
            <a:ea typeface="+mn-ea"/>
            <a:cs typeface="+mn-cs"/>
          </a:endParaRPr>
        </a:p>
        <a:p>
          <a:endParaRPr lang="en-US" sz="1100" u="none" baseline="0">
            <a:solidFill>
              <a:sysClr val="windowText" lastClr="000000"/>
            </a:solidFill>
          </a:endParaRPr>
        </a:p>
      </xdr:txBody>
    </xdr:sp>
    <xdr:clientData/>
  </xdr:twoCellAnchor>
  <xdr:twoCellAnchor>
    <xdr:from>
      <xdr:col>0</xdr:col>
      <xdr:colOff>43890</xdr:colOff>
      <xdr:row>10</xdr:row>
      <xdr:rowOff>53787</xdr:rowOff>
    </xdr:from>
    <xdr:to>
      <xdr:col>4</xdr:col>
      <xdr:colOff>558800</xdr:colOff>
      <xdr:row>18</xdr:row>
      <xdr:rowOff>98611</xdr:rowOff>
    </xdr:to>
    <xdr:sp macro="" textlink="">
      <xdr:nvSpPr>
        <xdr:cNvPr id="7" name="TextBox 6">
          <a:extLst>
            <a:ext uri="{FF2B5EF4-FFF2-40B4-BE49-F238E27FC236}">
              <a16:creationId xmlns:a16="http://schemas.microsoft.com/office/drawing/2014/main" id="{22BE1E87-F535-49D8-A600-813440F7EB6D}"/>
            </a:ext>
          </a:extLst>
        </xdr:cNvPr>
        <xdr:cNvSpPr txBox="1"/>
      </xdr:nvSpPr>
      <xdr:spPr>
        <a:xfrm>
          <a:off x="43890" y="1730187"/>
          <a:ext cx="4450416" cy="1479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Describe this reach and </a:t>
          </a:r>
          <a:r>
            <a:rPr lang="en-US" sz="1100" baseline="0"/>
            <a:t>reach break criteria</a:t>
          </a:r>
          <a:r>
            <a:rPr lang="en-US" sz="11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31750</xdr:colOff>
      <xdr:row>33</xdr:row>
      <xdr:rowOff>32362</xdr:rowOff>
    </xdr:from>
    <xdr:to>
      <xdr:col>13</xdr:col>
      <xdr:colOff>142514</xdr:colOff>
      <xdr:row>55</xdr:row>
      <xdr:rowOff>670</xdr:rowOff>
    </xdr:to>
    <xdr:graphicFrame macro="">
      <xdr:nvGraphicFramePr>
        <xdr:cNvPr id="2" name="Chart 1">
          <a:extLst>
            <a:ext uri="{FF2B5EF4-FFF2-40B4-BE49-F238E27FC236}">
              <a16:creationId xmlns:a16="http://schemas.microsoft.com/office/drawing/2014/main" id="{B221CF4E-9ACB-4548-8EF7-6B02759BF4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31750</xdr:colOff>
      <xdr:row>55</xdr:row>
      <xdr:rowOff>63226</xdr:rowOff>
    </xdr:from>
    <xdr:to>
      <xdr:col>13</xdr:col>
      <xdr:colOff>144962</xdr:colOff>
      <xdr:row>76</xdr:row>
      <xdr:rowOff>177601</xdr:rowOff>
    </xdr:to>
    <xdr:graphicFrame macro="">
      <xdr:nvGraphicFramePr>
        <xdr:cNvPr id="3" name="Chart 2">
          <a:extLst>
            <a:ext uri="{FF2B5EF4-FFF2-40B4-BE49-F238E27FC236}">
              <a16:creationId xmlns:a16="http://schemas.microsoft.com/office/drawing/2014/main" id="{12BE19F8-07EE-4D5C-8496-D254FB984E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46661</xdr:colOff>
      <xdr:row>100</xdr:row>
      <xdr:rowOff>18481</xdr:rowOff>
    </xdr:from>
    <xdr:to>
      <xdr:col>14</xdr:col>
      <xdr:colOff>100854</xdr:colOff>
      <xdr:row>121</xdr:row>
      <xdr:rowOff>138224</xdr:rowOff>
    </xdr:to>
    <xdr:graphicFrame macro="">
      <xdr:nvGraphicFramePr>
        <xdr:cNvPr id="4" name="Chart 3">
          <a:extLst>
            <a:ext uri="{FF2B5EF4-FFF2-40B4-BE49-F238E27FC236}">
              <a16:creationId xmlns:a16="http://schemas.microsoft.com/office/drawing/2014/main" id="{5689FEB0-0CB4-49E6-A548-81C6594F58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27090</xdr:colOff>
      <xdr:row>77</xdr:row>
      <xdr:rowOff>189890</xdr:rowOff>
    </xdr:from>
    <xdr:to>
      <xdr:col>14</xdr:col>
      <xdr:colOff>635000</xdr:colOff>
      <xdr:row>99</xdr:row>
      <xdr:rowOff>125936</xdr:rowOff>
    </xdr:to>
    <xdr:graphicFrame macro="">
      <xdr:nvGraphicFramePr>
        <xdr:cNvPr id="5" name="Chart 4">
          <a:extLst>
            <a:ext uri="{FF2B5EF4-FFF2-40B4-BE49-F238E27FC236}">
              <a16:creationId xmlns:a16="http://schemas.microsoft.com/office/drawing/2014/main" id="{25FBA3C0-0791-4964-B416-81AD935357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16329</xdr:colOff>
      <xdr:row>114</xdr:row>
      <xdr:rowOff>58512</xdr:rowOff>
    </xdr:from>
    <xdr:to>
      <xdr:col>7</xdr:col>
      <xdr:colOff>771525</xdr:colOff>
      <xdr:row>138</xdr:row>
      <xdr:rowOff>57149</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26942</xdr:colOff>
      <xdr:row>149</xdr:row>
      <xdr:rowOff>12246</xdr:rowOff>
    </xdr:from>
    <xdr:to>
      <xdr:col>7</xdr:col>
      <xdr:colOff>784860</xdr:colOff>
      <xdr:row>172</xdr:row>
      <xdr:rowOff>154305</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63954</xdr:colOff>
      <xdr:row>251</xdr:row>
      <xdr:rowOff>99331</xdr:rowOff>
    </xdr:from>
    <xdr:to>
      <xdr:col>7</xdr:col>
      <xdr:colOff>742950</xdr:colOff>
      <xdr:row>274</xdr:row>
      <xdr:rowOff>114300</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719665</xdr:colOff>
      <xdr:row>16</xdr:row>
      <xdr:rowOff>70303</xdr:rowOff>
    </xdr:from>
    <xdr:to>
      <xdr:col>15</xdr:col>
      <xdr:colOff>754592</xdr:colOff>
      <xdr:row>40</xdr:row>
      <xdr:rowOff>82550</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82078</xdr:colOff>
      <xdr:row>279</xdr:row>
      <xdr:rowOff>128494</xdr:rowOff>
    </xdr:from>
    <xdr:to>
      <xdr:col>16</xdr:col>
      <xdr:colOff>0</xdr:colOff>
      <xdr:row>301</xdr:row>
      <xdr:rowOff>170516</xdr:rowOff>
    </xdr:to>
    <xdr:graphicFrame macro="">
      <xdr:nvGraphicFramePr>
        <xdr:cNvPr id="9" name="Chart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122464</xdr:colOff>
      <xdr:row>248</xdr:row>
      <xdr:rowOff>54428</xdr:rowOff>
    </xdr:from>
    <xdr:to>
      <xdr:col>16</xdr:col>
      <xdr:colOff>0</xdr:colOff>
      <xdr:row>270</xdr:row>
      <xdr:rowOff>133350</xdr:rowOff>
    </xdr:to>
    <xdr:graphicFrame macro="">
      <xdr:nvGraphicFramePr>
        <xdr:cNvPr id="10" name="Chart 9">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30480</xdr:colOff>
      <xdr:row>216</xdr:row>
      <xdr:rowOff>41909</xdr:rowOff>
    </xdr:from>
    <xdr:to>
      <xdr:col>15</xdr:col>
      <xdr:colOff>744071</xdr:colOff>
      <xdr:row>239</xdr:row>
      <xdr:rowOff>32384</xdr:rowOff>
    </xdr:to>
    <xdr:graphicFrame macro="">
      <xdr:nvGraphicFramePr>
        <xdr:cNvPr id="11" name="Chart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39782</xdr:colOff>
      <xdr:row>182</xdr:row>
      <xdr:rowOff>80231</xdr:rowOff>
    </xdr:from>
    <xdr:to>
      <xdr:col>15</xdr:col>
      <xdr:colOff>687481</xdr:colOff>
      <xdr:row>205</xdr:row>
      <xdr:rowOff>80683</xdr:rowOff>
    </xdr:to>
    <xdr:graphicFrame macro="">
      <xdr:nvGraphicFramePr>
        <xdr:cNvPr id="12" name="Chart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92664</xdr:colOff>
      <xdr:row>344</xdr:row>
      <xdr:rowOff>60540</xdr:rowOff>
    </xdr:from>
    <xdr:to>
      <xdr:col>15</xdr:col>
      <xdr:colOff>760319</xdr:colOff>
      <xdr:row>367</xdr:row>
      <xdr:rowOff>11207</xdr:rowOff>
    </xdr:to>
    <xdr:graphicFrame macro="">
      <xdr:nvGraphicFramePr>
        <xdr:cNvPr id="13" name="Chart 12">
          <a:extLst>
            <a:ext uri="{FF2B5EF4-FFF2-40B4-BE49-F238E27FC236}">
              <a16:creationId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19051</xdr:colOff>
      <xdr:row>445</xdr:row>
      <xdr:rowOff>32658</xdr:rowOff>
    </xdr:from>
    <xdr:to>
      <xdr:col>15</xdr:col>
      <xdr:colOff>704850</xdr:colOff>
      <xdr:row>468</xdr:row>
      <xdr:rowOff>180976</xdr:rowOff>
    </xdr:to>
    <xdr:graphicFrame macro="">
      <xdr:nvGraphicFramePr>
        <xdr:cNvPr id="14" name="Chart 13">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40822</xdr:colOff>
      <xdr:row>378</xdr:row>
      <xdr:rowOff>82322</xdr:rowOff>
    </xdr:from>
    <xdr:to>
      <xdr:col>15</xdr:col>
      <xdr:colOff>704850</xdr:colOff>
      <xdr:row>401</xdr:row>
      <xdr:rowOff>104775</xdr:rowOff>
    </xdr:to>
    <xdr:graphicFrame macro="">
      <xdr:nvGraphicFramePr>
        <xdr:cNvPr id="17" name="Chart 16">
          <a:extLst>
            <a:ext uri="{FF2B5EF4-FFF2-40B4-BE49-F238E27FC236}">
              <a16:creationId xmlns:a16="http://schemas.microsoft.com/office/drawing/2014/main" id="{00000000-0008-0000-04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61231</xdr:colOff>
      <xdr:row>186</xdr:row>
      <xdr:rowOff>0</xdr:rowOff>
    </xdr:from>
    <xdr:to>
      <xdr:col>16</xdr:col>
      <xdr:colOff>88446</xdr:colOff>
      <xdr:row>186</xdr:row>
      <xdr:rowOff>0</xdr:rowOff>
    </xdr:to>
    <xdr:graphicFrame macro="">
      <xdr:nvGraphicFramePr>
        <xdr:cNvPr id="18" name="Chart 17">
          <a:extLst>
            <a:ext uri="{FF2B5EF4-FFF2-40B4-BE49-F238E27FC236}">
              <a16:creationId xmlns:a16="http://schemas.microsoft.com/office/drawing/2014/main" id="{00000000-0008-0000-04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61232</xdr:colOff>
      <xdr:row>281</xdr:row>
      <xdr:rowOff>0</xdr:rowOff>
    </xdr:from>
    <xdr:to>
      <xdr:col>16</xdr:col>
      <xdr:colOff>88446</xdr:colOff>
      <xdr:row>281</xdr:row>
      <xdr:rowOff>0</xdr:rowOff>
    </xdr:to>
    <xdr:graphicFrame macro="">
      <xdr:nvGraphicFramePr>
        <xdr:cNvPr id="20" name="Chart 19">
          <a:extLst>
            <a:ext uri="{FF2B5EF4-FFF2-40B4-BE49-F238E27FC236}">
              <a16:creationId xmlns:a16="http://schemas.microsoft.com/office/drawing/2014/main" id="{00000000-0008-0000-04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26</xdr:col>
      <xdr:colOff>12246</xdr:colOff>
      <xdr:row>19</xdr:row>
      <xdr:rowOff>53789</xdr:rowOff>
    </xdr:from>
    <xdr:to>
      <xdr:col>34</xdr:col>
      <xdr:colOff>707572</xdr:colOff>
      <xdr:row>43</xdr:row>
      <xdr:rowOff>170331</xdr:rowOff>
    </xdr:to>
    <xdr:graphicFrame macro="">
      <xdr:nvGraphicFramePr>
        <xdr:cNvPr id="28" name="Chart 27">
          <a:extLst>
            <a:ext uri="{FF2B5EF4-FFF2-40B4-BE49-F238E27FC236}">
              <a16:creationId xmlns:a16="http://schemas.microsoft.com/office/drawing/2014/main" id="{00000000-0008-0000-04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142874</xdr:colOff>
      <xdr:row>144</xdr:row>
      <xdr:rowOff>0</xdr:rowOff>
    </xdr:from>
    <xdr:to>
      <xdr:col>16</xdr:col>
      <xdr:colOff>170088</xdr:colOff>
      <xdr:row>144</xdr:row>
      <xdr:rowOff>0</xdr:rowOff>
    </xdr:to>
    <xdr:graphicFrame macro="">
      <xdr:nvGraphicFramePr>
        <xdr:cNvPr id="42" name="Chart 41">
          <a:extLst>
            <a:ext uri="{FF2B5EF4-FFF2-40B4-BE49-F238E27FC236}">
              <a16:creationId xmlns:a16="http://schemas.microsoft.com/office/drawing/2014/main" id="{00000000-0008-0000-04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70757</xdr:colOff>
      <xdr:row>412</xdr:row>
      <xdr:rowOff>80962</xdr:rowOff>
    </xdr:from>
    <xdr:to>
      <xdr:col>15</xdr:col>
      <xdr:colOff>733425</xdr:colOff>
      <xdr:row>434</xdr:row>
      <xdr:rowOff>180975</xdr:rowOff>
    </xdr:to>
    <xdr:graphicFrame macro="">
      <xdr:nvGraphicFramePr>
        <xdr:cNvPr id="44" name="Chart 43">
          <a:extLst>
            <a:ext uri="{FF2B5EF4-FFF2-40B4-BE49-F238E27FC236}">
              <a16:creationId xmlns:a16="http://schemas.microsoft.com/office/drawing/2014/main" id="{00000000-0008-0000-04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17</xdr:col>
      <xdr:colOff>24494</xdr:colOff>
      <xdr:row>88</xdr:row>
      <xdr:rowOff>64635</xdr:rowOff>
    </xdr:from>
    <xdr:to>
      <xdr:col>23</xdr:col>
      <xdr:colOff>676275</xdr:colOff>
      <xdr:row>112</xdr:row>
      <xdr:rowOff>95250</xdr:rowOff>
    </xdr:to>
    <xdr:graphicFrame macro="">
      <xdr:nvGraphicFramePr>
        <xdr:cNvPr id="50" name="Chart 49">
          <a:extLst>
            <a:ext uri="{FF2B5EF4-FFF2-40B4-BE49-F238E27FC236}">
              <a16:creationId xmlns:a16="http://schemas.microsoft.com/office/drawing/2014/main" id="{00000000-0008-0000-04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29936</xdr:colOff>
      <xdr:row>117</xdr:row>
      <xdr:rowOff>44223</xdr:rowOff>
    </xdr:from>
    <xdr:to>
      <xdr:col>15</xdr:col>
      <xdr:colOff>771525</xdr:colOff>
      <xdr:row>141</xdr:row>
      <xdr:rowOff>85725</xdr:rowOff>
    </xdr:to>
    <xdr:graphicFrame macro="">
      <xdr:nvGraphicFramePr>
        <xdr:cNvPr id="60" name="Chart 59">
          <a:extLst>
            <a:ext uri="{FF2B5EF4-FFF2-40B4-BE49-F238E27FC236}">
              <a16:creationId xmlns:a16="http://schemas.microsoft.com/office/drawing/2014/main" id="{00000000-0008-0000-04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1211</xdr:colOff>
      <xdr:row>480</xdr:row>
      <xdr:rowOff>89354</xdr:rowOff>
    </xdr:from>
    <xdr:to>
      <xdr:col>15</xdr:col>
      <xdr:colOff>719667</xdr:colOff>
      <xdr:row>503</xdr:row>
      <xdr:rowOff>129117</xdr:rowOff>
    </xdr:to>
    <xdr:graphicFrame macro="">
      <xdr:nvGraphicFramePr>
        <xdr:cNvPr id="57" name="Chart 56">
          <a:extLst>
            <a:ext uri="{FF2B5EF4-FFF2-40B4-BE49-F238E27FC236}">
              <a16:creationId xmlns:a16="http://schemas.microsoft.com/office/drawing/2014/main" id="{00000000-0008-0000-04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29029</xdr:colOff>
      <xdr:row>16</xdr:row>
      <xdr:rowOff>7256</xdr:rowOff>
    </xdr:from>
    <xdr:to>
      <xdr:col>7</xdr:col>
      <xdr:colOff>673101</xdr:colOff>
      <xdr:row>37</xdr:row>
      <xdr:rowOff>3175</xdr:rowOff>
    </xdr:to>
    <xdr:graphicFrame macro="">
      <xdr:nvGraphicFramePr>
        <xdr:cNvPr id="71" name="Chart 70">
          <a:extLst>
            <a:ext uri="{FF2B5EF4-FFF2-40B4-BE49-F238E27FC236}">
              <a16:creationId xmlns:a16="http://schemas.microsoft.com/office/drawing/2014/main" id="{00000000-0008-0000-0400-00004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26</xdr:col>
      <xdr:colOff>28575</xdr:colOff>
      <xdr:row>54</xdr:row>
      <xdr:rowOff>55034</xdr:rowOff>
    </xdr:from>
    <xdr:to>
      <xdr:col>32</xdr:col>
      <xdr:colOff>644298</xdr:colOff>
      <xdr:row>78</xdr:row>
      <xdr:rowOff>57151</xdr:rowOff>
    </xdr:to>
    <xdr:graphicFrame macro="">
      <xdr:nvGraphicFramePr>
        <xdr:cNvPr id="74" name="Chart 73">
          <a:extLst>
            <a:ext uri="{FF2B5EF4-FFF2-40B4-BE49-F238E27FC236}">
              <a16:creationId xmlns:a16="http://schemas.microsoft.com/office/drawing/2014/main" id="{5AD8444C-90BD-4700-84A0-468A86838C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26</xdr:col>
      <xdr:colOff>123825</xdr:colOff>
      <xdr:row>90</xdr:row>
      <xdr:rowOff>53340</xdr:rowOff>
    </xdr:from>
    <xdr:to>
      <xdr:col>32</xdr:col>
      <xdr:colOff>586740</xdr:colOff>
      <xdr:row>116</xdr:row>
      <xdr:rowOff>142875</xdr:rowOff>
    </xdr:to>
    <xdr:graphicFrame macro="">
      <xdr:nvGraphicFramePr>
        <xdr:cNvPr id="78" name="Chart 77">
          <a:extLst>
            <a:ext uri="{FF2B5EF4-FFF2-40B4-BE49-F238E27FC236}">
              <a16:creationId xmlns:a16="http://schemas.microsoft.com/office/drawing/2014/main" id="{AA368CEC-5350-469F-BAA0-28764A59C8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320</xdr:row>
      <xdr:rowOff>0</xdr:rowOff>
    </xdr:from>
    <xdr:to>
      <xdr:col>7</xdr:col>
      <xdr:colOff>788894</xdr:colOff>
      <xdr:row>342</xdr:row>
      <xdr:rowOff>142875</xdr:rowOff>
    </xdr:to>
    <xdr:graphicFrame macro="">
      <xdr:nvGraphicFramePr>
        <xdr:cNvPr id="76" name="Chart 75">
          <a:extLst>
            <a:ext uri="{FF2B5EF4-FFF2-40B4-BE49-F238E27FC236}">
              <a16:creationId xmlns:a16="http://schemas.microsoft.com/office/drawing/2014/main" id="{DD2F1A42-3070-457C-A567-EE89CB58F7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9</xdr:col>
      <xdr:colOff>50800</xdr:colOff>
      <xdr:row>580</xdr:row>
      <xdr:rowOff>55880</xdr:rowOff>
    </xdr:from>
    <xdr:to>
      <xdr:col>16</xdr:col>
      <xdr:colOff>0</xdr:colOff>
      <xdr:row>602</xdr:row>
      <xdr:rowOff>82415</xdr:rowOff>
    </xdr:to>
    <xdr:graphicFrame macro="">
      <xdr:nvGraphicFramePr>
        <xdr:cNvPr id="80" name="Chart 79">
          <a:extLst>
            <a:ext uri="{FF2B5EF4-FFF2-40B4-BE49-F238E27FC236}">
              <a16:creationId xmlns:a16="http://schemas.microsoft.com/office/drawing/2014/main" id="{E1990C54-D9B9-49AE-8695-3E9FF5F4CB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9</xdr:col>
      <xdr:colOff>41487</xdr:colOff>
      <xdr:row>514</xdr:row>
      <xdr:rowOff>38947</xdr:rowOff>
    </xdr:from>
    <xdr:to>
      <xdr:col>15</xdr:col>
      <xdr:colOff>676109</xdr:colOff>
      <xdr:row>537</xdr:row>
      <xdr:rowOff>55880</xdr:rowOff>
    </xdr:to>
    <xdr:graphicFrame macro="">
      <xdr:nvGraphicFramePr>
        <xdr:cNvPr id="82" name="Chart 81">
          <a:extLst>
            <a:ext uri="{FF2B5EF4-FFF2-40B4-BE49-F238E27FC236}">
              <a16:creationId xmlns:a16="http://schemas.microsoft.com/office/drawing/2014/main" id="{334D2C5D-292B-49E9-8602-01BE93DC28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8</xdr:col>
      <xdr:colOff>780204</xdr:colOff>
      <xdr:row>50</xdr:row>
      <xdr:rowOff>846</xdr:rowOff>
    </xdr:from>
    <xdr:to>
      <xdr:col>16</xdr:col>
      <xdr:colOff>0</xdr:colOff>
      <xdr:row>73</xdr:row>
      <xdr:rowOff>143435</xdr:rowOff>
    </xdr:to>
    <xdr:graphicFrame macro="">
      <xdr:nvGraphicFramePr>
        <xdr:cNvPr id="54" name="Chart 53">
          <a:extLst>
            <a:ext uri="{FF2B5EF4-FFF2-40B4-BE49-F238E27FC236}">
              <a16:creationId xmlns:a16="http://schemas.microsoft.com/office/drawing/2014/main" id="{6E3E86B5-BE78-44D8-89F8-8162083E09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9</xdr:col>
      <xdr:colOff>68580</xdr:colOff>
      <xdr:row>85</xdr:row>
      <xdr:rowOff>60960</xdr:rowOff>
    </xdr:from>
    <xdr:to>
      <xdr:col>15</xdr:col>
      <xdr:colOff>702145</xdr:colOff>
      <xdr:row>107</xdr:row>
      <xdr:rowOff>79874</xdr:rowOff>
    </xdr:to>
    <xdr:graphicFrame macro="">
      <xdr:nvGraphicFramePr>
        <xdr:cNvPr id="56" name="Chart 55">
          <a:extLst>
            <a:ext uri="{FF2B5EF4-FFF2-40B4-BE49-F238E27FC236}">
              <a16:creationId xmlns:a16="http://schemas.microsoft.com/office/drawing/2014/main" id="{7F7B92F8-C160-402C-B62C-1DB0D047FB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9</xdr:col>
      <xdr:colOff>49107</xdr:colOff>
      <xdr:row>548</xdr:row>
      <xdr:rowOff>46567</xdr:rowOff>
    </xdr:from>
    <xdr:to>
      <xdr:col>15</xdr:col>
      <xdr:colOff>683729</xdr:colOff>
      <xdr:row>569</xdr:row>
      <xdr:rowOff>129540</xdr:rowOff>
    </xdr:to>
    <xdr:graphicFrame macro="">
      <xdr:nvGraphicFramePr>
        <xdr:cNvPr id="46" name="Chart 45">
          <a:extLst>
            <a:ext uri="{FF2B5EF4-FFF2-40B4-BE49-F238E27FC236}">
              <a16:creationId xmlns:a16="http://schemas.microsoft.com/office/drawing/2014/main" id="{FBCAC3E4-1846-4C77-B0DE-E9387EB20A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53340</xdr:colOff>
      <xdr:row>45</xdr:row>
      <xdr:rowOff>53340</xdr:rowOff>
    </xdr:from>
    <xdr:to>
      <xdr:col>7</xdr:col>
      <xdr:colOff>697412</xdr:colOff>
      <xdr:row>66</xdr:row>
      <xdr:rowOff>34019</xdr:rowOff>
    </xdr:to>
    <xdr:graphicFrame macro="">
      <xdr:nvGraphicFramePr>
        <xdr:cNvPr id="47" name="Chart 46">
          <a:extLst>
            <a:ext uri="{FF2B5EF4-FFF2-40B4-BE49-F238E27FC236}">
              <a16:creationId xmlns:a16="http://schemas.microsoft.com/office/drawing/2014/main" id="{3D0C09F9-68A7-49FE-9FE1-F9D82D9E28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9</xdr:col>
      <xdr:colOff>79936</xdr:colOff>
      <xdr:row>612</xdr:row>
      <xdr:rowOff>17781</xdr:rowOff>
    </xdr:from>
    <xdr:to>
      <xdr:col>15</xdr:col>
      <xdr:colOff>722714</xdr:colOff>
      <xdr:row>634</xdr:row>
      <xdr:rowOff>44315</xdr:rowOff>
    </xdr:to>
    <xdr:graphicFrame macro="">
      <xdr:nvGraphicFramePr>
        <xdr:cNvPr id="48" name="Chart 47">
          <a:extLst>
            <a:ext uri="{FF2B5EF4-FFF2-40B4-BE49-F238E27FC236}">
              <a16:creationId xmlns:a16="http://schemas.microsoft.com/office/drawing/2014/main" id="{41904151-9AC4-48A3-9A4E-BCDAC9552D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9</xdr:col>
      <xdr:colOff>62007</xdr:colOff>
      <xdr:row>149</xdr:row>
      <xdr:rowOff>35710</xdr:rowOff>
    </xdr:from>
    <xdr:to>
      <xdr:col>15</xdr:col>
      <xdr:colOff>704785</xdr:colOff>
      <xdr:row>170</xdr:row>
      <xdr:rowOff>178787</xdr:rowOff>
    </xdr:to>
    <xdr:graphicFrame macro="">
      <xdr:nvGraphicFramePr>
        <xdr:cNvPr id="49" name="Chart 48">
          <a:extLst>
            <a:ext uri="{FF2B5EF4-FFF2-40B4-BE49-F238E27FC236}">
              <a16:creationId xmlns:a16="http://schemas.microsoft.com/office/drawing/2014/main" id="{F9BD1F90-5A1E-4664-9654-B43F142FD4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9</xdr:col>
      <xdr:colOff>82078</xdr:colOff>
      <xdr:row>312</xdr:row>
      <xdr:rowOff>128494</xdr:rowOff>
    </xdr:from>
    <xdr:to>
      <xdr:col>16</xdr:col>
      <xdr:colOff>0</xdr:colOff>
      <xdr:row>334</xdr:row>
      <xdr:rowOff>170516</xdr:rowOff>
    </xdr:to>
    <xdr:graphicFrame macro="">
      <xdr:nvGraphicFramePr>
        <xdr:cNvPr id="51" name="Chart 50">
          <a:extLst>
            <a:ext uri="{FF2B5EF4-FFF2-40B4-BE49-F238E27FC236}">
              <a16:creationId xmlns:a16="http://schemas.microsoft.com/office/drawing/2014/main" id="{F30699E1-5593-43EB-B31A-7D029E422A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9</xdr:col>
      <xdr:colOff>61232</xdr:colOff>
      <xdr:row>314</xdr:row>
      <xdr:rowOff>0</xdr:rowOff>
    </xdr:from>
    <xdr:to>
      <xdr:col>16</xdr:col>
      <xdr:colOff>88446</xdr:colOff>
      <xdr:row>314</xdr:row>
      <xdr:rowOff>0</xdr:rowOff>
    </xdr:to>
    <xdr:graphicFrame macro="">
      <xdr:nvGraphicFramePr>
        <xdr:cNvPr id="58" name="Chart 57">
          <a:extLst>
            <a:ext uri="{FF2B5EF4-FFF2-40B4-BE49-F238E27FC236}">
              <a16:creationId xmlns:a16="http://schemas.microsoft.com/office/drawing/2014/main" id="{14D891E7-EABE-4413-B29D-698616CCEA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17</xdr:col>
      <xdr:colOff>-1</xdr:colOff>
      <xdr:row>21</xdr:row>
      <xdr:rowOff>89506</xdr:rowOff>
    </xdr:from>
    <xdr:to>
      <xdr:col>24</xdr:col>
      <xdr:colOff>250370</xdr:colOff>
      <xdr:row>45</xdr:row>
      <xdr:rowOff>0</xdr:rowOff>
    </xdr:to>
    <xdr:graphicFrame macro="">
      <xdr:nvGraphicFramePr>
        <xdr:cNvPr id="59" name="Chart 58">
          <a:extLst>
            <a:ext uri="{FF2B5EF4-FFF2-40B4-BE49-F238E27FC236}">
              <a16:creationId xmlns:a16="http://schemas.microsoft.com/office/drawing/2014/main" id="{5BCFD295-F4C7-4A16-9E3C-AFED47780D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17</xdr:col>
      <xdr:colOff>44824</xdr:colOff>
      <xdr:row>53</xdr:row>
      <xdr:rowOff>35859</xdr:rowOff>
    </xdr:from>
    <xdr:to>
      <xdr:col>23</xdr:col>
      <xdr:colOff>696605</xdr:colOff>
      <xdr:row>77</xdr:row>
      <xdr:rowOff>66474</xdr:rowOff>
    </xdr:to>
    <xdr:graphicFrame macro="">
      <xdr:nvGraphicFramePr>
        <xdr:cNvPr id="62" name="Chart 61">
          <a:extLst>
            <a:ext uri="{FF2B5EF4-FFF2-40B4-BE49-F238E27FC236}">
              <a16:creationId xmlns:a16="http://schemas.microsoft.com/office/drawing/2014/main" id="{D635BB82-D250-4003-9CF0-87B7A5A87D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16329</xdr:colOff>
      <xdr:row>79</xdr:row>
      <xdr:rowOff>58512</xdr:rowOff>
    </xdr:from>
    <xdr:to>
      <xdr:col>7</xdr:col>
      <xdr:colOff>771525</xdr:colOff>
      <xdr:row>103</xdr:row>
      <xdr:rowOff>57149</xdr:rowOff>
    </xdr:to>
    <xdr:graphicFrame macro="">
      <xdr:nvGraphicFramePr>
        <xdr:cNvPr id="67" name="Chart 66">
          <a:extLst>
            <a:ext uri="{FF2B5EF4-FFF2-40B4-BE49-F238E27FC236}">
              <a16:creationId xmlns:a16="http://schemas.microsoft.com/office/drawing/2014/main" id="{B5B85FF3-376D-46E8-9115-6D3CFAF7E2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8965</xdr:colOff>
      <xdr:row>286</xdr:row>
      <xdr:rowOff>26895</xdr:rowOff>
    </xdr:from>
    <xdr:to>
      <xdr:col>8</xdr:col>
      <xdr:colOff>0</xdr:colOff>
      <xdr:row>308</xdr:row>
      <xdr:rowOff>160806</xdr:rowOff>
    </xdr:to>
    <xdr:graphicFrame macro="">
      <xdr:nvGraphicFramePr>
        <xdr:cNvPr id="63" name="Chart 62">
          <a:extLst>
            <a:ext uri="{FF2B5EF4-FFF2-40B4-BE49-F238E27FC236}">
              <a16:creationId xmlns:a16="http://schemas.microsoft.com/office/drawing/2014/main" id="{18760EA1-F983-4D28-B47E-1C8B30AF9A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26942</xdr:colOff>
      <xdr:row>183</xdr:row>
      <xdr:rowOff>12246</xdr:rowOff>
    </xdr:from>
    <xdr:to>
      <xdr:col>7</xdr:col>
      <xdr:colOff>784860</xdr:colOff>
      <xdr:row>206</xdr:row>
      <xdr:rowOff>154305</xdr:rowOff>
    </xdr:to>
    <xdr:graphicFrame macro="">
      <xdr:nvGraphicFramePr>
        <xdr:cNvPr id="41" name="Chart 40">
          <a:extLst>
            <a:ext uri="{FF2B5EF4-FFF2-40B4-BE49-F238E27FC236}">
              <a16:creationId xmlns:a16="http://schemas.microsoft.com/office/drawing/2014/main" id="{6D2215E1-055C-4806-8EC1-62E45C19C0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26942</xdr:colOff>
      <xdr:row>217</xdr:row>
      <xdr:rowOff>12246</xdr:rowOff>
    </xdr:from>
    <xdr:to>
      <xdr:col>7</xdr:col>
      <xdr:colOff>784860</xdr:colOff>
      <xdr:row>240</xdr:row>
      <xdr:rowOff>154305</xdr:rowOff>
    </xdr:to>
    <xdr:graphicFrame macro="">
      <xdr:nvGraphicFramePr>
        <xdr:cNvPr id="43" name="Chart 42">
          <a:extLst>
            <a:ext uri="{FF2B5EF4-FFF2-40B4-BE49-F238E27FC236}">
              <a16:creationId xmlns:a16="http://schemas.microsoft.com/office/drawing/2014/main" id="{1712D318-2AB5-4A7D-812B-8A6DF8FE6E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54"/>
  <sheetViews>
    <sheetView zoomScale="85" zoomScaleNormal="85" zoomScaleSheetLayoutView="145" workbookViewId="0">
      <selection activeCell="C3" sqref="C3"/>
    </sheetView>
  </sheetViews>
  <sheetFormatPr defaultRowHeight="14.25" x14ac:dyDescent="0.45"/>
  <cols>
    <col min="1" max="1" width="9.59765625" customWidth="1"/>
    <col min="2" max="2" width="27.1328125" bestFit="1" customWidth="1"/>
    <col min="3" max="3" width="11.265625" customWidth="1"/>
    <col min="4" max="4" width="13.86328125" customWidth="1"/>
    <col min="5" max="5" width="10" customWidth="1"/>
    <col min="6" max="6" width="2.1328125" customWidth="1"/>
    <col min="9" max="11" width="13.73046875" customWidth="1"/>
    <col min="12" max="12" width="5" customWidth="1"/>
    <col min="13" max="13" width="3.59765625" customWidth="1"/>
  </cols>
  <sheetData>
    <row r="1" spans="1:24" x14ac:dyDescent="0.45">
      <c r="A1" t="s">
        <v>417</v>
      </c>
    </row>
    <row r="2" spans="1:24" x14ac:dyDescent="0.45">
      <c r="A2" t="s">
        <v>109</v>
      </c>
      <c r="C2" s="366">
        <v>44019</v>
      </c>
    </row>
    <row r="3" spans="1:24" ht="8.25" customHeight="1" x14ac:dyDescent="0.45">
      <c r="C3" s="366"/>
    </row>
    <row r="4" spans="1:24" ht="16.899999999999999" x14ac:dyDescent="0.5">
      <c r="A4" s="9" t="s">
        <v>64</v>
      </c>
    </row>
    <row r="5" spans="1:24" x14ac:dyDescent="0.45">
      <c r="B5" t="s">
        <v>65</v>
      </c>
      <c r="N5" t="s">
        <v>87</v>
      </c>
    </row>
    <row r="6" spans="1:24" x14ac:dyDescent="0.45">
      <c r="B6" s="413"/>
      <c r="C6" s="413"/>
      <c r="N6" s="390"/>
      <c r="O6" s="390"/>
      <c r="P6" s="390"/>
      <c r="Q6" s="390"/>
      <c r="R6" s="390"/>
      <c r="S6" s="390"/>
      <c r="T6" s="390"/>
      <c r="U6" s="390"/>
      <c r="V6" s="390"/>
      <c r="W6" s="390"/>
      <c r="X6" s="390"/>
    </row>
    <row r="7" spans="1:24" ht="3.85" customHeight="1" thickBot="1" x14ac:dyDescent="0.5">
      <c r="N7" s="390"/>
      <c r="O7" s="390"/>
      <c r="P7" s="390"/>
      <c r="Q7" s="390"/>
      <c r="R7" s="390"/>
      <c r="S7" s="390"/>
      <c r="T7" s="390"/>
      <c r="U7" s="390"/>
      <c r="V7" s="390"/>
      <c r="W7" s="390"/>
      <c r="X7" s="390"/>
    </row>
    <row r="8" spans="1:24" x14ac:dyDescent="0.45">
      <c r="A8" s="391" t="s">
        <v>164</v>
      </c>
      <c r="B8" s="392"/>
      <c r="C8" s="392"/>
      <c r="D8" s="392"/>
      <c r="E8" s="393"/>
      <c r="G8" s="391" t="s">
        <v>198</v>
      </c>
      <c r="H8" s="392"/>
      <c r="I8" s="392"/>
      <c r="J8" s="392"/>
      <c r="K8" s="392"/>
      <c r="L8" s="393"/>
      <c r="N8" s="390"/>
      <c r="O8" s="390"/>
      <c r="P8" s="390"/>
      <c r="Q8" s="390"/>
      <c r="R8" s="390"/>
      <c r="S8" s="390"/>
      <c r="T8" s="390"/>
      <c r="U8" s="390"/>
      <c r="V8" s="390"/>
      <c r="W8" s="390"/>
      <c r="X8" s="390"/>
    </row>
    <row r="9" spans="1:24" ht="14.45" customHeight="1" thickBot="1" x14ac:dyDescent="0.5">
      <c r="A9" s="394"/>
      <c r="B9" s="395"/>
      <c r="C9" s="395"/>
      <c r="D9" s="395"/>
      <c r="E9" s="396"/>
      <c r="G9" s="394"/>
      <c r="H9" s="395"/>
      <c r="I9" s="395"/>
      <c r="J9" s="395"/>
      <c r="K9" s="395"/>
      <c r="L9" s="396"/>
      <c r="N9" s="390"/>
      <c r="O9" s="390"/>
      <c r="P9" s="390"/>
      <c r="Q9" s="390"/>
      <c r="R9" s="390"/>
      <c r="S9" s="390"/>
      <c r="T9" s="390"/>
      <c r="U9" s="390"/>
      <c r="V9" s="390"/>
      <c r="W9" s="390"/>
      <c r="X9" s="390"/>
    </row>
    <row r="10" spans="1:24" ht="15" customHeight="1" x14ac:dyDescent="0.45">
      <c r="A10" s="175" t="s">
        <v>88</v>
      </c>
      <c r="B10" s="402"/>
      <c r="C10" s="402"/>
      <c r="D10" s="402"/>
      <c r="E10" s="403"/>
      <c r="G10" s="28"/>
      <c r="L10" s="42"/>
      <c r="N10" s="390"/>
      <c r="O10" s="390"/>
      <c r="P10" s="390"/>
      <c r="Q10" s="390"/>
      <c r="R10" s="390"/>
      <c r="S10" s="390"/>
      <c r="T10" s="390"/>
      <c r="U10" s="390"/>
      <c r="V10" s="390"/>
      <c r="W10" s="390"/>
      <c r="X10" s="390"/>
    </row>
    <row r="11" spans="1:24" x14ac:dyDescent="0.45">
      <c r="A11" s="28"/>
      <c r="B11" s="288"/>
      <c r="C11" s="288"/>
      <c r="D11" s="288"/>
      <c r="E11" s="42"/>
      <c r="G11" s="28"/>
      <c r="L11" s="42"/>
      <c r="N11" s="390"/>
      <c r="O11" s="390"/>
      <c r="P11" s="390"/>
      <c r="Q11" s="390"/>
      <c r="R11" s="390"/>
      <c r="S11" s="390"/>
      <c r="T11" s="390"/>
      <c r="U11" s="390"/>
      <c r="V11" s="390"/>
      <c r="W11" s="390"/>
      <c r="X11" s="390"/>
    </row>
    <row r="12" spans="1:24" x14ac:dyDescent="0.45">
      <c r="A12" s="28"/>
      <c r="B12" s="288"/>
      <c r="C12" s="288"/>
      <c r="D12" s="288"/>
      <c r="E12" s="42"/>
      <c r="G12" s="28"/>
      <c r="L12" s="42"/>
      <c r="N12" s="390"/>
      <c r="O12" s="390"/>
      <c r="P12" s="390"/>
      <c r="Q12" s="390"/>
      <c r="R12" s="390"/>
      <c r="S12" s="390"/>
      <c r="T12" s="390"/>
      <c r="U12" s="390"/>
      <c r="V12" s="390"/>
      <c r="W12" s="390"/>
      <c r="X12" s="390"/>
    </row>
    <row r="13" spans="1:24" x14ac:dyDescent="0.45">
      <c r="A13" s="28"/>
      <c r="B13" s="288"/>
      <c r="C13" s="288"/>
      <c r="D13" s="288"/>
      <c r="E13" s="42"/>
      <c r="G13" s="28"/>
      <c r="L13" s="42"/>
      <c r="N13" s="390"/>
      <c r="O13" s="390"/>
      <c r="P13" s="390"/>
      <c r="Q13" s="390"/>
      <c r="R13" s="390"/>
      <c r="S13" s="390"/>
      <c r="T13" s="390"/>
      <c r="U13" s="390"/>
      <c r="V13" s="390"/>
      <c r="W13" s="390"/>
      <c r="X13" s="390"/>
    </row>
    <row r="14" spans="1:24" x14ac:dyDescent="0.45">
      <c r="A14" s="28"/>
      <c r="B14" s="288"/>
      <c r="C14" s="288"/>
      <c r="D14" s="288"/>
      <c r="E14" s="42"/>
      <c r="G14" s="28"/>
      <c r="L14" s="42"/>
      <c r="N14" s="390"/>
      <c r="O14" s="390"/>
      <c r="P14" s="390"/>
      <c r="Q14" s="390"/>
      <c r="R14" s="390"/>
      <c r="S14" s="390"/>
      <c r="T14" s="390"/>
      <c r="U14" s="390"/>
      <c r="V14" s="390"/>
      <c r="W14" s="390"/>
      <c r="X14" s="390"/>
    </row>
    <row r="15" spans="1:24" x14ac:dyDescent="0.45">
      <c r="A15" s="28"/>
      <c r="B15" s="288"/>
      <c r="C15" s="288"/>
      <c r="D15" s="288"/>
      <c r="E15" s="42"/>
      <c r="G15" s="28"/>
      <c r="L15" s="42"/>
      <c r="N15" s="390"/>
      <c r="O15" s="390"/>
      <c r="P15" s="390"/>
      <c r="Q15" s="390"/>
      <c r="R15" s="390"/>
      <c r="S15" s="390"/>
      <c r="T15" s="390"/>
      <c r="U15" s="390"/>
      <c r="V15" s="390"/>
      <c r="W15" s="390"/>
      <c r="X15" s="390"/>
    </row>
    <row r="16" spans="1:24" x14ac:dyDescent="0.45">
      <c r="A16" s="28"/>
      <c r="B16" s="288"/>
      <c r="C16" s="288"/>
      <c r="D16" s="288"/>
      <c r="E16" s="42"/>
      <c r="G16" s="28"/>
      <c r="L16" s="42"/>
      <c r="N16" s="390"/>
      <c r="O16" s="390"/>
      <c r="P16" s="390"/>
      <c r="Q16" s="390"/>
      <c r="R16" s="390"/>
      <c r="S16" s="390"/>
      <c r="T16" s="390"/>
      <c r="U16" s="390"/>
      <c r="V16" s="390"/>
      <c r="W16" s="390"/>
      <c r="X16" s="390"/>
    </row>
    <row r="17" spans="1:24" x14ac:dyDescent="0.45">
      <c r="A17" s="28"/>
      <c r="B17" s="288"/>
      <c r="C17" s="288"/>
      <c r="D17" s="288"/>
      <c r="E17" s="42"/>
      <c r="G17" s="28"/>
      <c r="L17" s="42"/>
      <c r="N17" s="390"/>
      <c r="O17" s="390"/>
      <c r="P17" s="390"/>
      <c r="Q17" s="390"/>
      <c r="R17" s="390"/>
      <c r="S17" s="390"/>
      <c r="T17" s="390"/>
      <c r="U17" s="390"/>
      <c r="V17" s="390"/>
      <c r="W17" s="390"/>
      <c r="X17" s="390"/>
    </row>
    <row r="18" spans="1:24" x14ac:dyDescent="0.45">
      <c r="A18" s="28"/>
      <c r="B18" s="288"/>
      <c r="C18" s="288"/>
      <c r="D18" s="288"/>
      <c r="E18" s="42"/>
      <c r="G18" s="28"/>
      <c r="L18" s="42"/>
      <c r="N18" s="390"/>
      <c r="O18" s="390"/>
      <c r="P18" s="390"/>
      <c r="Q18" s="390"/>
      <c r="R18" s="390"/>
      <c r="S18" s="390"/>
      <c r="T18" s="390"/>
      <c r="U18" s="390"/>
      <c r="V18" s="390"/>
      <c r="W18" s="390"/>
      <c r="X18" s="390"/>
    </row>
    <row r="19" spans="1:24" x14ac:dyDescent="0.45">
      <c r="A19" s="28"/>
      <c r="B19" s="288"/>
      <c r="C19" s="288"/>
      <c r="D19" s="288"/>
      <c r="E19" s="42"/>
      <c r="G19" s="28"/>
      <c r="L19" s="42"/>
      <c r="N19" s="390"/>
      <c r="O19" s="390"/>
      <c r="P19" s="390"/>
      <c r="Q19" s="390"/>
      <c r="R19" s="390"/>
      <c r="S19" s="390"/>
      <c r="T19" s="390"/>
      <c r="U19" s="390"/>
      <c r="V19" s="390"/>
      <c r="W19" s="390"/>
      <c r="X19" s="390"/>
    </row>
    <row r="20" spans="1:24" ht="15.75" x14ac:dyDescent="0.5">
      <c r="A20" s="175" t="s">
        <v>201</v>
      </c>
      <c r="B20" s="397"/>
      <c r="C20" s="397"/>
      <c r="D20" s="397"/>
      <c r="E20" s="398"/>
      <c r="G20" s="356" t="s">
        <v>49</v>
      </c>
      <c r="H20" s="357"/>
      <c r="I20" s="357"/>
      <c r="J20" s="55"/>
      <c r="L20" s="42"/>
      <c r="N20" s="390"/>
      <c r="O20" s="390"/>
      <c r="P20" s="390"/>
      <c r="Q20" s="390"/>
      <c r="R20" s="390"/>
      <c r="S20" s="390"/>
      <c r="T20" s="390"/>
      <c r="U20" s="390"/>
      <c r="V20" s="390"/>
      <c r="W20" s="390"/>
      <c r="X20" s="390"/>
    </row>
    <row r="21" spans="1:24" x14ac:dyDescent="0.45">
      <c r="A21" s="175" t="s">
        <v>202</v>
      </c>
      <c r="B21" s="404"/>
      <c r="C21" s="405"/>
      <c r="D21" s="405"/>
      <c r="E21" s="406"/>
      <c r="G21" s="28"/>
      <c r="L21" s="42"/>
      <c r="N21" s="390"/>
      <c r="O21" s="390"/>
      <c r="P21" s="390"/>
      <c r="Q21" s="390"/>
      <c r="R21" s="390"/>
      <c r="S21" s="390"/>
      <c r="T21" s="390"/>
      <c r="U21" s="390"/>
      <c r="V21" s="390"/>
      <c r="W21" s="390"/>
      <c r="X21" s="390"/>
    </row>
    <row r="22" spans="1:24" x14ac:dyDescent="0.45">
      <c r="A22" s="338" t="s">
        <v>407</v>
      </c>
      <c r="B22" s="377"/>
      <c r="C22" s="377"/>
      <c r="D22" s="377"/>
      <c r="E22" s="334"/>
      <c r="G22" s="28"/>
      <c r="L22" s="42"/>
      <c r="N22" s="390"/>
      <c r="O22" s="390"/>
      <c r="P22" s="390"/>
      <c r="Q22" s="390"/>
      <c r="R22" s="390"/>
      <c r="S22" s="390"/>
      <c r="T22" s="390"/>
      <c r="U22" s="390"/>
      <c r="V22" s="390"/>
      <c r="W22" s="390"/>
      <c r="X22" s="390"/>
    </row>
    <row r="23" spans="1:24" x14ac:dyDescent="0.45">
      <c r="A23" s="338" t="s">
        <v>369</v>
      </c>
      <c r="B23" s="367"/>
      <c r="C23" s="329" t="s">
        <v>395</v>
      </c>
      <c r="D23" s="288"/>
      <c r="E23" s="368"/>
      <c r="G23" s="28"/>
      <c r="L23" s="42"/>
      <c r="N23" s="390"/>
      <c r="O23" s="390"/>
      <c r="P23" s="390"/>
      <c r="Q23" s="390"/>
      <c r="R23" s="390"/>
      <c r="S23" s="390"/>
      <c r="T23" s="390"/>
      <c r="U23" s="390"/>
      <c r="V23" s="390"/>
      <c r="W23" s="390"/>
      <c r="X23" s="390"/>
    </row>
    <row r="24" spans="1:24" x14ac:dyDescent="0.45">
      <c r="A24" s="28"/>
      <c r="B24" s="367"/>
      <c r="C24" s="402"/>
      <c r="D24" s="402"/>
      <c r="E24" s="403"/>
      <c r="G24" s="28"/>
      <c r="L24" s="42"/>
      <c r="N24" s="390"/>
      <c r="O24" s="390"/>
      <c r="P24" s="390"/>
      <c r="Q24" s="390"/>
      <c r="R24" s="390"/>
      <c r="S24" s="390"/>
      <c r="T24" s="390"/>
      <c r="U24" s="390"/>
      <c r="V24" s="390"/>
      <c r="W24" s="390"/>
      <c r="X24" s="390"/>
    </row>
    <row r="25" spans="1:24" ht="14.45" customHeight="1" x14ac:dyDescent="0.45">
      <c r="A25" s="337" t="s">
        <v>373</v>
      </c>
      <c r="B25" s="367"/>
      <c r="C25" s="339" t="s">
        <v>396</v>
      </c>
      <c r="D25" s="288"/>
      <c r="E25" s="368"/>
      <c r="G25" s="28"/>
      <c r="L25" s="42"/>
      <c r="N25" s="390"/>
      <c r="O25" s="390"/>
      <c r="P25" s="390"/>
      <c r="Q25" s="390"/>
      <c r="R25" s="390"/>
      <c r="S25" s="390"/>
      <c r="T25" s="390"/>
      <c r="U25" s="390"/>
      <c r="V25" s="390"/>
      <c r="W25" s="390"/>
      <c r="X25" s="390"/>
    </row>
    <row r="26" spans="1:24" ht="15" customHeight="1" x14ac:dyDescent="0.45">
      <c r="A26" s="28"/>
      <c r="B26" s="367"/>
      <c r="C26" s="402"/>
      <c r="D26" s="402"/>
      <c r="E26" s="403"/>
      <c r="G26" s="28"/>
      <c r="L26" s="42"/>
      <c r="N26" s="390"/>
      <c r="O26" s="390"/>
      <c r="P26" s="390"/>
      <c r="Q26" s="390"/>
      <c r="R26" s="390"/>
      <c r="S26" s="390"/>
      <c r="T26" s="390"/>
      <c r="U26" s="390"/>
      <c r="V26" s="390"/>
      <c r="W26" s="390"/>
      <c r="X26" s="390"/>
    </row>
    <row r="27" spans="1:24" x14ac:dyDescent="0.45">
      <c r="A27" s="337" t="s">
        <v>51</v>
      </c>
      <c r="B27" s="367"/>
      <c r="C27" s="339" t="s">
        <v>397</v>
      </c>
      <c r="D27" s="288"/>
      <c r="E27" s="368"/>
      <c r="G27" s="28"/>
      <c r="L27" s="42"/>
      <c r="N27" s="390"/>
      <c r="O27" s="390"/>
      <c r="P27" s="390"/>
      <c r="Q27" s="390"/>
      <c r="R27" s="390"/>
      <c r="S27" s="390"/>
      <c r="T27" s="390"/>
      <c r="U27" s="390"/>
      <c r="V27" s="390"/>
      <c r="W27" s="390"/>
      <c r="X27" s="390"/>
    </row>
    <row r="28" spans="1:24" x14ac:dyDescent="0.45">
      <c r="A28" s="337"/>
      <c r="B28" s="367"/>
      <c r="C28" s="402"/>
      <c r="D28" s="402"/>
      <c r="E28" s="403"/>
      <c r="G28" s="28"/>
      <c r="L28" s="42"/>
      <c r="N28" s="390"/>
      <c r="O28" s="390"/>
      <c r="P28" s="390"/>
      <c r="Q28" s="390"/>
      <c r="R28" s="390"/>
      <c r="S28" s="390"/>
      <c r="T28" s="390"/>
      <c r="U28" s="390"/>
      <c r="V28" s="390"/>
      <c r="W28" s="390"/>
      <c r="X28" s="390"/>
    </row>
    <row r="29" spans="1:24" x14ac:dyDescent="0.45">
      <c r="A29" s="337"/>
      <c r="B29" s="367"/>
      <c r="C29" s="402"/>
      <c r="D29" s="402"/>
      <c r="E29" s="403"/>
      <c r="G29" s="28"/>
      <c r="L29" s="42"/>
      <c r="N29" s="390"/>
      <c r="O29" s="390"/>
      <c r="P29" s="390"/>
      <c r="Q29" s="390"/>
      <c r="R29" s="390"/>
      <c r="S29" s="390"/>
      <c r="T29" s="390"/>
      <c r="U29" s="390"/>
      <c r="V29" s="390"/>
      <c r="W29" s="390"/>
      <c r="X29" s="390"/>
    </row>
    <row r="30" spans="1:24" ht="15.75" x14ac:dyDescent="0.5">
      <c r="A30" s="399" t="s">
        <v>156</v>
      </c>
      <c r="B30" s="400"/>
      <c r="C30" s="401"/>
      <c r="D30" s="330"/>
      <c r="E30" s="42"/>
      <c r="G30" s="28"/>
      <c r="L30" s="42"/>
      <c r="N30" s="390"/>
      <c r="O30" s="390"/>
      <c r="P30" s="390"/>
      <c r="Q30" s="390"/>
      <c r="R30" s="390"/>
      <c r="S30" s="390"/>
      <c r="T30" s="390"/>
      <c r="U30" s="390"/>
      <c r="V30" s="390"/>
      <c r="W30" s="390"/>
      <c r="X30" s="390"/>
    </row>
    <row r="31" spans="1:24" ht="15.75" x14ac:dyDescent="0.5">
      <c r="A31" s="371" t="s">
        <v>414</v>
      </c>
      <c r="B31" s="372"/>
      <c r="C31" s="373"/>
      <c r="D31" s="330"/>
      <c r="E31" s="42"/>
      <c r="G31" s="28"/>
      <c r="L31" s="42"/>
      <c r="N31" s="390"/>
      <c r="O31" s="390"/>
      <c r="P31" s="390"/>
      <c r="Q31" s="390"/>
      <c r="R31" s="390"/>
      <c r="S31" s="390"/>
      <c r="T31" s="390"/>
      <c r="U31" s="390"/>
      <c r="V31" s="390"/>
      <c r="W31" s="390"/>
      <c r="X31" s="390"/>
    </row>
    <row r="32" spans="1:24" ht="15.75" x14ac:dyDescent="0.5">
      <c r="A32" s="399" t="s">
        <v>352</v>
      </c>
      <c r="B32" s="400"/>
      <c r="C32" s="401"/>
      <c r="D32" s="54"/>
      <c r="E32" s="334"/>
      <c r="G32" s="28"/>
      <c r="L32" s="42"/>
      <c r="N32" s="390"/>
      <c r="O32" s="390"/>
      <c r="P32" s="390"/>
      <c r="Q32" s="390"/>
      <c r="R32" s="390"/>
      <c r="S32" s="390"/>
      <c r="T32" s="390"/>
      <c r="U32" s="390"/>
      <c r="V32" s="390"/>
      <c r="W32" s="390"/>
      <c r="X32" s="390"/>
    </row>
    <row r="33" spans="1:24" ht="15" customHeight="1" x14ac:dyDescent="0.5">
      <c r="A33" s="399" t="s">
        <v>353</v>
      </c>
      <c r="B33" s="400"/>
      <c r="C33" s="401"/>
      <c r="D33" s="54"/>
      <c r="E33" s="334"/>
      <c r="G33" s="28"/>
      <c r="L33" s="42"/>
      <c r="N33" s="390"/>
      <c r="O33" s="390"/>
      <c r="P33" s="390"/>
      <c r="Q33" s="390"/>
      <c r="R33" s="390"/>
      <c r="S33" s="390"/>
      <c r="T33" s="390"/>
      <c r="U33" s="390"/>
      <c r="V33" s="390"/>
      <c r="W33" s="390"/>
      <c r="X33" s="390"/>
    </row>
    <row r="34" spans="1:24" x14ac:dyDescent="0.45">
      <c r="A34" s="407" t="s">
        <v>408</v>
      </c>
      <c r="B34" s="408"/>
      <c r="C34" s="408"/>
      <c r="D34" s="408"/>
      <c r="E34" s="409"/>
      <c r="G34" s="28"/>
      <c r="L34" s="42"/>
      <c r="N34" s="390"/>
      <c r="O34" s="390"/>
      <c r="P34" s="390"/>
      <c r="Q34" s="390"/>
      <c r="R34" s="390"/>
      <c r="S34" s="390"/>
      <c r="T34" s="390"/>
      <c r="U34" s="390"/>
      <c r="V34" s="390"/>
      <c r="W34" s="390"/>
      <c r="X34" s="390"/>
    </row>
    <row r="35" spans="1:24" x14ac:dyDescent="0.45">
      <c r="A35" s="407"/>
      <c r="B35" s="408"/>
      <c r="C35" s="408"/>
      <c r="D35" s="408"/>
      <c r="E35" s="409"/>
      <c r="G35" s="28"/>
      <c r="L35" s="42"/>
      <c r="N35" s="390"/>
      <c r="O35" s="390"/>
      <c r="P35" s="390"/>
      <c r="Q35" s="390"/>
      <c r="R35" s="390"/>
      <c r="S35" s="390"/>
      <c r="T35" s="390"/>
      <c r="U35" s="390"/>
      <c r="V35" s="390"/>
      <c r="W35" s="390"/>
      <c r="X35" s="390"/>
    </row>
    <row r="36" spans="1:24" x14ac:dyDescent="0.45">
      <c r="A36" s="407"/>
      <c r="B36" s="408"/>
      <c r="C36" s="408"/>
      <c r="D36" s="408"/>
      <c r="E36" s="409"/>
      <c r="G36" s="28"/>
      <c r="L36" s="42"/>
      <c r="N36" s="390"/>
      <c r="O36" s="390"/>
      <c r="P36" s="390"/>
      <c r="Q36" s="390"/>
      <c r="R36" s="390"/>
      <c r="S36" s="390"/>
      <c r="T36" s="390"/>
      <c r="U36" s="390"/>
      <c r="V36" s="390"/>
      <c r="W36" s="390"/>
      <c r="X36" s="390"/>
    </row>
    <row r="37" spans="1:24" ht="14.65" thickBot="1" x14ac:dyDescent="0.5">
      <c r="A37" s="410"/>
      <c r="B37" s="411"/>
      <c r="C37" s="411"/>
      <c r="D37" s="411"/>
      <c r="E37" s="412"/>
      <c r="G37" s="28"/>
      <c r="L37" s="42"/>
      <c r="N37" s="289"/>
      <c r="O37" s="289"/>
      <c r="P37" s="289"/>
      <c r="Q37" s="289"/>
      <c r="R37" s="289"/>
      <c r="S37" s="289"/>
      <c r="T37" s="289"/>
      <c r="U37" s="289"/>
      <c r="V37" s="289"/>
      <c r="W37" s="289"/>
      <c r="X37" s="289"/>
    </row>
    <row r="38" spans="1:24" x14ac:dyDescent="0.45">
      <c r="A38" s="335"/>
      <c r="B38" s="336"/>
      <c r="C38" s="336"/>
      <c r="D38" s="336"/>
      <c r="G38" s="28"/>
      <c r="L38" s="42"/>
      <c r="N38" s="289"/>
      <c r="O38" s="289"/>
      <c r="P38" s="289"/>
      <c r="Q38" s="289"/>
      <c r="R38" s="289"/>
      <c r="S38" s="289"/>
      <c r="T38" s="289"/>
      <c r="U38" s="289"/>
      <c r="V38" s="289"/>
      <c r="W38" s="289"/>
      <c r="X38" s="289"/>
    </row>
    <row r="39" spans="1:24" x14ac:dyDescent="0.45">
      <c r="G39" s="28"/>
      <c r="L39" s="42"/>
      <c r="N39" s="289"/>
      <c r="O39" s="289"/>
      <c r="P39" s="289"/>
      <c r="Q39" s="289"/>
      <c r="R39" s="289"/>
      <c r="S39" s="289"/>
      <c r="T39" s="289"/>
      <c r="U39" s="289"/>
      <c r="V39" s="289"/>
      <c r="W39" s="289"/>
      <c r="X39" s="289"/>
    </row>
    <row r="40" spans="1:24" ht="14.65" thickBot="1" x14ac:dyDescent="0.5">
      <c r="G40" s="45"/>
      <c r="H40" s="46"/>
      <c r="I40" s="46"/>
      <c r="J40" s="46"/>
      <c r="K40" s="46"/>
      <c r="L40" s="47"/>
      <c r="N40" s="289"/>
      <c r="O40" s="289"/>
      <c r="P40" s="289"/>
      <c r="Q40" s="289"/>
      <c r="R40" s="289"/>
      <c r="S40" s="289"/>
      <c r="T40" s="289"/>
      <c r="U40" s="289"/>
      <c r="V40" s="289"/>
      <c r="W40" s="289"/>
      <c r="X40" s="289"/>
    </row>
    <row r="41" spans="1:24" x14ac:dyDescent="0.45">
      <c r="N41" s="289"/>
      <c r="O41" s="289"/>
      <c r="P41" s="289"/>
      <c r="Q41" s="289"/>
      <c r="R41" s="289"/>
      <c r="S41" s="289"/>
      <c r="T41" s="289"/>
      <c r="U41" s="289"/>
      <c r="V41" s="289"/>
      <c r="W41" s="289"/>
      <c r="X41" s="289"/>
    </row>
    <row r="42" spans="1:24" x14ac:dyDescent="0.45">
      <c r="N42" s="289"/>
      <c r="O42" s="289"/>
      <c r="P42" s="289"/>
      <c r="Q42" s="289"/>
      <c r="R42" s="289"/>
      <c r="S42" s="289"/>
      <c r="T42" s="289"/>
      <c r="U42" s="289"/>
      <c r="V42" s="289"/>
      <c r="W42" s="289"/>
      <c r="X42" s="289"/>
    </row>
    <row r="43" spans="1:24" x14ac:dyDescent="0.45">
      <c r="N43" s="289"/>
      <c r="O43" s="289"/>
      <c r="P43" s="289"/>
      <c r="Q43" s="289"/>
      <c r="R43" s="289"/>
      <c r="S43" s="289"/>
      <c r="T43" s="289"/>
      <c r="U43" s="289"/>
      <c r="V43" s="289"/>
      <c r="W43" s="289"/>
      <c r="X43" s="289"/>
    </row>
    <row r="44" spans="1:24" x14ac:dyDescent="0.45">
      <c r="F44" s="293"/>
      <c r="G44" s="293"/>
    </row>
    <row r="45" spans="1:24" x14ac:dyDescent="0.45">
      <c r="A45" s="1" t="s">
        <v>165</v>
      </c>
    </row>
    <row r="46" spans="1:24" x14ac:dyDescent="0.45">
      <c r="A46" s="293" t="s">
        <v>351</v>
      </c>
      <c r="B46" s="293"/>
      <c r="C46" s="293"/>
      <c r="D46" s="293"/>
      <c r="E46" s="293"/>
    </row>
    <row r="47" spans="1:24" x14ac:dyDescent="0.45">
      <c r="A47" s="1" t="s">
        <v>154</v>
      </c>
      <c r="C47" t="s">
        <v>155</v>
      </c>
    </row>
    <row r="48" spans="1:24" x14ac:dyDescent="0.45">
      <c r="C48" t="s">
        <v>297</v>
      </c>
    </row>
    <row r="49" spans="1:3" x14ac:dyDescent="0.45">
      <c r="C49" t="s">
        <v>418</v>
      </c>
    </row>
    <row r="50" spans="1:3" x14ac:dyDescent="0.45">
      <c r="C50" t="s">
        <v>298</v>
      </c>
    </row>
    <row r="51" spans="1:3" x14ac:dyDescent="0.45">
      <c r="A51" s="1" t="s">
        <v>150</v>
      </c>
    </row>
    <row r="52" spans="1:3" x14ac:dyDescent="0.45">
      <c r="A52" t="s">
        <v>151</v>
      </c>
    </row>
    <row r="53" spans="1:3" x14ac:dyDescent="0.45">
      <c r="A53" t="s">
        <v>152</v>
      </c>
    </row>
    <row r="54" spans="1:3" x14ac:dyDescent="0.45">
      <c r="A54" t="s">
        <v>153</v>
      </c>
    </row>
  </sheetData>
  <mergeCells count="14">
    <mergeCell ref="N6:X36"/>
    <mergeCell ref="G8:L9"/>
    <mergeCell ref="A8:E9"/>
    <mergeCell ref="B20:E20"/>
    <mergeCell ref="A30:C30"/>
    <mergeCell ref="B10:E10"/>
    <mergeCell ref="B21:E21"/>
    <mergeCell ref="A32:C32"/>
    <mergeCell ref="A33:C33"/>
    <mergeCell ref="C24:E24"/>
    <mergeCell ref="C26:E26"/>
    <mergeCell ref="C28:E29"/>
    <mergeCell ref="A34:E37"/>
    <mergeCell ref="B6:C6"/>
  </mergeCells>
  <dataValidations count="5">
    <dataValidation type="list" allowBlank="1" showInputMessage="1" showErrorMessage="1" sqref="B6" xr:uid="{00000000-0002-0000-0000-000000000000}">
      <formula1>ProgramGoals</formula1>
    </dataValidation>
    <dataValidation allowBlank="1" showErrorMessage="1" sqref="A32:C32 D33" xr:uid="{5CC8A728-487D-4665-AB54-6CCD1AAF4FBE}"/>
    <dataValidation allowBlank="1" showInputMessage="1" showErrorMessage="1" prompt="Sinuosity is only applicable to single-thread channels. " sqref="D32" xr:uid="{1E9B03E1-3DA4-4DB5-A0E5-9678BE4FC8F1}"/>
    <dataValidation type="list" allowBlank="1" showErrorMessage="1" sqref="J20" xr:uid="{2305D5FC-3975-4574-9F71-389DBA167CF1}">
      <formula1>Level</formula1>
    </dataValidation>
    <dataValidation type="list" allowBlank="1" showErrorMessage="1" sqref="D31" xr:uid="{EB6A0B54-2C89-4FAB-BBF1-6CD6F0BECC5E}">
      <formula1>BedMaterial</formula1>
    </dataValidation>
  </dataValidations>
  <pageMargins left="0.7" right="0.7" top="0.75" bottom="0.75" header="0.3" footer="0.3"/>
  <pageSetup scale="87" fitToWidth="0" orientation="landscape" r:id="rId1"/>
  <headerFooter>
    <oddFooter>&amp;LCSQT v1.0
Project Assessment</oddFooter>
  </headerFooter>
  <colBreaks count="1" manualBreakCount="1">
    <brk id="13" max="1048575" man="1"/>
  </colBreaks>
  <drawing r:id="rId2"/>
  <extLst>
    <ext xmlns:x14="http://schemas.microsoft.com/office/spreadsheetml/2009/9/main" uri="{CCE6A557-97BC-4b89-ADB6-D9C93CAAB3DF}">
      <x14:dataValidations xmlns:xm="http://schemas.microsoft.com/office/excel/2006/main" count="9">
        <x14:dataValidation type="list" allowBlank="1" showErrorMessage="1" xr:uid="{00000000-0002-0000-0000-000002000000}">
          <x14:formula1>
            <xm:f>'Pull Down Notes'!$B$2:$B$14</xm:f>
          </x14:formula1>
          <xm:sqref>D30</xm:sqref>
        </x14:dataValidation>
        <x14:dataValidation type="list" allowBlank="1" showInputMessage="1" showErrorMessage="1" xr:uid="{54B157B4-A53A-4774-83FF-922278A00F53}">
          <x14:formula1>
            <xm:f>'Pull Down Notes'!$B$142:$B$144</xm:f>
          </x14:formula1>
          <xm:sqref>B23</xm:sqref>
        </x14:dataValidation>
        <x14:dataValidation type="list" allowBlank="1" showInputMessage="1" showErrorMessage="1" xr:uid="{706A209A-A5CE-4D41-839F-21EB5EF2D6EA}">
          <x14:formula1>
            <xm:f>'Pull Down Notes'!$B$145:$B$146</xm:f>
          </x14:formula1>
          <xm:sqref>B25</xm:sqref>
        </x14:dataValidation>
        <x14:dataValidation type="list" allowBlank="1" showInputMessage="1" showErrorMessage="1" xr:uid="{A04BC4CC-408D-49DA-ACBE-15B90B58C676}">
          <x14:formula1>
            <xm:f>'Pull Down Notes'!$B$147:$B$151</xm:f>
          </x14:formula1>
          <xm:sqref>B26</xm:sqref>
        </x14:dataValidation>
        <x14:dataValidation type="list" allowBlank="1" showInputMessage="1" showErrorMessage="1" xr:uid="{2E8A2AE2-AE66-4098-99B4-6F5E13769B77}">
          <x14:formula1>
            <xm:f>'Pull Down Notes'!$B$152:$B$154</xm:f>
          </x14:formula1>
          <xm:sqref>B27</xm:sqref>
        </x14:dataValidation>
        <x14:dataValidation type="list" allowBlank="1" showInputMessage="1" showErrorMessage="1" xr:uid="{E6D4A096-6C57-4AE4-B5FD-2EC61D01B7BC}">
          <x14:formula1>
            <xm:f>'Pull Down Notes'!$B$155:$B$159</xm:f>
          </x14:formula1>
          <xm:sqref>B28</xm:sqref>
        </x14:dataValidation>
        <x14:dataValidation type="list" allowBlank="1" showInputMessage="1" showErrorMessage="1" xr:uid="{F4D4A86A-ADEB-4179-A402-F8EF1E4E0715}">
          <x14:formula1>
            <xm:f>'Pull Down Notes'!$B$160:$B$164</xm:f>
          </x14:formula1>
          <xm:sqref>B29</xm:sqref>
        </x14:dataValidation>
        <x14:dataValidation type="list" allowBlank="1" showInputMessage="1" showErrorMessage="1" xr:uid="{925438B9-CDF9-4862-8C94-B006C32F8779}">
          <x14:formula1>
            <xm:f>'Pull Down Notes'!$B$165:$B$167</xm:f>
          </x14:formula1>
          <xm:sqref>E23 E25 E27</xm:sqref>
        </x14:dataValidation>
        <x14:dataValidation type="list" allowBlank="1" showInputMessage="1" showErrorMessage="1" xr:uid="{349CA040-A1C1-4680-BE16-9648B826E474}">
          <x14:formula1>
            <xm:f>'Pull Down Notes'!$B$108:$B$112</xm:f>
          </x14:formula1>
          <xm:sqref>B24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2"/>
  <sheetViews>
    <sheetView view="pageLayout" topLeftCell="C1" zoomScaleNormal="100" workbookViewId="0">
      <selection activeCell="D1" sqref="D1:F1048576"/>
    </sheetView>
  </sheetViews>
  <sheetFormatPr defaultColWidth="9.1328125" defaultRowHeight="12.75" x14ac:dyDescent="0.35"/>
  <cols>
    <col min="1" max="2" width="3.73046875" style="10" customWidth="1"/>
    <col min="3" max="3" width="20" style="10" customWidth="1"/>
    <col min="4" max="6" width="44.1328125" style="10" customWidth="1"/>
    <col min="7" max="7" width="10.59765625" style="10" customWidth="1"/>
    <col min="8" max="8" width="3.73046875" style="10" customWidth="1"/>
    <col min="9" max="16384" width="9.1328125" style="10"/>
  </cols>
  <sheetData>
    <row r="1" spans="1:8" ht="15" x14ac:dyDescent="0.35">
      <c r="A1" s="176" t="s">
        <v>422</v>
      </c>
    </row>
    <row r="2" spans="1:8" ht="25.9" customHeight="1" x14ac:dyDescent="0.35">
      <c r="A2" s="414" t="s">
        <v>423</v>
      </c>
      <c r="B2" s="414"/>
      <c r="C2" s="414"/>
      <c r="D2" s="414"/>
      <c r="E2" s="414"/>
      <c r="F2" s="414"/>
      <c r="G2" s="414"/>
      <c r="H2" s="414"/>
    </row>
    <row r="3" spans="1:8" ht="15" x14ac:dyDescent="0.35">
      <c r="A3" s="176" t="s">
        <v>60</v>
      </c>
    </row>
    <row r="4" spans="1:8" ht="6.75" customHeight="1" thickBot="1" x14ac:dyDescent="0.4">
      <c r="B4" s="5"/>
      <c r="C4" s="5"/>
      <c r="D4" s="3"/>
      <c r="F4" s="5"/>
    </row>
    <row r="5" spans="1:8" ht="50.65" customHeight="1" thickBot="1" x14ac:dyDescent="0.4">
      <c r="B5" s="421" t="s">
        <v>209</v>
      </c>
      <c r="C5" s="422"/>
      <c r="D5" s="294"/>
      <c r="E5" s="427" t="s">
        <v>350</v>
      </c>
      <c r="F5" s="428"/>
      <c r="G5" s="429"/>
    </row>
    <row r="6" spans="1:8" ht="11.25" customHeight="1" thickBot="1" x14ac:dyDescent="0.4">
      <c r="B6" s="18"/>
      <c r="C6" s="18"/>
      <c r="D6" s="3"/>
      <c r="E6" s="5"/>
      <c r="F6" s="4"/>
    </row>
    <row r="7" spans="1:8" ht="25.5" customHeight="1" thickTop="1" x14ac:dyDescent="0.35">
      <c r="A7" s="423" t="s">
        <v>59</v>
      </c>
      <c r="B7" s="424"/>
      <c r="C7" s="424"/>
      <c r="D7" s="424"/>
      <c r="E7" s="424"/>
      <c r="F7" s="424"/>
      <c r="G7" s="425"/>
      <c r="H7" s="426"/>
    </row>
    <row r="8" spans="1:8" ht="15.75" customHeight="1" x14ac:dyDescent="0.35">
      <c r="A8" s="6"/>
      <c r="B8" s="415" t="s">
        <v>61</v>
      </c>
      <c r="C8" s="416"/>
      <c r="D8" s="419" t="s">
        <v>62</v>
      </c>
      <c r="E8" s="419"/>
      <c r="F8" s="420"/>
      <c r="G8" s="415" t="s">
        <v>103</v>
      </c>
      <c r="H8" s="7"/>
    </row>
    <row r="9" spans="1:8" ht="24" customHeight="1" thickBot="1" x14ac:dyDescent="0.4">
      <c r="A9" s="6"/>
      <c r="B9" s="417"/>
      <c r="C9" s="418"/>
      <c r="D9" s="19" t="s">
        <v>100</v>
      </c>
      <c r="E9" s="19" t="s">
        <v>101</v>
      </c>
      <c r="F9" s="17" t="s">
        <v>102</v>
      </c>
      <c r="G9" s="417"/>
      <c r="H9" s="7"/>
    </row>
    <row r="10" spans="1:8" ht="51.4" thickBot="1" x14ac:dyDescent="0.4">
      <c r="A10" s="11"/>
      <c r="B10" s="170">
        <v>1</v>
      </c>
      <c r="C10" s="167" t="s">
        <v>183</v>
      </c>
      <c r="D10" s="168" t="s">
        <v>338</v>
      </c>
      <c r="E10" s="168" t="s">
        <v>339</v>
      </c>
      <c r="F10" s="169" t="s">
        <v>180</v>
      </c>
      <c r="G10" s="13"/>
      <c r="H10" s="12"/>
    </row>
    <row r="11" spans="1:8" ht="32.25" customHeight="1" thickBot="1" x14ac:dyDescent="0.4">
      <c r="A11" s="11"/>
      <c r="B11" s="170">
        <v>2</v>
      </c>
      <c r="C11" s="167" t="s">
        <v>117</v>
      </c>
      <c r="D11" s="168" t="s">
        <v>304</v>
      </c>
      <c r="E11" s="168" t="s">
        <v>305</v>
      </c>
      <c r="F11" s="169" t="s">
        <v>306</v>
      </c>
      <c r="G11" s="13"/>
      <c r="H11" s="12"/>
    </row>
    <row r="12" spans="1:8" ht="32.25" customHeight="1" thickBot="1" x14ac:dyDescent="0.4">
      <c r="A12" s="11"/>
      <c r="B12" s="170">
        <v>3</v>
      </c>
      <c r="C12" s="167" t="s">
        <v>120</v>
      </c>
      <c r="D12" s="168" t="s">
        <v>307</v>
      </c>
      <c r="E12" s="168" t="s">
        <v>308</v>
      </c>
      <c r="F12" s="169" t="s">
        <v>336</v>
      </c>
      <c r="G12" s="13"/>
      <c r="H12" s="12"/>
    </row>
    <row r="13" spans="1:8" ht="51.4" thickBot="1" x14ac:dyDescent="0.4">
      <c r="A13" s="11"/>
      <c r="B13" s="279">
        <v>4</v>
      </c>
      <c r="C13" s="171" t="s">
        <v>118</v>
      </c>
      <c r="D13" s="172" t="s">
        <v>309</v>
      </c>
      <c r="E13" s="172" t="s">
        <v>310</v>
      </c>
      <c r="F13" s="280" t="s">
        <v>337</v>
      </c>
      <c r="G13" s="20"/>
      <c r="H13" s="12"/>
    </row>
    <row r="14" spans="1:8" ht="51.4" thickBot="1" x14ac:dyDescent="0.4">
      <c r="A14" s="11"/>
      <c r="B14" s="170">
        <v>5</v>
      </c>
      <c r="C14" s="167" t="s">
        <v>119</v>
      </c>
      <c r="D14" s="168" t="s">
        <v>341</v>
      </c>
      <c r="E14" s="168" t="s">
        <v>343</v>
      </c>
      <c r="F14" s="169" t="s">
        <v>342</v>
      </c>
      <c r="G14" s="13"/>
      <c r="H14" s="12"/>
    </row>
    <row r="15" spans="1:8" ht="38.65" thickBot="1" x14ac:dyDescent="0.4">
      <c r="A15" s="11"/>
      <c r="B15" s="170">
        <v>6</v>
      </c>
      <c r="C15" s="167" t="s">
        <v>311</v>
      </c>
      <c r="D15" s="168" t="s">
        <v>179</v>
      </c>
      <c r="E15" s="168" t="s">
        <v>178</v>
      </c>
      <c r="F15" s="169" t="s">
        <v>177</v>
      </c>
      <c r="G15" s="20"/>
      <c r="H15" s="12"/>
    </row>
    <row r="16" spans="1:8" ht="51.4" thickBot="1" x14ac:dyDescent="0.4">
      <c r="A16" s="11"/>
      <c r="B16" s="170">
        <v>7</v>
      </c>
      <c r="C16" s="167" t="s">
        <v>121</v>
      </c>
      <c r="D16" s="168" t="s">
        <v>122</v>
      </c>
      <c r="E16" s="168" t="s">
        <v>123</v>
      </c>
      <c r="F16" s="169" t="s">
        <v>176</v>
      </c>
      <c r="G16" s="21"/>
      <c r="H16" s="12"/>
    </row>
    <row r="17" spans="1:8" ht="64.150000000000006" thickBot="1" x14ac:dyDescent="0.4">
      <c r="A17" s="11"/>
      <c r="B17" s="170">
        <v>8</v>
      </c>
      <c r="C17" s="167" t="s">
        <v>312</v>
      </c>
      <c r="D17" s="168" t="s">
        <v>345</v>
      </c>
      <c r="E17" s="168" t="s">
        <v>344</v>
      </c>
      <c r="F17" s="168" t="s">
        <v>313</v>
      </c>
      <c r="G17" s="13"/>
      <c r="H17" s="12"/>
    </row>
    <row r="18" spans="1:8" ht="51.4" thickBot="1" x14ac:dyDescent="0.4">
      <c r="A18" s="11"/>
      <c r="B18" s="279">
        <v>9</v>
      </c>
      <c r="C18" s="171" t="s">
        <v>43</v>
      </c>
      <c r="D18" s="172" t="s">
        <v>347</v>
      </c>
      <c r="E18" s="172" t="s">
        <v>346</v>
      </c>
      <c r="F18" s="280" t="s">
        <v>340</v>
      </c>
      <c r="G18" s="20"/>
      <c r="H18" s="12"/>
    </row>
    <row r="19" spans="1:8" ht="38.65" thickBot="1" x14ac:dyDescent="0.4">
      <c r="A19" s="11"/>
      <c r="B19" s="170">
        <v>10</v>
      </c>
      <c r="C19" s="167" t="s">
        <v>124</v>
      </c>
      <c r="D19" s="168" t="s">
        <v>199</v>
      </c>
      <c r="E19" s="168" t="s">
        <v>200</v>
      </c>
      <c r="F19" s="169" t="s">
        <v>210</v>
      </c>
      <c r="G19" s="20"/>
      <c r="H19" s="12"/>
    </row>
    <row r="20" spans="1:8" ht="45.75" customHeight="1" thickBot="1" x14ac:dyDescent="0.4">
      <c r="A20" s="11"/>
      <c r="B20" s="170">
        <v>11</v>
      </c>
      <c r="C20" s="171" t="s">
        <v>63</v>
      </c>
      <c r="D20" s="172"/>
      <c r="E20" s="172"/>
      <c r="F20" s="172"/>
      <c r="G20" s="20"/>
      <c r="H20" s="12"/>
    </row>
    <row r="21" spans="1:8" ht="13.9" thickBot="1" x14ac:dyDescent="0.4">
      <c r="A21" s="14"/>
      <c r="B21" s="8"/>
      <c r="C21" s="15"/>
      <c r="D21" s="15"/>
      <c r="E21" s="15"/>
      <c r="F21" s="15"/>
      <c r="G21" s="15"/>
      <c r="H21" s="16"/>
    </row>
    <row r="22" spans="1:8" ht="13.15" thickTop="1" x14ac:dyDescent="0.35"/>
  </sheetData>
  <mergeCells count="7">
    <mergeCell ref="A2:H2"/>
    <mergeCell ref="B8:C9"/>
    <mergeCell ref="D8:F8"/>
    <mergeCell ref="G8:G9"/>
    <mergeCell ref="B5:C5"/>
    <mergeCell ref="A7:H7"/>
    <mergeCell ref="E5:G5"/>
  </mergeCells>
  <dataValidations count="1">
    <dataValidation type="list" allowBlank="1" showInputMessage="1" showErrorMessage="1" sqref="D5" xr:uid="{AF48D5EA-3DCF-4631-B413-0D728FB7F1A9}">
      <formula1>CatchmentAssessment</formula1>
    </dataValidation>
  </dataValidations>
  <printOptions horizontalCentered="1" verticalCentered="1"/>
  <pageMargins left="0.25" right="0.25" top="0.75" bottom="0.75" header="0.3" footer="0.3"/>
  <pageSetup scale="76" fitToWidth="0" orientation="landscape" r:id="rId1"/>
  <headerFooter>
    <oddFooter>&amp;L&amp;12CSQT v1.0
Catchment Assessment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4"/>
  <sheetViews>
    <sheetView tabSelected="1" topLeftCell="A54" zoomScale="85" zoomScaleNormal="85" workbookViewId="0">
      <selection activeCell="A74" sqref="A74:G74"/>
    </sheetView>
  </sheetViews>
  <sheetFormatPr defaultColWidth="8.86328125" defaultRowHeight="14.25" x14ac:dyDescent="0.45"/>
  <cols>
    <col min="1" max="1" width="21.265625" style="52" customWidth="1"/>
    <col min="2" max="2" width="24.1328125" style="52" customWidth="1"/>
    <col min="3" max="4" width="20.265625" style="52" customWidth="1"/>
    <col min="5" max="5" width="4.265625" style="52" customWidth="1"/>
    <col min="6" max="10" width="19.73046875" style="52" customWidth="1"/>
    <col min="11" max="11" width="15.73046875" style="52" customWidth="1"/>
    <col min="12" max="12" width="13.73046875" style="52" customWidth="1"/>
    <col min="13" max="16384" width="8.86328125" style="52"/>
  </cols>
  <sheetData>
    <row r="1" spans="1:11" x14ac:dyDescent="0.45">
      <c r="A1" s="44" t="s">
        <v>429</v>
      </c>
      <c r="B1" s="50"/>
      <c r="C1" s="51"/>
      <c r="D1" s="51"/>
      <c r="E1" s="51"/>
      <c r="F1" s="51"/>
      <c r="G1" s="51"/>
      <c r="H1" s="51"/>
      <c r="I1" s="51"/>
      <c r="J1" s="51"/>
    </row>
    <row r="2" spans="1:11" x14ac:dyDescent="0.45">
      <c r="A2" s="53"/>
      <c r="B2" s="53"/>
    </row>
    <row r="3" spans="1:11" ht="21" x14ac:dyDescent="0.65">
      <c r="A3" s="514" t="s">
        <v>203</v>
      </c>
      <c r="B3" s="515"/>
      <c r="C3" s="516"/>
      <c r="F3" s="487" t="s">
        <v>54</v>
      </c>
      <c r="G3" s="488"/>
      <c r="H3" s="488"/>
      <c r="I3" s="488"/>
      <c r="J3" s="489"/>
    </row>
    <row r="4" spans="1:11" ht="15.6" customHeight="1" x14ac:dyDescent="0.5">
      <c r="A4" s="449" t="s">
        <v>93</v>
      </c>
      <c r="B4" s="450"/>
      <c r="C4" s="22"/>
      <c r="F4" s="521" t="s">
        <v>55</v>
      </c>
      <c r="G4" s="522"/>
      <c r="H4" s="522"/>
      <c r="I4" s="522"/>
      <c r="J4" s="523"/>
    </row>
    <row r="5" spans="1:11" ht="19.149999999999999" customHeight="1" x14ac:dyDescent="0.5">
      <c r="A5" s="449" t="s">
        <v>88</v>
      </c>
      <c r="B5" s="450"/>
      <c r="C5" s="22"/>
      <c r="F5" s="524" t="s">
        <v>116</v>
      </c>
      <c r="G5" s="525"/>
      <c r="H5" s="525"/>
      <c r="I5" s="525"/>
      <c r="J5" s="526"/>
    </row>
    <row r="6" spans="1:11" ht="19.149999999999999" customHeight="1" x14ac:dyDescent="0.5">
      <c r="A6" s="449" t="s">
        <v>49</v>
      </c>
      <c r="B6" s="450"/>
      <c r="C6" s="58">
        <f>'Project Assessment'!J20</f>
        <v>0</v>
      </c>
      <c r="F6" s="509" t="s">
        <v>406</v>
      </c>
      <c r="G6" s="510"/>
      <c r="H6" s="510"/>
      <c r="I6" s="510"/>
      <c r="J6" s="511"/>
    </row>
    <row r="7" spans="1:11" ht="19.149999999999999" customHeight="1" thickBot="1" x14ac:dyDescent="0.55000000000000004">
      <c r="A7" s="432" t="s">
        <v>213</v>
      </c>
      <c r="B7" s="433"/>
      <c r="C7" s="54"/>
    </row>
    <row r="8" spans="1:11" ht="19.149999999999999" customHeight="1" x14ac:dyDescent="0.65">
      <c r="A8" s="432" t="s">
        <v>214</v>
      </c>
      <c r="B8" s="433"/>
      <c r="C8" s="54"/>
      <c r="F8" s="487" t="s">
        <v>162</v>
      </c>
      <c r="G8" s="488"/>
      <c r="H8" s="489"/>
      <c r="J8" s="512" t="s">
        <v>167</v>
      </c>
      <c r="K8" s="513"/>
    </row>
    <row r="9" spans="1:11" ht="19.149999999999999" customHeight="1" x14ac:dyDescent="0.5">
      <c r="A9" s="449" t="s">
        <v>181</v>
      </c>
      <c r="B9" s="450"/>
      <c r="C9" s="54"/>
      <c r="F9" s="517" t="s">
        <v>398</v>
      </c>
      <c r="G9" s="518"/>
      <c r="H9" s="326">
        <f>IFERROR('Data Summary'!D26-'Data Summary'!C26,"")</f>
        <v>0</v>
      </c>
      <c r="J9" s="519" t="str">
        <f>_xlfn.CONCAT(C10, " ", C11, " Order Stream")</f>
        <v xml:space="preserve">  Order Stream</v>
      </c>
      <c r="K9" s="520"/>
    </row>
    <row r="10" spans="1:11" ht="19.149999999999999" customHeight="1" thickBot="1" x14ac:dyDescent="0.55000000000000004">
      <c r="A10" s="451" t="s">
        <v>415</v>
      </c>
      <c r="B10" s="452"/>
      <c r="C10" s="55"/>
      <c r="D10"/>
      <c r="E10"/>
      <c r="F10" s="320" t="s">
        <v>56</v>
      </c>
      <c r="G10" s="321"/>
      <c r="H10" s="58" t="str">
        <f>IF(C7="","",C7)</f>
        <v/>
      </c>
      <c r="J10" s="325">
        <f>H18</f>
        <v>0</v>
      </c>
      <c r="K10" s="324" t="str">
        <f>_xlfn.CONCAT("(FF) ", IF(H18="","",IF(H18&gt;0,"Lift","Loss")))</f>
        <v>(FF) Loss</v>
      </c>
    </row>
    <row r="11" spans="1:11" ht="19.149999999999999" customHeight="1" x14ac:dyDescent="0.65">
      <c r="A11" s="451" t="s">
        <v>359</v>
      </c>
      <c r="B11" s="452"/>
      <c r="C11" s="55"/>
      <c r="F11" s="320" t="s">
        <v>72</v>
      </c>
      <c r="G11" s="321"/>
      <c r="H11" s="58" t="str">
        <f>IF(C8="","",C8)</f>
        <v/>
      </c>
      <c r="J11" s="56"/>
    </row>
    <row r="12" spans="1:11" ht="19.149999999999999" customHeight="1" x14ac:dyDescent="0.65">
      <c r="A12" s="432" t="s">
        <v>274</v>
      </c>
      <c r="B12" s="433"/>
      <c r="C12" s="55"/>
      <c r="F12" s="320" t="s">
        <v>166</v>
      </c>
      <c r="G12" s="321"/>
      <c r="H12" s="58" t="str">
        <f>IFERROR(H11-H10,"")</f>
        <v/>
      </c>
      <c r="J12" s="56"/>
    </row>
    <row r="13" spans="1:11" ht="19.149999999999999" customHeight="1" x14ac:dyDescent="0.65">
      <c r="A13" s="432" t="s">
        <v>272</v>
      </c>
      <c r="B13" s="433"/>
      <c r="C13" s="55"/>
      <c r="F13" s="322" t="s">
        <v>174</v>
      </c>
      <c r="G13" s="321"/>
      <c r="H13" s="328" t="str">
        <f>IFERROR(H10*'Data Summary'!C26,"")</f>
        <v/>
      </c>
      <c r="J13" s="56"/>
    </row>
    <row r="14" spans="1:11" ht="19.149999999999999" customHeight="1" x14ac:dyDescent="0.5">
      <c r="A14" s="432" t="s">
        <v>254</v>
      </c>
      <c r="B14" s="433"/>
      <c r="C14" s="54"/>
      <c r="F14" s="322" t="s">
        <v>175</v>
      </c>
      <c r="G14" s="321"/>
      <c r="H14" s="328" t="str">
        <f>IFERROR(H11*'Data Summary'!D26,"")</f>
        <v/>
      </c>
    </row>
    <row r="15" spans="1:11" ht="19.149999999999999" customHeight="1" x14ac:dyDescent="0.65">
      <c r="A15" s="449" t="s">
        <v>75</v>
      </c>
      <c r="B15" s="450"/>
      <c r="C15" s="54"/>
      <c r="F15" s="322" t="s">
        <v>331</v>
      </c>
      <c r="G15" s="321"/>
      <c r="H15" s="328" t="str">
        <f>IFERROR(H14-H13,"")</f>
        <v/>
      </c>
      <c r="I15" s="333"/>
      <c r="J15" s="56"/>
    </row>
    <row r="16" spans="1:11" ht="19.149999999999999" customHeight="1" x14ac:dyDescent="0.65">
      <c r="A16" s="432" t="s">
        <v>296</v>
      </c>
      <c r="B16" s="433"/>
      <c r="C16" s="55"/>
      <c r="F16" s="430" t="s">
        <v>368</v>
      </c>
      <c r="G16" s="431"/>
      <c r="H16" s="57" t="str">
        <f>IFERROR(H15/H11,"")</f>
        <v/>
      </c>
      <c r="I16" s="60"/>
      <c r="J16" s="56"/>
    </row>
    <row r="17" spans="1:10" ht="19.149999999999999" customHeight="1" x14ac:dyDescent="0.65">
      <c r="A17" s="449" t="s">
        <v>70</v>
      </c>
      <c r="B17" s="450"/>
      <c r="C17" s="55"/>
      <c r="F17" s="323" t="s">
        <v>332</v>
      </c>
      <c r="G17" s="323"/>
      <c r="H17" s="57" t="str">
        <f>IFERROR('Flow Alteration Module'!G15,"")</f>
        <v/>
      </c>
      <c r="I17" s="60"/>
      <c r="J17" s="56"/>
    </row>
    <row r="18" spans="1:10" ht="19.149999999999999" customHeight="1" x14ac:dyDescent="0.65">
      <c r="A18" s="449" t="s">
        <v>182</v>
      </c>
      <c r="B18" s="450"/>
      <c r="C18" s="55"/>
      <c r="F18" s="322" t="s">
        <v>333</v>
      </c>
      <c r="G18" s="321"/>
      <c r="H18" s="327">
        <f>IFERROR(SUM(H17,H15),"")</f>
        <v>0</v>
      </c>
      <c r="I18" s="60"/>
      <c r="J18" s="56"/>
    </row>
    <row r="19" spans="1:10" ht="19.149999999999999" customHeight="1" x14ac:dyDescent="0.7">
      <c r="A19" s="432" t="s">
        <v>278</v>
      </c>
      <c r="B19" s="433"/>
      <c r="C19" s="55"/>
      <c r="I19" s="165"/>
      <c r="J19" s="165"/>
    </row>
    <row r="20" spans="1:10" ht="19.149999999999999" customHeight="1" x14ac:dyDescent="0.5">
      <c r="A20" s="449" t="s">
        <v>184</v>
      </c>
      <c r="B20" s="450"/>
      <c r="C20" s="58">
        <f>'Project Assessment'!B24</f>
        <v>0</v>
      </c>
      <c r="I20" s="242"/>
      <c r="J20" s="242"/>
    </row>
    <row r="21" spans="1:10" ht="19.149999999999999" customHeight="1" x14ac:dyDescent="0.5">
      <c r="A21" s="451" t="s">
        <v>156</v>
      </c>
      <c r="B21" s="452"/>
      <c r="C21" s="58">
        <f>'Project Assessment'!D30</f>
        <v>0</v>
      </c>
      <c r="H21" s="242"/>
      <c r="I21" s="242"/>
      <c r="J21" s="242"/>
    </row>
    <row r="22" spans="1:10" ht="19.149999999999999" customHeight="1" x14ac:dyDescent="0.5">
      <c r="A22" s="451" t="s">
        <v>399</v>
      </c>
      <c r="B22" s="452"/>
      <c r="C22" s="58">
        <f>'Project Assessment'!B23</f>
        <v>0</v>
      </c>
      <c r="H22" s="242"/>
      <c r="I22" s="242"/>
      <c r="J22" s="242"/>
    </row>
    <row r="23" spans="1:10" ht="10.15" customHeight="1" x14ac:dyDescent="0.45">
      <c r="C23" s="206"/>
      <c r="D23" s="206"/>
      <c r="E23" s="299"/>
      <c r="F23" s="242"/>
      <c r="J23" s="62"/>
    </row>
    <row r="24" spans="1:10" ht="21" x14ac:dyDescent="0.45">
      <c r="A24" s="436" t="s">
        <v>99</v>
      </c>
      <c r="B24" s="436"/>
      <c r="C24" s="436"/>
      <c r="D24" s="436"/>
      <c r="E24" s="302"/>
      <c r="F24" s="437" t="s">
        <v>89</v>
      </c>
      <c r="G24" s="438"/>
      <c r="H24" s="438"/>
      <c r="I24" s="438"/>
      <c r="J24" s="439"/>
    </row>
    <row r="25" spans="1:10" ht="18.600000000000001" customHeight="1" x14ac:dyDescent="0.45">
      <c r="A25" s="440" t="s">
        <v>367</v>
      </c>
      <c r="B25" s="434" t="s">
        <v>2</v>
      </c>
      <c r="C25" s="434" t="s">
        <v>57</v>
      </c>
      <c r="D25" s="434" t="s">
        <v>58</v>
      </c>
      <c r="E25" s="303"/>
      <c r="F25" s="440" t="s">
        <v>90</v>
      </c>
      <c r="G25" s="442" t="s">
        <v>91</v>
      </c>
      <c r="H25" s="442" t="s">
        <v>92</v>
      </c>
      <c r="I25" s="440" t="s">
        <v>412</v>
      </c>
      <c r="J25" s="440" t="s">
        <v>366</v>
      </c>
    </row>
    <row r="26" spans="1:10" ht="18.600000000000001" customHeight="1" x14ac:dyDescent="0.45">
      <c r="A26" s="435"/>
      <c r="B26" s="435"/>
      <c r="C26" s="435"/>
      <c r="D26" s="435"/>
      <c r="E26" s="303"/>
      <c r="F26" s="441"/>
      <c r="G26" s="443"/>
      <c r="H26" s="443"/>
      <c r="I26" s="441"/>
      <c r="J26" s="441"/>
    </row>
    <row r="27" spans="1:10" ht="17.25" customHeight="1" x14ac:dyDescent="0.5">
      <c r="A27" s="446" t="s">
        <v>186</v>
      </c>
      <c r="B27" s="65" t="s">
        <v>107</v>
      </c>
      <c r="C27" s="63" t="str">
        <f>H43</f>
        <v/>
      </c>
      <c r="D27" s="63" t="str">
        <f>H76</f>
        <v/>
      </c>
      <c r="E27" s="300"/>
      <c r="F27" s="453" t="s">
        <v>186</v>
      </c>
      <c r="G27" s="444" t="str">
        <f>I43</f>
        <v/>
      </c>
      <c r="H27" s="444" t="str">
        <f>I76</f>
        <v/>
      </c>
      <c r="I27" s="444" t="str">
        <f>IFERROR(ROUND(H27-G27,2),"")</f>
        <v/>
      </c>
      <c r="J27" s="527" t="str">
        <f>IFERROR(0.3*(H27*H$11-G27*H$10),"")</f>
        <v/>
      </c>
    </row>
    <row r="28" spans="1:10" ht="17.25" customHeight="1" x14ac:dyDescent="0.5">
      <c r="A28" s="447"/>
      <c r="B28" s="229" t="s">
        <v>250</v>
      </c>
      <c r="C28" s="63" t="str">
        <f>H45</f>
        <v/>
      </c>
      <c r="D28" s="63" t="str">
        <f>H78</f>
        <v/>
      </c>
      <c r="E28" s="300"/>
      <c r="F28" s="454"/>
      <c r="G28" s="445"/>
      <c r="H28" s="445"/>
      <c r="I28" s="445"/>
      <c r="J28" s="528"/>
    </row>
    <row r="29" spans="1:10" ht="17.25" customHeight="1" x14ac:dyDescent="0.5">
      <c r="A29" s="448"/>
      <c r="B29" s="65" t="s">
        <v>5</v>
      </c>
      <c r="C29" s="63" t="str">
        <f>H47</f>
        <v/>
      </c>
      <c r="D29" s="63" t="str">
        <f>H80</f>
        <v/>
      </c>
      <c r="E29" s="300"/>
      <c r="F29" s="455" t="s">
        <v>19</v>
      </c>
      <c r="G29" s="444" t="str">
        <f>I50</f>
        <v/>
      </c>
      <c r="H29" s="444" t="str">
        <f>I83</f>
        <v/>
      </c>
      <c r="I29" s="444" t="str">
        <f>IFERROR(ROUND(H29-G29,2),"")</f>
        <v/>
      </c>
      <c r="J29" s="527" t="str">
        <f t="shared" ref="J29" si="0">IFERROR(0.3*(H29*H$11-G29*H$10),"")</f>
        <v/>
      </c>
    </row>
    <row r="30" spans="1:10" ht="15.75" customHeight="1" x14ac:dyDescent="0.5">
      <c r="A30" s="480" t="s">
        <v>19</v>
      </c>
      <c r="B30" s="66" t="s">
        <v>20</v>
      </c>
      <c r="C30" s="63" t="str">
        <f>H50</f>
        <v/>
      </c>
      <c r="D30" s="63" t="str">
        <f>H83</f>
        <v/>
      </c>
      <c r="E30" s="300"/>
      <c r="F30" s="456"/>
      <c r="G30" s="445"/>
      <c r="H30" s="445"/>
      <c r="I30" s="445"/>
      <c r="J30" s="528"/>
    </row>
    <row r="31" spans="1:10" ht="15.75" customHeight="1" x14ac:dyDescent="0.5">
      <c r="A31" s="481"/>
      <c r="B31" s="25" t="s">
        <v>231</v>
      </c>
      <c r="C31" s="63" t="str">
        <f>H52</f>
        <v/>
      </c>
      <c r="D31" s="63" t="str">
        <f>H85</f>
        <v/>
      </c>
      <c r="E31" s="300"/>
      <c r="F31" s="533" t="s">
        <v>50</v>
      </c>
      <c r="G31" s="444" t="str">
        <f>I64</f>
        <v/>
      </c>
      <c r="H31" s="444" t="str">
        <f>I97</f>
        <v/>
      </c>
      <c r="I31" s="444" t="str">
        <f>IFERROR(ROUND(H31-G31,2),"")</f>
        <v/>
      </c>
      <c r="J31" s="527" t="str">
        <f>IFERROR(0.2*(H31*H$11-G31*H$10),"")</f>
        <v/>
      </c>
    </row>
    <row r="32" spans="1:10" ht="15.75" customHeight="1" x14ac:dyDescent="0.5">
      <c r="A32" s="481"/>
      <c r="B32" s="66" t="s">
        <v>44</v>
      </c>
      <c r="C32" s="63" t="str">
        <f>H56</f>
        <v/>
      </c>
      <c r="D32" s="63" t="str">
        <f>H89</f>
        <v/>
      </c>
      <c r="E32" s="300"/>
      <c r="F32" s="534"/>
      <c r="G32" s="445"/>
      <c r="H32" s="445"/>
      <c r="I32" s="445"/>
      <c r="J32" s="528"/>
    </row>
    <row r="33" spans="1:14" ht="15.75" customHeight="1" x14ac:dyDescent="0.5">
      <c r="A33" s="482"/>
      <c r="B33" s="66" t="s">
        <v>43</v>
      </c>
      <c r="C33" s="63" t="str">
        <f>H60</f>
        <v/>
      </c>
      <c r="D33" s="63" t="str">
        <f>H93</f>
        <v/>
      </c>
      <c r="E33" s="300"/>
      <c r="F33" s="530" t="s">
        <v>51</v>
      </c>
      <c r="G33" s="444" t="str">
        <f>I68</f>
        <v/>
      </c>
      <c r="H33" s="444" t="str">
        <f>I101</f>
        <v/>
      </c>
      <c r="I33" s="444" t="str">
        <f>IFERROR(H33-G33,"")</f>
        <v/>
      </c>
      <c r="J33" s="527" t="str">
        <f>IFERROR(0.2*(H33*H$11-G33*H$10),"")</f>
        <v/>
      </c>
    </row>
    <row r="34" spans="1:14" ht="15.75" customHeight="1" x14ac:dyDescent="0.5">
      <c r="A34" s="535" t="s">
        <v>50</v>
      </c>
      <c r="B34" s="67" t="s">
        <v>71</v>
      </c>
      <c r="C34" s="63" t="str">
        <f>H64</f>
        <v/>
      </c>
      <c r="D34" s="63" t="str">
        <f>H97</f>
        <v/>
      </c>
      <c r="E34" s="300"/>
      <c r="F34" s="531"/>
      <c r="G34" s="445"/>
      <c r="H34" s="445"/>
      <c r="I34" s="445"/>
      <c r="J34" s="528"/>
    </row>
    <row r="35" spans="1:14" ht="15.75" customHeight="1" x14ac:dyDescent="0.5">
      <c r="A35" s="536"/>
      <c r="B35" s="48" t="s">
        <v>242</v>
      </c>
      <c r="C35" s="63" t="str">
        <f>H66</f>
        <v/>
      </c>
      <c r="D35" s="63" t="str">
        <f>H99</f>
        <v/>
      </c>
      <c r="E35" s="300"/>
      <c r="G35" s="64"/>
    </row>
    <row r="36" spans="1:14" ht="15.75" customHeight="1" x14ac:dyDescent="0.5">
      <c r="A36" s="537"/>
      <c r="B36" s="67" t="s">
        <v>158</v>
      </c>
      <c r="C36" s="63" t="str">
        <f>H67</f>
        <v/>
      </c>
      <c r="D36" s="63" t="str">
        <f>H100</f>
        <v/>
      </c>
      <c r="E36" s="300"/>
      <c r="G36" s="64"/>
    </row>
    <row r="37" spans="1:14" ht="15.75" customHeight="1" x14ac:dyDescent="0.5">
      <c r="A37" s="457" t="s">
        <v>51</v>
      </c>
      <c r="B37" s="26" t="s">
        <v>132</v>
      </c>
      <c r="C37" s="63" t="str">
        <f>H68</f>
        <v/>
      </c>
      <c r="D37" s="63" t="str">
        <f>H101</f>
        <v/>
      </c>
      <c r="E37" s="300"/>
      <c r="G37" s="64"/>
    </row>
    <row r="38" spans="1:14" ht="15.75" customHeight="1" x14ac:dyDescent="0.5">
      <c r="A38" s="459"/>
      <c r="B38" s="68" t="s">
        <v>66</v>
      </c>
      <c r="C38" s="63" t="str">
        <f>H69</f>
        <v/>
      </c>
      <c r="D38" s="63" t="str">
        <f>H102</f>
        <v/>
      </c>
      <c r="E38" s="300"/>
      <c r="G38" s="64"/>
    </row>
    <row r="39" spans="1:14" ht="15.75" customHeight="1" x14ac:dyDescent="0.5">
      <c r="E39" s="304"/>
      <c r="G39" s="64"/>
    </row>
    <row r="40" spans="1:14" ht="15" customHeight="1" x14ac:dyDescent="0.45">
      <c r="J40" s="62"/>
    </row>
    <row r="41" spans="1:14" ht="21" x14ac:dyDescent="0.65">
      <c r="A41" s="485" t="s">
        <v>47</v>
      </c>
      <c r="B41" s="486"/>
      <c r="C41" s="486"/>
      <c r="D41" s="486"/>
      <c r="E41" s="486"/>
      <c r="F41" s="486"/>
      <c r="G41" s="529"/>
      <c r="H41" s="487" t="s">
        <v>334</v>
      </c>
      <c r="I41" s="486"/>
      <c r="J41" s="529"/>
    </row>
    <row r="42" spans="1:14" ht="31.5" x14ac:dyDescent="0.5">
      <c r="A42" s="290" t="s">
        <v>367</v>
      </c>
      <c r="B42" s="290" t="s">
        <v>192</v>
      </c>
      <c r="C42" s="468" t="s">
        <v>189</v>
      </c>
      <c r="D42" s="469"/>
      <c r="E42" s="470"/>
      <c r="F42" s="69" t="s">
        <v>12</v>
      </c>
      <c r="G42" s="70" t="s">
        <v>13</v>
      </c>
      <c r="H42" s="69" t="s">
        <v>14</v>
      </c>
      <c r="I42" s="69" t="s">
        <v>15</v>
      </c>
      <c r="J42" s="69" t="s">
        <v>15</v>
      </c>
    </row>
    <row r="43" spans="1:14" ht="15.75" x14ac:dyDescent="0.5">
      <c r="A43" s="532" t="s">
        <v>186</v>
      </c>
      <c r="B43" s="471" t="s">
        <v>107</v>
      </c>
      <c r="C43" s="153" t="s">
        <v>185</v>
      </c>
      <c r="D43" s="154"/>
      <c r="E43" s="154"/>
      <c r="F43" s="72"/>
      <c r="G43" s="234" t="str">
        <f>IF(F43="","",IF(F43&gt;78,0,IF(F43&lt;=55,1,ROUND(F43*'Reference Curves'!$C$14+'Reference Curves'!$C$15,2))))</f>
        <v/>
      </c>
      <c r="H43" s="498" t="str">
        <f>IFERROR(AVERAGE(G43:G44),"")</f>
        <v/>
      </c>
      <c r="I43" s="498" t="str">
        <f>IFERROR(ROUND(AVERAGE(H43:H49),2),"")</f>
        <v/>
      </c>
      <c r="J43" s="493" t="str">
        <f>IF(I43="","",IF(I43:I49&gt;0.69,"Functioning",IF(I43&gt;0.29,"Functioning At Risk",IF(I43&gt;-1,"Not Functioning"))))</f>
        <v/>
      </c>
    </row>
    <row r="44" spans="1:14" ht="15.75" x14ac:dyDescent="0.5">
      <c r="A44" s="532"/>
      <c r="B44" s="471"/>
      <c r="C44" s="217" t="s">
        <v>303</v>
      </c>
      <c r="D44" s="74"/>
      <c r="E44" s="74"/>
      <c r="F44" s="71"/>
      <c r="G44" s="235" t="str">
        <f>IF(F44="","",   IF(F44&gt;3.2,0, IF(F44&lt;0, "", ROUND('Reference Curves'!$C$44*F44+'Reference Curves'!$C$45,2))))</f>
        <v/>
      </c>
      <c r="H44" s="500"/>
      <c r="I44" s="499"/>
      <c r="J44" s="494"/>
    </row>
    <row r="45" spans="1:14" ht="15.75" customHeight="1" x14ac:dyDescent="0.5">
      <c r="A45" s="532"/>
      <c r="B45" s="472" t="s">
        <v>250</v>
      </c>
      <c r="C45" s="230" t="s">
        <v>329</v>
      </c>
      <c r="D45" s="227"/>
      <c r="E45" s="227"/>
      <c r="F45" s="228"/>
      <c r="G45" s="251" t="s">
        <v>253</v>
      </c>
      <c r="H45" s="498" t="str">
        <f>IFERROR(IF(AND(ISNUMBER(F45),F45&lt;1),0,AVERAGE(G45:G46)),"")</f>
        <v/>
      </c>
      <c r="I45" s="499"/>
      <c r="J45" s="494"/>
      <c r="M45" s="246"/>
      <c r="N45" s="246"/>
    </row>
    <row r="46" spans="1:14" ht="15.75" x14ac:dyDescent="0.5">
      <c r="A46" s="532"/>
      <c r="B46" s="471"/>
      <c r="C46" s="231" t="s">
        <v>251</v>
      </c>
      <c r="D46" s="226"/>
      <c r="E46" s="226"/>
      <c r="F46" s="331"/>
      <c r="G46" s="196" t="str">
        <f>IF(F46="","",IF(C$17= "CS-II", ROUND(IF(F46&lt;=0.6,0, IF(F46&gt;=2.3,1,F46*'Reference Curves'!$E$78+'Reference Curves'!$E$79)),2),IF(AND($C$14&lt;20,LEFT($C$17,2)="CS"), ROUND(IF(F46&lt;=0.2,0, IF(F46&gt;=1,1,F46*'Reference Curves'!$C$78+'Reference Curves'!$C$79)),2), IF(AND($C$14&gt;=20,LEFT($C$17,2)= "CS"), ROUND(IF(F46&lt;=0.4,0, IF(F46&gt;=1.5,1,F46*'Reference Curves'!$D$78+'Reference Curves'!$D$79)),2),"FALSE"))))</f>
        <v/>
      </c>
      <c r="H46" s="500"/>
      <c r="I46" s="499"/>
      <c r="J46" s="494"/>
      <c r="M46" s="246"/>
      <c r="N46" s="246"/>
    </row>
    <row r="47" spans="1:14" ht="15.75" x14ac:dyDescent="0.5">
      <c r="A47" s="532"/>
      <c r="B47" s="471" t="s">
        <v>5</v>
      </c>
      <c r="C47" s="332" t="s">
        <v>6</v>
      </c>
      <c r="D47" s="154"/>
      <c r="E47" s="309"/>
      <c r="F47" s="72"/>
      <c r="G47" s="253" t="str">
        <f>IF( F47="","",
IF( F47&gt;1.71,0, IF( F47&gt;1, ROUND(F47*'Reference Curves'!D$113+'Reference Curves'!D$114,2),
IF( $C$22="Transport", ROUND(IF( F47&lt;0.35,0, F47*'Reference Curves'!$C$113+'Reference Curves'!$C$114 ),2), 1 ))))</f>
        <v/>
      </c>
      <c r="H47" s="498" t="str">
        <f>IFERROR(AVERAGE(G47:G49),"")</f>
        <v/>
      </c>
      <c r="I47" s="499"/>
      <c r="J47" s="494"/>
      <c r="M47" s="246"/>
      <c r="N47" s="246"/>
    </row>
    <row r="48" spans="1:14" ht="15.75" x14ac:dyDescent="0.5">
      <c r="A48" s="532"/>
      <c r="B48" s="471"/>
      <c r="C48" s="155" t="s">
        <v>7</v>
      </c>
      <c r="D48" s="281"/>
      <c r="E48" s="310"/>
      <c r="F48" s="71"/>
      <c r="G48" s="196" t="str">
        <f>IF(F48="","",IF(OR(LEFT(C$21,1)="A",LEFT(C$21,1)="B"),IF(F48&lt;1.05,0,IF(F48&gt;=2.2,1,ROUND(IF(F48&lt;1.4,F48*'Reference Curves'!$C$250+'Reference Curves'!$C$251,F48*'Reference Curves'!$D$250+'Reference Curves'!$D$251),2))),                                                                                                                                                                                      IF(C$21="C",IF(F48&lt;1.7,0,IF(F48&gt;=4.2,1,ROUND(IF(F48&lt;2.4,F48*'Reference Curves'!$D$147+'Reference Curves'!$D$148,F48*'Reference Curves'!$C$147+'Reference Curves'!$C$148),2))),                                                                                                                                                                                                                    IF(C$21="Cb",IF(F48&lt;1.7,0,IF(F48&gt;=3.9,1,ROUND(IF(F48&lt;2.4,F48*'Reference Curves'!$D$181+'Reference Curves'!$D$182,F48*'Reference Curves'!$C$181+'Reference Curves'!$C$182),2))),
IF(LEFT(C$21,1)="E",IF(F48&lt;1.7,0,IF(F48&gt;=6.7,1,ROUND(IF(F48&lt;2.4,F48*'Reference Curves'!$D$215+'Reference Curves'!$D$216,F48*'Reference Curves'!$C$215+'Reference Curves'!$C$216),2))))))))</f>
        <v/>
      </c>
      <c r="H48" s="499"/>
      <c r="I48" s="499"/>
      <c r="J48" s="494"/>
    </row>
    <row r="49" spans="1:16" ht="15.75" x14ac:dyDescent="0.5">
      <c r="A49" s="532"/>
      <c r="B49" s="471"/>
      <c r="C49" s="252" t="s">
        <v>283</v>
      </c>
      <c r="D49" s="75"/>
      <c r="E49" s="311"/>
      <c r="F49" s="73"/>
      <c r="G49" s="195" t="str">
        <f>IF(F49="","",IF(C$20="Unconfined Alluvial",IF(F49&lt;=0,0, IF(F49&gt;=100,1, ROUND(IF(F49&lt;10,F49*'Reference Curves'!$C$285+'Reference Curves'!$C$286, IF(F49&lt;50,F49*'Reference Curves'!$D$285+'Reference Curves'!$D$286,F49*'Reference Curves'!$E$285+'Reference Curves'!$E$286)),2))), IF(C$20="Confined Alluvial",IF(F49&lt;=0,0,IF(F49&gt;=50,1,ROUND(IF(F49&lt;5,F49*'Reference Curves'!$F$285+'Reference Curves'!$F$286,IF(F49&lt;25,F49*'Reference Curves'!$G$285+'Reference Curves'!$G$286,F49*'Reference Curves'!$H$285+'Reference Curves'!$H$286)),2))))))</f>
        <v/>
      </c>
      <c r="H49" s="500"/>
      <c r="I49" s="500"/>
      <c r="J49" s="495"/>
      <c r="O49" s="247"/>
      <c r="P49" s="247"/>
    </row>
    <row r="50" spans="1:16" ht="15.75" x14ac:dyDescent="0.5">
      <c r="A50" s="473" t="s">
        <v>19</v>
      </c>
      <c r="B50" s="473" t="s">
        <v>20</v>
      </c>
      <c r="C50" s="23" t="s">
        <v>18</v>
      </c>
      <c r="D50" s="76"/>
      <c r="E50" s="76"/>
      <c r="F50" s="72"/>
      <c r="G50" s="178" t="str">
        <f>IF(F50="","",IF(F50&gt;=660,1,IF(F50&lt;=430,ROUND('Reference Curves'!$K$15*F50+'Reference Curves'!$K$16,2),ROUND('Reference Curves'!$L$15*F50+'Reference Curves'!$L$16,2))))</f>
        <v/>
      </c>
      <c r="H50" s="463" t="str">
        <f>IFERROR(AVERAGE(G50:G51),"")</f>
        <v/>
      </c>
      <c r="I50" s="463" t="str">
        <f>IFERROR(ROUND(AVERAGE(H50:H63),2),"")</f>
        <v/>
      </c>
      <c r="J50" s="490" t="str">
        <f>IF(I50="","",IF(I50&gt;0.69,"Functioning",IF(I50&gt;0.29,"Functioning At Risk",IF(I50&gt;-1,"Not Functioning"))))</f>
        <v/>
      </c>
    </row>
    <row r="51" spans="1:16" ht="15.75" x14ac:dyDescent="0.5">
      <c r="A51" s="473"/>
      <c r="B51" s="473"/>
      <c r="C51" s="148" t="s">
        <v>187</v>
      </c>
      <c r="D51" s="79"/>
      <c r="E51" s="79"/>
      <c r="F51" s="71"/>
      <c r="G51" s="177" t="str">
        <f>IF(F51="","",IF(F51&gt;=28,1,ROUND(IF(F51&lt;=13,'Reference Curves'!$K$48*F51,'Reference Curves'!$L$48*F51+'Reference Curves'!$L$49),2)))</f>
        <v/>
      </c>
      <c r="H51" s="464"/>
      <c r="I51" s="504"/>
      <c r="J51" s="491"/>
    </row>
    <row r="52" spans="1:16" ht="15.75" x14ac:dyDescent="0.5">
      <c r="A52" s="473"/>
      <c r="B52" s="474" t="s">
        <v>231</v>
      </c>
      <c r="C52" s="197" t="s">
        <v>159</v>
      </c>
      <c r="D52" s="146"/>
      <c r="E52" s="312"/>
      <c r="F52" s="72"/>
      <c r="G52" s="178" t="str">
        <f>IF(F52="","",ROUND(IF(F52&lt;=2,0,IF(F52&gt;=9,1,IF(F52&gt;=5,F52^2*'Reference Curves'!K$83+F52*'Reference Curves'!$K$84+'Reference Curves'!$K$85,F52*'Reference Curves'!$L$84+'Reference Curves'!$L$85))),2))</f>
        <v/>
      </c>
      <c r="H52" s="463" t="str">
        <f>IFERROR(IF(F55&gt;=50,0,AVERAGE(G52:G55)),"")</f>
        <v/>
      </c>
      <c r="I52" s="504"/>
      <c r="J52" s="491"/>
    </row>
    <row r="53" spans="1:16" ht="15.75" x14ac:dyDescent="0.5">
      <c r="A53" s="473"/>
      <c r="B53" s="473"/>
      <c r="C53" s="198" t="s">
        <v>42</v>
      </c>
      <c r="D53" s="305"/>
      <c r="E53" s="187"/>
      <c r="F53" s="369"/>
      <c r="G53" s="179" t="str">
        <f>IF(F53="","",IF(OR(F53="Ex/Ex",F53="Ex/VH",F53="Ex/H",F53="Ex/M",F53="VH/Ex",F53="VH/VH", F53="H/Ex",F53="H/VH"),0, IF(OR(F53="M/Ex"),0.1,IF(OR(F53="VH/H",F53="VH/M",F53="H/H",F53="H/M", F53="M/VH"),0.2, IF(OR(F53="Ex/VL",F53="Ex/L", F53="M/H"),0.3, IF(OR(F53="VH/L",F53="H/L"),0.4, IF(OR(F53="VH/VL",F53="H/VL",F53="M/M"),0.5, IF(OR(F53="M/L",F53="L/Ex"),0.6, IF(OR(F53="M/VL",F53="L/VH", F53="L/H",F53="L/M",F53="L/L",F53="L/VL", LEFT(F53,2)="VL"),1)))))))))</f>
        <v/>
      </c>
      <c r="H53" s="504"/>
      <c r="I53" s="504"/>
      <c r="J53" s="491"/>
    </row>
    <row r="54" spans="1:16" ht="15.75" x14ac:dyDescent="0.5">
      <c r="A54" s="473"/>
      <c r="B54" s="473"/>
      <c r="C54" s="199" t="s">
        <v>76</v>
      </c>
      <c r="D54" s="307"/>
      <c r="E54" s="191"/>
      <c r="F54" s="71"/>
      <c r="G54" s="179" t="str">
        <f>IF(F54="","",ROUND(IF(F54&gt;=75,0,IF(F54&lt;=5,1,IF(F54&gt;10,F54*'Reference Curves'!K$116+'Reference Curves'!K$117,'Reference Curves'!$L$116*F54+'Reference Curves'!$L$117))),2))</f>
        <v/>
      </c>
      <c r="H54" s="504"/>
      <c r="I54" s="504"/>
      <c r="J54" s="491"/>
    </row>
    <row r="55" spans="1:16" ht="15.75" x14ac:dyDescent="0.5">
      <c r="A55" s="473"/>
      <c r="B55" s="473"/>
      <c r="C55" s="200" t="s">
        <v>230</v>
      </c>
      <c r="D55" s="147"/>
      <c r="E55" s="192"/>
      <c r="F55" s="73"/>
      <c r="G55" s="180" t="str">
        <f>IF(F55="","",IF(F55&gt;=30,0,ROUND(F55*'Reference Curves'!$K$148+'Reference Curves'!$K$149,2)))</f>
        <v/>
      </c>
      <c r="H55" s="464"/>
      <c r="I55" s="504"/>
      <c r="J55" s="491"/>
    </row>
    <row r="56" spans="1:16" ht="15.75" x14ac:dyDescent="0.5">
      <c r="A56" s="473"/>
      <c r="B56" s="473" t="s">
        <v>44</v>
      </c>
      <c r="C56" s="197" t="s">
        <v>45</v>
      </c>
      <c r="D56" s="76"/>
      <c r="E56" s="193"/>
      <c r="F56" s="72"/>
      <c r="G56" s="82" t="str">
        <f>IF(F56="","",IF($C$21="Bc",IF(OR(F56&gt;=12,F56&lt;=0.1),0,IF(F56&lt;=3.4,1,ROUND('Reference Curves'!$K$278*F56+'Reference Curves'!$K$279,2))),  IF(OR($C$21="B",$C$21="Ba"),IF(OR(F56&gt;=7.5,F56&lt;=0.1),0,IF(F56&lt;=3,1,ROUND(IF(F56&gt;4,'Reference Curves'!$K$247*F56+'Reference Curves'!$K$248,'Reference Curves'!$L$247*F56+'Reference Curves'!$L$248),2))),  IF($C$21="Cb",IF(OR(F56&gt;=8.35,F56&lt;1.4),0,IF(AND(F56&gt;=3.7,F56&lt;=5),1,ROUND(IF(F56&lt;3.7,'Reference Curves'!$K$215*F56+'Reference Curves'!$K$216,'Reference Curves'!$L$215*F56+'Reference Curves'!$L$216),2))),  IF($C$21="C",IF(OR(F56&gt;=9.3,F56&lt;=3),0,IF(AND(F56&gt;=4,F56&lt;=6),1,ROUND(IF(F56&lt;4,'Reference Curves'!$K$181*F56+'Reference Curves'!$K$182,'Reference Curves'!$L$181*F56+'Reference Curves'!$L$182),2))),  IF($C$21="E",IF(OR(F56&gt;=8.3,F56&lt;1.85),0,IF(AND(F56&gt;=3.5,F56&lt;=5),1,ROUND(IF(F56&lt;3.5,'Reference Curves'!$K$311*F56+'Reference Curves'!$K$312,'Reference Curves'!$L$311*F56+'Reference Curves'!$L$312),2)))      ))))))</f>
        <v/>
      </c>
      <c r="H56" s="463" t="str">
        <f>IFERROR(AVERAGE(G56:G59),"")</f>
        <v/>
      </c>
      <c r="I56" s="504"/>
      <c r="J56" s="491"/>
    </row>
    <row r="57" spans="1:16" ht="15.75" x14ac:dyDescent="0.5">
      <c r="A57" s="473"/>
      <c r="B57" s="473"/>
      <c r="C57" s="198" t="s">
        <v>46</v>
      </c>
      <c r="D57" s="305"/>
      <c r="E57" s="187"/>
      <c r="F57" s="71"/>
      <c r="G57" s="83" t="str">
        <f>IF(F57="","",IF(F57&lt;=1,0,IF(F57&gt;=3.2,1,IF(F57&gt;=2.2,ROUND('Reference Curves'!$L$343*F57+'Reference Curves'!$L$344,2),(ROUND('Reference Curves'!$K$343*F57+'Reference Curves'!$K$344,2))))))</f>
        <v/>
      </c>
      <c r="H57" s="504"/>
      <c r="I57" s="504"/>
      <c r="J57" s="491"/>
    </row>
    <row r="58" spans="1:16" ht="15.75" x14ac:dyDescent="0.5">
      <c r="A58" s="473"/>
      <c r="B58" s="473"/>
      <c r="C58" s="148" t="s">
        <v>195</v>
      </c>
      <c r="D58" s="305"/>
      <c r="E58" s="187"/>
      <c r="F58" s="71"/>
      <c r="G58" s="360" t="str">
        <f>IF(F58="","", IF(C$15="","FALSE",IF(C$15&lt;3,IF( OR(F58&gt;=91,F58&lt;=13.5),0, IF(AND(F58&gt;49,F58&lt;61), 1, ROUND(IF(F58&lt;50,'Reference Curves'!$K$377*F58+'Reference Curves'!$K$378, IF(F58&gt;60,'Reference Curves'!$L$377*F58+'Reference Curves'!$L$378)),2))), IF(C$15&gt;=3,IF(OR(F58&gt;94.5,F58&lt;41.5),0, IF(AND(F58 &gt;=68, F58&lt;=78),1, ROUND(IF(F58&lt;68,'Reference Curves'!$K$411*F58+'Reference Curves'!$K$412,'Reference Curves'!$L$411*F58+'Reference Curves'!$L$412),2) ))))))</f>
        <v/>
      </c>
      <c r="H58" s="504"/>
      <c r="I58" s="504"/>
      <c r="J58" s="491"/>
    </row>
    <row r="59" spans="1:16" ht="15.75" x14ac:dyDescent="0.5">
      <c r="A59" s="473"/>
      <c r="B59" s="473"/>
      <c r="C59" s="201" t="s">
        <v>142</v>
      </c>
      <c r="D59" s="78"/>
      <c r="E59" s="313"/>
      <c r="F59" s="73"/>
      <c r="G59" s="361" t="str">
        <f>IF(F59="","",IF(F59&gt;=1.6,0,IF(F59&lt;=1,1,ROUND('Reference Curves'!$K$442*F59^3+'Reference Curves'!$K$443*F59^2+'Reference Curves'!$K$444*F59+'Reference Curves'!$K$445,2))))</f>
        <v/>
      </c>
      <c r="H59" s="464"/>
      <c r="I59" s="504"/>
      <c r="J59" s="491"/>
    </row>
    <row r="60" spans="1:16" ht="15.75" x14ac:dyDescent="0.5">
      <c r="A60" s="473"/>
      <c r="B60" s="473" t="s">
        <v>43</v>
      </c>
      <c r="C60" s="148" t="s">
        <v>409</v>
      </c>
      <c r="D60" s="305"/>
      <c r="E60" s="187"/>
      <c r="F60" s="72"/>
      <c r="G60" s="190" t="str">
        <f>IF( F60="","",
IF( $C$20="Unconfined Alluvial", IF( F60&gt;=100,1,
ROUND('Reference Curves'!$K$479*F60+'Reference Curves'!$K$480,2) ),
IF( OR($C$20="Confined Alluvial", $C$20="Colluvial/V-Shaped",$C$20="Bedrock"), ( IF(F60&gt;=100,1,
IF(F60&gt;=60, ROUND('Reference Curves'!$L$479*F60+'Reference Curves'!$L$480,2), ROUND('Reference Curves'!$M$479*F60+'Reference Curves'!$M$480,2) ) ) ) ) ) )</f>
        <v/>
      </c>
      <c r="H60" s="463" t="str">
        <f>IFERROR(AVERAGE(G60:G63),"")</f>
        <v/>
      </c>
      <c r="I60" s="504"/>
      <c r="J60" s="491"/>
    </row>
    <row r="61" spans="1:16" ht="15.75" x14ac:dyDescent="0.5">
      <c r="A61" s="473"/>
      <c r="B61" s="473"/>
      <c r="C61" s="148" t="s">
        <v>219</v>
      </c>
      <c r="D61" s="305"/>
      <c r="E61" s="187"/>
      <c r="F61" s="71"/>
      <c r="G61" s="358" t="str">
        <f>IF( F61="","", IF(C$18&lt;&gt;"Woody","FALSE", IF( OR($C$12="Mountains",$C$12="Basins"),
IF(F61&lt;=0,0, IF(F61&gt;=122,1, IF(F61&lt;69, ROUND('Reference Curves'!$K$512*F61+'Reference Curves'!$K$513,2), ROUND('Reference Curves'!$L$512*F61+'Reference Curves'!$L$513,2) ) ) ),
IF($C$12="Plains",IF(OR(F61&lt;=0,F61&gt;111),0,IF(AND(F61&gt;=69,F61&lt;=76),1,IF(F61&lt;69,ROUND(F61*'Reference Curves'!$K$547+'Reference Curves'!$K$548,2),ROUND(F61*'Reference Curves'!$L$547+'Reference Curves'!$L$548,2))))))))</f>
        <v/>
      </c>
      <c r="H61" s="504"/>
      <c r="I61" s="504"/>
      <c r="J61" s="491"/>
    </row>
    <row r="62" spans="1:16" ht="15.75" x14ac:dyDescent="0.5">
      <c r="A62" s="473"/>
      <c r="B62" s="473"/>
      <c r="C62" s="148" t="s">
        <v>220</v>
      </c>
      <c r="D62" s="305"/>
      <c r="E62" s="187"/>
      <c r="F62" s="71"/>
      <c r="G62" s="83" t="str">
        <f>IF(F62="","",IF($C$18="Herbaceous",IF(F62&lt;=34,0,IF(F62&gt;=120,1,IF(F62&gt;73,ROUND(F62*'Reference Curves'!$L$579+'Reference Curves'!$L$580,2),ROUND(F62*'Reference Curves'!$K$579+'Reference Curves'!$K$580,2))))))</f>
        <v/>
      </c>
      <c r="H62" s="504"/>
      <c r="I62" s="504"/>
      <c r="J62" s="491"/>
    </row>
    <row r="63" spans="1:16" ht="15.75" x14ac:dyDescent="0.5">
      <c r="A63" s="473"/>
      <c r="B63" s="473"/>
      <c r="C63" s="297" t="s">
        <v>229</v>
      </c>
      <c r="D63" s="308"/>
      <c r="E63" s="298"/>
      <c r="F63" s="73"/>
      <c r="G63" s="209" t="str">
        <f>IF(F63="","",IF(F63&lt;=46,0,IF(F63&gt;=100,1,IF(AND(F63&lt;=100,F63&gt;91),ROUND(F63*'Reference Curves'!$L$611+'Reference Curves'!$L$612,2),ROUND(F63*'Reference Curves'!$K$611+'Reference Curves'!$K$612,2)))))</f>
        <v/>
      </c>
      <c r="H63" s="464"/>
      <c r="I63" s="464"/>
      <c r="J63" s="492"/>
    </row>
    <row r="64" spans="1:16" ht="15.75" x14ac:dyDescent="0.5">
      <c r="A64" s="478" t="s">
        <v>50</v>
      </c>
      <c r="B64" s="496" t="s">
        <v>71</v>
      </c>
      <c r="C64" s="207" t="s">
        <v>244</v>
      </c>
      <c r="D64" s="211"/>
      <c r="E64" s="314"/>
      <c r="F64" s="72"/>
      <c r="G64" s="216" t="str">
        <f>IF(F64="","",IF($C$17="","Enter Stream Temperature",  IF($C$17="CS-I (MWF)",IF(F64&gt;=21.2,0,1),  IF($C$17="CS-I",IF(F64&gt;=21.7,0,1),  IF($C$17="CS-II",IF(F64&gt;=23.9,0,1),  IF($C$17="WS-I",IF(F64&gt;=29,0,1),  IF($C$17="WS-II",IF(F64&gt;=28.6,0,1), IF($C$17="WS-III",IF(F64&gt;=31.8,0,1)))))))))</f>
        <v/>
      </c>
      <c r="H64" s="483" t="str">
        <f>IFERROR(AVERAGE(G64:G65),"")</f>
        <v/>
      </c>
      <c r="I64" s="483" t="str">
        <f>IFERROR(ROUND(AVERAGE(H64:H67),2),"")</f>
        <v/>
      </c>
      <c r="J64" s="497" t="str">
        <f>IF(I64="","",IF(I64&gt;0.69,"Functioning",IF(I64&gt;0.29,"Functioning At Risk",IF(I64&gt;-1,"Not Functioning"))))</f>
        <v/>
      </c>
    </row>
    <row r="65" spans="1:15" ht="15.75" x14ac:dyDescent="0.5">
      <c r="A65" s="478"/>
      <c r="B65" s="496"/>
      <c r="C65" s="210" t="s">
        <v>188</v>
      </c>
      <c r="D65" s="212"/>
      <c r="E65" s="315"/>
      <c r="F65" s="73"/>
      <c r="G65" s="181" t="str">
        <f>IF(F65="","",IF($C$17="","Enter Stream Temperature",  IF($C$17="CS-I (MWF)",IF(F65&gt;=18.3,0,IF(F65&lt;=13.8,1,ROUND(F65*'Reference Curves'!$S$20+'Reference Curves'!$S$21,2))),  IF($C$17="CS-I",IF(F65&gt;=17.6,0,IF(F65&lt;=15.7,1,ROUND(F65*'Reference Curves'!$T$20+'Reference Curves'!$T$21,2))),  IF($C$17="CS-II",IF(F65&gt;=19.1,0,IF(F65&lt;=16.6,1,ROUND(F65*'Reference Curves'!$U$20+'Reference Curves'!$U$21,2))),  IF($C$17="WS-I",IF(F65&gt;=25.7,0,IF(F65&lt;=20.9,1,ROUND(F65*'Reference Curves'!$V$20+'Reference Curves'!$V$21,2))),  IF($C$17="WS-II",IF(F65&gt;=29.7,0,IF(F65&lt;=22.5,1,ROUND(F65*'Reference Curves'!$W$20+'Reference Curves'!$W$21,2))), IF($C$17="WS-III",IF(F65&gt;=30,0,IF(F65&lt;=25.9,1,ROUND(F65*'Reference Curves'!$X$20+'Reference Curves'!$X$21,2)))    ))))))))</f>
        <v/>
      </c>
      <c r="H65" s="484"/>
      <c r="I65" s="506"/>
      <c r="J65" s="497"/>
    </row>
    <row r="66" spans="1:15" ht="15.75" x14ac:dyDescent="0.5">
      <c r="A66" s="478"/>
      <c r="B66" s="208" t="s">
        <v>242</v>
      </c>
      <c r="C66" s="316" t="s">
        <v>243</v>
      </c>
      <c r="D66" s="301"/>
      <c r="E66" s="156"/>
      <c r="F66" s="71"/>
      <c r="G66" s="181" t="str">
        <f>IF(F66="","",ROUND( IF(F66&lt;=6,0, IF(F66&gt;=10.31,1,F66*'Reference Curves'!$S$52+'Reference Curves'!$S$53)),2))</f>
        <v/>
      </c>
      <c r="H66" s="86" t="str">
        <f>IFERROR(AVERAGE(G66),"")</f>
        <v/>
      </c>
      <c r="I66" s="506"/>
      <c r="J66" s="497"/>
    </row>
    <row r="67" spans="1:15" ht="15.75" x14ac:dyDescent="0.5">
      <c r="A67" s="478"/>
      <c r="B67" s="296" t="s">
        <v>158</v>
      </c>
      <c r="C67" s="24" t="s">
        <v>421</v>
      </c>
      <c r="D67" s="318"/>
      <c r="E67" s="85"/>
      <c r="F67" s="54"/>
      <c r="G67" s="181" t="str">
        <f>IF(F67="","",IF(OR($C$13=3),IF(F67&gt;=150,0,IF(F67&lt;=16,1,ROUND('Reference Curves'!$S$87*LN(F67)+'Reference Curves'!$S$88,2))), IF(OR($C$13=1,$C$13=2),  IF(F67&gt;=97,0,IF(F67&lt;=12,1,ROUND('Reference Curves'!$T$87*LN(F67)+'Reference Curves'!$T$88,2))))))</f>
        <v/>
      </c>
      <c r="H67" s="86" t="str">
        <f>IFERROR(AVERAGE(G67),"")</f>
        <v/>
      </c>
      <c r="I67" s="484"/>
      <c r="J67" s="497"/>
    </row>
    <row r="68" spans="1:15" ht="15.75" x14ac:dyDescent="0.5">
      <c r="A68" s="479" t="s">
        <v>51</v>
      </c>
      <c r="B68" s="275" t="s">
        <v>132</v>
      </c>
      <c r="C68" s="317" t="s">
        <v>249</v>
      </c>
      <c r="D68" s="306"/>
      <c r="E68" s="306"/>
      <c r="F68" s="72"/>
      <c r="G68" s="218" t="str">
        <f>IF(F68="","",IF($C$13="","Enter Biotype",IF($C$13=1,IF(F68&lt;=0,0,IF(F68&gt;=57,1,ROUND(IF(F68&lt;=34,'Reference Curves'!$AB$18*F68+'Reference Curves'!$AB$19,  IF(F68&lt;=45, 'Reference Curves'!$AC$18*F68+'Reference Curves'!$AC$19,  'Reference Curves'!$AD$18*F68+'Reference Curves'!$AD$19)),2))),   IF($C$13=2,IF(F68&lt;=0,0,IF(F68&gt;=63,1,ROUND(IF(F68&lt;=40,'Reference Curves'!$AE$18*F68+'Reference Curves'!$AE$19,  IF(F68&lt;=48,'Reference Curves'!$AF$18*F68+'Reference Curves'!$AF$19,  'Reference Curves'!$AG$18*F68+'Reference Curves'!$AG$19)),2))),   IF(OR($C$13=3),IF(F68&lt;=0,0,IF(F68&gt;=52,1,ROUND(IF(F68&lt;=29,'Reference Curves'!$AH$18*F68+'Reference Curves'!$AH$19, IF(F68&lt;=42, 'Reference Curves'!$AI$18*F68+'Reference Curves'!$AI$19,  'Reference Curves'!$AJ$18*F68+'Reference Curves'!$AJ$19)),2))))))))</f>
        <v/>
      </c>
      <c r="H68" s="89" t="str">
        <f>IFERROR(AVERAGE(G68),"")</f>
        <v/>
      </c>
      <c r="I68" s="505" t="str">
        <f>IFERROR(ROUND(AVERAGE(H68:H71),2),"")</f>
        <v/>
      </c>
      <c r="J68" s="497" t="str">
        <f>IF(I68="","",IF(I68&gt;0.69,"Functioning",IF(I68&gt;0.29,"Functioning At Risk",IF(I68&gt;-1,"Not Functioning"))))</f>
        <v/>
      </c>
    </row>
    <row r="69" spans="1:15" ht="15.75" x14ac:dyDescent="0.5">
      <c r="A69" s="479"/>
      <c r="B69" s="479" t="s">
        <v>66</v>
      </c>
      <c r="C69" s="40" t="s">
        <v>190</v>
      </c>
      <c r="D69" s="378"/>
      <c r="E69" s="88"/>
      <c r="F69" s="72"/>
      <c r="G69" s="89" t="str">
        <f>IF(F69="","",IF(F69&lt;=0,0,IF(F69&gt;=100,1,ROUND(IF(F69&lt;80,F69*'Reference Curves'!$AB$53+'Reference Curves'!$AB$54,F69*'Reference Curves'!$AC$53+'Reference Curves'!$AC$54),2))))</f>
        <v/>
      </c>
      <c r="H69" s="460" t="str">
        <f>IFERROR(AVERAGE(G69:G71),"")</f>
        <v/>
      </c>
      <c r="I69" s="505"/>
      <c r="J69" s="497"/>
    </row>
    <row r="70" spans="1:15" ht="15.75" x14ac:dyDescent="0.5">
      <c r="A70" s="479"/>
      <c r="B70" s="479"/>
      <c r="C70" s="41" t="s">
        <v>191</v>
      </c>
      <c r="D70" s="306"/>
      <c r="E70" s="90"/>
      <c r="F70" s="71"/>
      <c r="G70" s="89" t="str">
        <f>IF(F70="","",ROUND(IF(F70&gt;=3,0,IF(F70&gt;=2,0.3,IF(F70&gt;=1,0.69,1))),2))</f>
        <v/>
      </c>
      <c r="H70" s="461"/>
      <c r="I70" s="505"/>
      <c r="J70" s="497"/>
    </row>
    <row r="71" spans="1:15" ht="15.75" x14ac:dyDescent="0.5">
      <c r="A71" s="479"/>
      <c r="B71" s="479"/>
      <c r="C71" s="27" t="s">
        <v>268</v>
      </c>
      <c r="D71" s="319"/>
      <c r="E71" s="91"/>
      <c r="F71" s="73"/>
      <c r="G71" s="87" t="str">
        <f>IF(F71="","",IF($C$19="","Enter Stream Producitvity Rating",IF($C$19="High",IF(F71&lt;5,0,IF(F71&gt;=40,1,ROUND(F71*'Reference Curves'!$AB$89+'Reference Curves'!$AB$90,2))),IF($C$19="Moderate",IF(F71&lt;10,0,IF(F71&gt;=80,1,ROUND(F71*'Reference Curves'!$AC$89+'Reference Curves'!$AC$90,2))),IF($C$19="Low",IF(F71&lt;15,0,IF(F71&gt;=119,1,ROUND(F71*'Reference Curves'!$AD$89+'Reference Curves'!$AD$90,2)))   )))))</f>
        <v/>
      </c>
      <c r="H71" s="462"/>
      <c r="I71" s="505"/>
      <c r="J71" s="497"/>
    </row>
    <row r="72" spans="1:15" ht="15.75" x14ac:dyDescent="0.5">
      <c r="H72" s="143"/>
    </row>
    <row r="74" spans="1:15" ht="21" x14ac:dyDescent="0.65">
      <c r="A74" s="485" t="s">
        <v>48</v>
      </c>
      <c r="B74" s="486"/>
      <c r="C74" s="486"/>
      <c r="D74" s="486"/>
      <c r="E74" s="486"/>
      <c r="F74" s="486"/>
      <c r="G74" s="486"/>
      <c r="H74" s="487" t="s">
        <v>334</v>
      </c>
      <c r="I74" s="488"/>
      <c r="J74" s="489"/>
    </row>
    <row r="75" spans="1:15" ht="30.75" customHeight="1" x14ac:dyDescent="0.5">
      <c r="A75" s="290" t="s">
        <v>367</v>
      </c>
      <c r="B75" s="290" t="s">
        <v>192</v>
      </c>
      <c r="C75" s="468" t="s">
        <v>189</v>
      </c>
      <c r="D75" s="469"/>
      <c r="E75" s="470"/>
      <c r="F75" s="69" t="s">
        <v>12</v>
      </c>
      <c r="G75" s="70" t="s">
        <v>13</v>
      </c>
      <c r="H75" s="69" t="s">
        <v>14</v>
      </c>
      <c r="I75" s="69" t="s">
        <v>15</v>
      </c>
      <c r="J75" s="69" t="s">
        <v>15</v>
      </c>
    </row>
    <row r="76" spans="1:15" ht="15.75" x14ac:dyDescent="0.5">
      <c r="A76" s="446" t="s">
        <v>186</v>
      </c>
      <c r="B76" s="471" t="s">
        <v>107</v>
      </c>
      <c r="C76" s="153" t="s">
        <v>185</v>
      </c>
      <c r="D76" s="154"/>
      <c r="E76" s="154"/>
      <c r="F76" s="72"/>
      <c r="G76" s="234" t="str">
        <f>IF(F76="","",IF(F76&gt;78,0,IF(F76&lt;=55,1,ROUND(F76*'Reference Curves'!$C$14+'Reference Curves'!$C$15,2))))</f>
        <v/>
      </c>
      <c r="H76" s="501" t="str">
        <f>IFERROR(AVERAGE(G76:G77),"")</f>
        <v/>
      </c>
      <c r="I76" s="498" t="str">
        <f>IFERROR(ROUND(AVERAGE(H76:H82),2),"")</f>
        <v/>
      </c>
      <c r="J76" s="493" t="str">
        <f>IF(I76="","",IF(I76:I82&gt;0.69,"Functioning",IF(I76&gt;0.29,"Functioning At Risk",IF(I76&gt;-1,"Not Functioning"))))</f>
        <v/>
      </c>
    </row>
    <row r="77" spans="1:15" ht="15.75" x14ac:dyDescent="0.5">
      <c r="A77" s="447"/>
      <c r="B77" s="471"/>
      <c r="C77" s="217" t="s">
        <v>303</v>
      </c>
      <c r="D77" s="74"/>
      <c r="E77" s="74"/>
      <c r="F77" s="71"/>
      <c r="G77" s="235" t="str">
        <f>IF(F77="","",   IF(F77&gt;3.2,0, IF(F77&lt;0, "", ROUND('Reference Curves'!$C$44*F77+'Reference Curves'!$C$45,2))))</f>
        <v/>
      </c>
      <c r="H77" s="502"/>
      <c r="I77" s="499"/>
      <c r="J77" s="494"/>
    </row>
    <row r="78" spans="1:15" ht="15.6" customHeight="1" x14ac:dyDescent="0.5">
      <c r="A78" s="447"/>
      <c r="B78" s="472" t="s">
        <v>250</v>
      </c>
      <c r="C78" s="230" t="s">
        <v>329</v>
      </c>
      <c r="D78" s="227"/>
      <c r="E78" s="227"/>
      <c r="F78" s="228"/>
      <c r="G78" s="251" t="s">
        <v>253</v>
      </c>
      <c r="H78" s="498" t="str">
        <f>IFERROR(IF(AND(ISNUMBER(F78),F78&lt;1),0,AVERAGE(G78:G79)),"")</f>
        <v/>
      </c>
      <c r="I78" s="499"/>
      <c r="J78" s="494"/>
    </row>
    <row r="79" spans="1:15" ht="15.6" customHeight="1" x14ac:dyDescent="0.5">
      <c r="A79" s="447"/>
      <c r="B79" s="471"/>
      <c r="C79" s="231" t="s">
        <v>251</v>
      </c>
      <c r="D79" s="226"/>
      <c r="E79" s="226"/>
      <c r="F79" s="331"/>
      <c r="G79" s="196" t="str">
        <f>IF(F79="","",IF(C$17= "CS-II", ROUND(IF(F79&lt;=0.6,0, IF(F79&gt;=2.3,1,F79*'Reference Curves'!$E$78+'Reference Curves'!$E$79)),2),IF(AND($C$14&lt;20,LEFT($C$17,2)="CS"), ROUND(IF(F79&lt;=0.2,0, IF(F79&gt;=1,1,F79*'Reference Curves'!$C$78+'Reference Curves'!$C$79)),2), IF(AND($C$14&gt;=20,LEFT($C$17,2)= "CS"), ROUND(IF(F79&lt;=0.4,0, IF(F79&gt;=1.5,1,F79*'Reference Curves'!$D$78+'Reference Curves'!$D$79)),2),"FALSE"))))</f>
        <v/>
      </c>
      <c r="H79" s="500"/>
      <c r="I79" s="499"/>
      <c r="J79" s="494"/>
    </row>
    <row r="80" spans="1:15" ht="15.75" x14ac:dyDescent="0.5">
      <c r="A80" s="447"/>
      <c r="B80" s="471" t="s">
        <v>5</v>
      </c>
      <c r="C80" s="332" t="s">
        <v>6</v>
      </c>
      <c r="D80" s="154"/>
      <c r="E80" s="309"/>
      <c r="F80" s="72"/>
      <c r="G80" s="253" t="str">
        <f>IF( F80="","",
IF( F80&gt;1.71,0, IF( F80&gt;1, F80*'Reference Curves'!D$113+'Reference Curves'!D$114,
IF( $C$22="Transport", IF( F80&lt;0.35,0, F80*'Reference Curves'!$C$113+'Reference Curves'!$C$114 ), 1 ))))</f>
        <v/>
      </c>
      <c r="H80" s="501" t="str">
        <f>IFERROR(AVERAGE(G80:G82),"")</f>
        <v/>
      </c>
      <c r="I80" s="499"/>
      <c r="J80" s="494"/>
      <c r="M80" s="246"/>
      <c r="N80" s="246"/>
      <c r="O80" s="246"/>
    </row>
    <row r="81" spans="1:19" ht="15.75" x14ac:dyDescent="0.5">
      <c r="A81" s="447"/>
      <c r="B81" s="471"/>
      <c r="C81" s="155" t="s">
        <v>7</v>
      </c>
      <c r="D81" s="281"/>
      <c r="E81" s="310"/>
      <c r="F81" s="71"/>
      <c r="G81" s="196" t="str">
        <f>IF(F81="","",IF(OR(LEFT(C$21,1)="A",LEFT(C$21,1)="B"),IF(F81&lt;1.05,0,IF(F81&gt;=2.2,1,ROUND(IF(F81&lt;1.4,F81*'Reference Curves'!$C$250+'Reference Curves'!$C$251,F81*'Reference Curves'!$D$250+'Reference Curves'!$D$251),2))),                                                                                                                                                                                      IF(C$21="C",IF(F81&lt;1.7,0,IF(F81&gt;=4.2,1,ROUND(IF(F81&lt;2.4,F81*'Reference Curves'!$D$147+'Reference Curves'!$D$148,F81*'Reference Curves'!$C$147+'Reference Curves'!$C$148),2))),                                                                                                                                                                                                                    IF(C$21="Cb",IF(F81&lt;1.7,0,IF(F81&gt;=3.9,1,ROUND(IF(F81&lt;2.4,F81*'Reference Curves'!$D$181+'Reference Curves'!$D$182,F81*'Reference Curves'!$C$181+'Reference Curves'!$C$182),2))),
IF(LEFT(C$21,1)="E",IF(F81&lt;1.7,0,IF(F81&gt;=6.7,1,ROUND(IF(F81&lt;2.4,F81*'Reference Curves'!$D$215+'Reference Curves'!$D$216,F81*'Reference Curves'!$C$215+'Reference Curves'!$C$216),2))))))))</f>
        <v/>
      </c>
      <c r="H81" s="502"/>
      <c r="I81" s="499"/>
      <c r="J81" s="494"/>
      <c r="M81" s="246"/>
      <c r="N81" s="246"/>
      <c r="O81" s="246"/>
    </row>
    <row r="82" spans="1:19" ht="15.75" x14ac:dyDescent="0.5">
      <c r="A82" s="448"/>
      <c r="B82" s="471"/>
      <c r="C82" s="252" t="s">
        <v>283</v>
      </c>
      <c r="D82" s="75"/>
      <c r="E82" s="311"/>
      <c r="F82" s="73"/>
      <c r="G82" s="245" t="str">
        <f>IF(F82="","",IF(C$20="Unconfined Alluvial",IF(F82&lt;=0,0, IF(F82&gt;=100,1, ROUND(IF(F82&lt;10,F82*'Reference Curves'!$C$285+'Reference Curves'!$C$286, IF(F82&lt;50,F82*'Reference Curves'!$D$285+'Reference Curves'!$D$286,F82*'Reference Curves'!$E$285+'Reference Curves'!$E$286)),2))), IF(C$20="Confined Alluvial",IF(F82&lt;=0,0,IF(F82&gt;=50,1,ROUND(IF(F82&lt;5,F82*'Reference Curves'!$F$285+'Reference Curves'!$F$286,IF(F82&lt;25,F82*'Reference Curves'!$G$285+'Reference Curves'!$G$286,F82*'Reference Curves'!$H$285+'Reference Curves'!$H$286)),2))))))</f>
        <v/>
      </c>
      <c r="H82" s="503"/>
      <c r="I82" s="500"/>
      <c r="J82" s="495"/>
      <c r="M82" s="246"/>
      <c r="N82" s="246"/>
      <c r="O82" s="246"/>
      <c r="R82" s="246"/>
    </row>
    <row r="83" spans="1:19" ht="15.75" x14ac:dyDescent="0.5">
      <c r="A83" s="480" t="s">
        <v>19</v>
      </c>
      <c r="B83" s="473" t="s">
        <v>20</v>
      </c>
      <c r="C83" s="23" t="s">
        <v>18</v>
      </c>
      <c r="D83" s="76"/>
      <c r="E83" s="76"/>
      <c r="F83" s="72"/>
      <c r="G83" s="77" t="str">
        <f>IF(F83="","",IF(F83&gt;=660,1,IF(F83&lt;=430,ROUND('Reference Curves'!$K$15*F83+'Reference Curves'!$K$16,2),ROUND('Reference Curves'!$L$15*F83+'Reference Curves'!$L$16,2))))</f>
        <v/>
      </c>
      <c r="H83" s="463" t="str">
        <f>IFERROR(AVERAGE(G83:G84),"")</f>
        <v/>
      </c>
      <c r="I83" s="463" t="str">
        <f>IFERROR(ROUND(AVERAGE(H83:H96),2),"")</f>
        <v/>
      </c>
      <c r="J83" s="490" t="str">
        <f>IF(I83="","",IF(I83&gt;0.69,"Functioning",IF(I83&gt;0.29,"Functioning At Risk",IF(I83&gt;-1,"Not Functioning"))))</f>
        <v/>
      </c>
      <c r="M83" s="246"/>
      <c r="N83" s="246"/>
      <c r="O83" s="246"/>
    </row>
    <row r="84" spans="1:19" ht="15.75" x14ac:dyDescent="0.5">
      <c r="A84" s="481"/>
      <c r="B84" s="473"/>
      <c r="C84" s="148" t="s">
        <v>187</v>
      </c>
      <c r="D84" s="79"/>
      <c r="E84" s="79"/>
      <c r="F84" s="71"/>
      <c r="G84" s="177" t="str">
        <f>IF(F84="","",IF(F84&gt;=28,1,ROUND(IF(F84&lt;=13,'Reference Curves'!$K$48*F84,'Reference Curves'!$L$48*F84+'Reference Curves'!$L$49),2)))</f>
        <v/>
      </c>
      <c r="H84" s="464"/>
      <c r="I84" s="504"/>
      <c r="J84" s="491"/>
    </row>
    <row r="85" spans="1:19" ht="15.75" x14ac:dyDescent="0.5">
      <c r="A85" s="481"/>
      <c r="B85" s="474" t="s">
        <v>231</v>
      </c>
      <c r="C85" s="197" t="s">
        <v>159</v>
      </c>
      <c r="D85" s="146"/>
      <c r="E85" s="312"/>
      <c r="F85" s="72"/>
      <c r="G85" s="178" t="str">
        <f>IF(F85="","",ROUND(IF(F85&lt;=2,0,IF(F85&gt;=9,1,IF(F85&gt;=5,F85^2*'Reference Curves'!K$83+F85*'Reference Curves'!$K$84+'Reference Curves'!$K$85,F85*'Reference Curves'!$L$84+'Reference Curves'!$L$85))),2))</f>
        <v/>
      </c>
      <c r="H85" s="463" t="str">
        <f>IFERROR(IF(F88&gt;=50,0,AVERAGE(G85:G88)),"")</f>
        <v/>
      </c>
      <c r="I85" s="504"/>
      <c r="J85" s="491"/>
      <c r="P85"/>
      <c r="S85"/>
    </row>
    <row r="86" spans="1:19" ht="15.75" x14ac:dyDescent="0.5">
      <c r="A86" s="481"/>
      <c r="B86" s="473"/>
      <c r="C86" s="198" t="s">
        <v>42</v>
      </c>
      <c r="D86" s="305"/>
      <c r="E86" s="187"/>
      <c r="F86" s="71"/>
      <c r="G86" s="179" t="str">
        <f>IF(F86="","",IF(OR(F86="Ex/Ex",F86="Ex/VH",F86="Ex/H",F86="Ex/M",F86="VH/Ex",F86="VH/VH", F86="H/Ex",F86="H/VH"),0, IF(OR(F86="M/Ex"),0.1,IF(OR(F86="VH/H",F86="VH/M",F86="H/H",F86="H/M", F86="M/VH"),0.2, IF(OR(F86="Ex/VL",F86="Ex/L", F86="M/H"),0.3, IF(OR(F86="VH/L",F86="H/L"),0.4, IF(OR(F86="VH/VL",F86="H/VL",F86="M/M"),0.5, IF(OR(F86="M/L",F86="L/Ex"),0.6, IF(OR(F86="M/VL",F86="L/VH", F86="L/H",F86="L/M",F86="L/L",F86="L/VL", LEFT(F86,2)="VL"),1)))))))))</f>
        <v/>
      </c>
      <c r="H86" s="504"/>
      <c r="I86" s="504"/>
      <c r="J86" s="491"/>
    </row>
    <row r="87" spans="1:19" ht="15.75" x14ac:dyDescent="0.5">
      <c r="A87" s="481"/>
      <c r="B87" s="473"/>
      <c r="C87" s="199" t="s">
        <v>76</v>
      </c>
      <c r="D87" s="307"/>
      <c r="E87" s="191"/>
      <c r="F87" s="71"/>
      <c r="G87" s="179" t="str">
        <f>IF(F87="","",ROUND(IF(F87&gt;=75,0,IF(F87&lt;=5,1,IF(F87&gt;10,F87*'Reference Curves'!K$116+'Reference Curves'!K$117,'Reference Curves'!$L$116*F87+'Reference Curves'!$L$117))),2))</f>
        <v/>
      </c>
      <c r="H87" s="466"/>
      <c r="I87" s="504"/>
      <c r="J87" s="491"/>
    </row>
    <row r="88" spans="1:19" ht="15.75" x14ac:dyDescent="0.5">
      <c r="A88" s="481"/>
      <c r="B88" s="473"/>
      <c r="C88" s="200" t="s">
        <v>230</v>
      </c>
      <c r="D88" s="147"/>
      <c r="E88" s="192"/>
      <c r="F88" s="73"/>
      <c r="G88" s="180" t="str">
        <f>IF(F88="","",IF(F88&gt;=30,0,ROUND(F88*'Reference Curves'!$K$148+'Reference Curves'!$K$149,2)))</f>
        <v/>
      </c>
      <c r="H88" s="464"/>
      <c r="I88" s="504"/>
      <c r="J88" s="491"/>
    </row>
    <row r="89" spans="1:19" ht="15.75" x14ac:dyDescent="0.5">
      <c r="A89" s="481"/>
      <c r="B89" s="473" t="s">
        <v>44</v>
      </c>
      <c r="C89" s="197" t="s">
        <v>45</v>
      </c>
      <c r="D89" s="76"/>
      <c r="E89" s="193"/>
      <c r="F89" s="72"/>
      <c r="G89" s="82" t="str">
        <f>IF(F89="","",IF($C$21="Bc",IF(OR(F89&gt;=12,F89&lt;=0.1),0,IF(F89&lt;=3.4,1,ROUND('Reference Curves'!$K$278*F89+'Reference Curves'!$K$279,2))),  IF(OR($C$21="B",$C$21="Ba"),IF(OR(F89&gt;=7.5,F89&lt;=0.1),0,IF(F89&lt;=3,1,ROUND(IF(F89&gt;4,'Reference Curves'!$K$247*F89+'Reference Curves'!$K$248,'Reference Curves'!$L$247*F89+'Reference Curves'!$L$248),2))),  IF($C$21="Cb",IF(OR(F89&gt;=8.35,F89&lt;1.4),0,IF(AND(F89&gt;=3.7,F89&lt;=5),1,ROUND(IF(F89&lt;3.7,'Reference Curves'!$K$215*F89+'Reference Curves'!$K$216,'Reference Curves'!$L$215*F89+'Reference Curves'!$L$216),2))),  IF($C$21="C",IF(OR(F89&gt;=9.3,F89&lt;=3),0,IF(AND(F89&gt;=4,F89&lt;=6),1,ROUND(IF(F89&lt;4,'Reference Curves'!$K$181*F89+'Reference Curves'!$K$182,'Reference Curves'!$L$181*F89+'Reference Curves'!$L$182),2))),  IF($C$21="E",IF(OR(F89&gt;=8.3,F89&lt;1.85),0,IF(AND(F89&gt;=3.5,F89&lt;=5),1,ROUND(IF(F89&lt;3.5,'Reference Curves'!$K$311*F89+'Reference Curves'!$K$312,'Reference Curves'!$L$311*F89+'Reference Curves'!$L$312),2)))      ))))))</f>
        <v/>
      </c>
      <c r="H89" s="465" t="str">
        <f>IFERROR(AVERAGE(G89:G92),"")</f>
        <v/>
      </c>
      <c r="I89" s="504"/>
      <c r="J89" s="491"/>
    </row>
    <row r="90" spans="1:19" ht="15.75" x14ac:dyDescent="0.5">
      <c r="A90" s="481"/>
      <c r="B90" s="473"/>
      <c r="C90" s="198" t="s">
        <v>46</v>
      </c>
      <c r="D90" s="305"/>
      <c r="E90" s="187"/>
      <c r="F90" s="71"/>
      <c r="G90" s="83" t="str">
        <f>IF(F90="","",IF(F90&lt;=1,0,IF(F90&gt;=3.2,1,IF(F90&gt;=2.2,ROUND('Reference Curves'!$L$343*F90+'Reference Curves'!$L$344,2),(ROUND('Reference Curves'!$K$343*F90+'Reference Curves'!$K$344,2))))))</f>
        <v/>
      </c>
      <c r="H90" s="466"/>
      <c r="I90" s="504"/>
      <c r="J90" s="491"/>
    </row>
    <row r="91" spans="1:19" ht="15.75" x14ac:dyDescent="0.5">
      <c r="A91" s="481"/>
      <c r="B91" s="473"/>
      <c r="C91" s="148" t="s">
        <v>195</v>
      </c>
      <c r="D91" s="305"/>
      <c r="E91" s="187"/>
      <c r="F91" s="71"/>
      <c r="G91" s="189" t="str">
        <f>IF(F91="","", IF(C$15="","Need Slope",IF(C$15&lt;3,IF( OR(F91&gt;=91,F91&lt;=13.5),0, IF(AND(F91&gt;49,F91&lt;61), 1, ROUND(IF(F91&lt;50,'Reference Curves'!$K$377*F91+'Reference Curves'!$K$378, IF(F91&gt;60,'Reference Curves'!$L$377*F91+'Reference Curves'!$L$378)),2))), IF(C$15&gt;=3,IF(OR(F91&gt;94.5,F91&lt;41.5),0, IF(AND(F91 &gt;=68, F91&lt;=78),1, ROUND(IF(F91&lt;68,'Reference Curves'!$K$411*F91+'Reference Curves'!$K$412,'Reference Curves'!$L$411*F91+'Reference Curves'!$L$412),2) ))))))</f>
        <v/>
      </c>
      <c r="H91" s="466"/>
      <c r="I91" s="504"/>
      <c r="J91" s="491"/>
    </row>
    <row r="92" spans="1:19" ht="15.75" x14ac:dyDescent="0.5">
      <c r="A92" s="481"/>
      <c r="B92" s="473"/>
      <c r="C92" s="201" t="s">
        <v>142</v>
      </c>
      <c r="D92" s="78"/>
      <c r="E92" s="313"/>
      <c r="F92" s="73"/>
      <c r="G92" s="188" t="str">
        <f>IF(F92="","",IF(F92&gt;=1.6,0,IF(F92&lt;=1,1,ROUND('Reference Curves'!$K$442*F92^3+'Reference Curves'!$K$443*F92^2+'Reference Curves'!$K$444*F92+'Reference Curves'!$K$445,2))))</f>
        <v/>
      </c>
      <c r="H92" s="467"/>
      <c r="I92" s="504"/>
      <c r="J92" s="491"/>
    </row>
    <row r="93" spans="1:19" ht="15.75" x14ac:dyDescent="0.5">
      <c r="A93" s="481"/>
      <c r="B93" s="473" t="s">
        <v>43</v>
      </c>
      <c r="C93" s="148" t="s">
        <v>409</v>
      </c>
      <c r="D93" s="305"/>
      <c r="E93" s="187"/>
      <c r="F93" s="72"/>
      <c r="G93" s="190" t="str">
        <f>IF( F93="","",
IF( $C$20="Unconfined Alluvial", IF( F93&gt;=100,1,
ROUND('Reference Curves'!$K$479*F93+'Reference Curves'!$K$480,2) ),
IF( OR($C$20="Confined Alluvial", $C$20="Colluvial/V-Shaped",$C$20="Bedrock"), ( IF(F93&gt;=100,1,
IF(F93&gt;=60, ROUND('Reference Curves'!$L$479*F93+'Reference Curves'!$L$480,2), ROUND('Reference Curves'!$M$479*F93+'Reference Curves'!$M$480,2) ) ) ) ) ) )</f>
        <v/>
      </c>
      <c r="H93" s="463" t="str">
        <f>IFERROR(AVERAGE(G93:G96),"")</f>
        <v/>
      </c>
      <c r="I93" s="504"/>
      <c r="J93" s="491"/>
    </row>
    <row r="94" spans="1:19" ht="15.75" x14ac:dyDescent="0.5">
      <c r="A94" s="481"/>
      <c r="B94" s="473"/>
      <c r="C94" s="148" t="s">
        <v>219</v>
      </c>
      <c r="D94" s="305"/>
      <c r="E94" s="187"/>
      <c r="F94" s="71"/>
      <c r="G94" s="358" t="str">
        <f>IF( F94="","", IF(C$18&lt;&gt;"Woody","FALSE", IF( OR($C$12="Mountains",$C$12="Basins"),
IF(F94&lt;=0,0, IF(F94&gt;=122,1, IF(F94&lt;69, ROUND('Reference Curves'!$K$512*F94+'Reference Curves'!$K$513,2), ROUND('Reference Curves'!$L$512*F94+'Reference Curves'!$L$513,2) ) ) ),
IF($C$12="Plains",IF(OR(F94&lt;=0,F94&gt;111),0,IF(AND(F94&gt;=69,F94&lt;=76),1,IF(F94&lt;69,ROUND(F94*'Reference Curves'!$K$547+'Reference Curves'!$K$548,2),ROUND(F94*'Reference Curves'!$L$547+'Reference Curves'!$L$548,2))))))))</f>
        <v/>
      </c>
      <c r="H94" s="504"/>
      <c r="I94" s="504"/>
      <c r="J94" s="491"/>
    </row>
    <row r="95" spans="1:19" ht="15.75" x14ac:dyDescent="0.5">
      <c r="A95" s="481"/>
      <c r="B95" s="473"/>
      <c r="C95" s="148" t="s">
        <v>220</v>
      </c>
      <c r="D95" s="305"/>
      <c r="E95" s="187"/>
      <c r="F95" s="71"/>
      <c r="G95" s="83" t="str">
        <f>IF(F95="","",IF($C$18="Herbaceous",IF(F95&lt;=34,0,IF(F95&gt;=120,1,IF(F95&gt;73,ROUND(F95*'Reference Curves'!$L$579+'Reference Curves'!$L$580,2),ROUND(F95*'Reference Curves'!$K$579+'Reference Curves'!$K$580,2))))))</f>
        <v/>
      </c>
      <c r="H95" s="466"/>
      <c r="I95" s="504"/>
      <c r="J95" s="491"/>
    </row>
    <row r="96" spans="1:19" ht="15.75" x14ac:dyDescent="0.5">
      <c r="A96" s="482"/>
      <c r="B96" s="473"/>
      <c r="C96" s="297" t="s">
        <v>229</v>
      </c>
      <c r="D96" s="308"/>
      <c r="E96" s="298"/>
      <c r="F96" s="73"/>
      <c r="G96" s="209" t="str">
        <f>IF(F96="","",IF(F96&lt;=46,0,IF(F96&gt;=100,1,IF(AND(F96&lt;=100,F96&gt;91),ROUND(F96*'Reference Curves'!$L$611+'Reference Curves'!$L$612,2),ROUND(F96*'Reference Curves'!$K$611+'Reference Curves'!$K$612,2)))))</f>
        <v/>
      </c>
      <c r="H96" s="504"/>
      <c r="I96" s="464"/>
      <c r="J96" s="492"/>
    </row>
    <row r="97" spans="1:10" ht="15.75" x14ac:dyDescent="0.5">
      <c r="A97" s="475" t="s">
        <v>50</v>
      </c>
      <c r="B97" s="496" t="s">
        <v>71</v>
      </c>
      <c r="C97" s="207" t="s">
        <v>244</v>
      </c>
      <c r="D97" s="211"/>
      <c r="E97" s="314"/>
      <c r="F97" s="72"/>
      <c r="G97" s="216" t="str">
        <f>IF(F97="","",IF($C$17="","Enter Stream Temperature",  IF($C$17="CS-I (MWF)",IF(F97&gt;=21.2,0,1),  IF($C$17="CS-I",IF(F97&gt;=21.7,0,1),  IF($C$17="CS-II",IF(F97&gt;=23.9,0,1),  IF($C$17="WS-I",IF(F97&gt;=29,0,1),  IF($C$17="WS-II",IF(F97&gt;=28.6,0,1), IF($C$17="WS-III",IF(F97&gt;=31.8,0,1)))))))))</f>
        <v/>
      </c>
      <c r="H97" s="483" t="str">
        <f>IFERROR(AVERAGE(G97:G98),"")</f>
        <v/>
      </c>
      <c r="I97" s="507" t="str">
        <f>IFERROR(ROUND(AVERAGE(H97:H100),2),"")</f>
        <v/>
      </c>
      <c r="J97" s="493" t="str">
        <f>IF(I97="","",IF(I97&gt;0.69,"Functioning",IF(I97&gt;0.29,"Functioning At Risk",IF(I97&gt;-1,"Not Functioning"))))</f>
        <v/>
      </c>
    </row>
    <row r="98" spans="1:10" ht="15.75" x14ac:dyDescent="0.5">
      <c r="A98" s="476"/>
      <c r="B98" s="496"/>
      <c r="C98" s="210" t="s">
        <v>188</v>
      </c>
      <c r="D98" s="212"/>
      <c r="E98" s="315"/>
      <c r="F98" s="73"/>
      <c r="G98" s="181" t="str">
        <f>IF(F98="","",IF($C$17="","Enter Stream Temperature",  IF($C$17="CS-I (MWF)",IF(F98&gt;=18.3,0,IF(F98&lt;=13.8,1,ROUND(F98*'Reference Curves'!$S$20+'Reference Curves'!$S$21,2))),  IF($C$17="CS-I",IF(F98&gt;=17.6,0,IF(F98&lt;=15.7,1,ROUND(F98*'Reference Curves'!$T$20+'Reference Curves'!$T$21,2))),  IF($C$17="CS-II",IF(F98&gt;=19.1,0,IF(F98&lt;=16.6,1,ROUND(F98*'Reference Curves'!$U$20+'Reference Curves'!$U$21,2))),  IF($C$17="WS-I",IF(F98&gt;=25.7,0,IF(F98&lt;=20.9,1,ROUND(F98*'Reference Curves'!$V$20+'Reference Curves'!$V$21,2))),  IF($C$17="WS-II",IF(F98&gt;=29.7,0,IF(F98&lt;=22.5,1,ROUND(F98*'Reference Curves'!$W$20+'Reference Curves'!$W$21,2))), IF($C$17="WS-III",IF(F98&gt;=30,0,IF(F98&lt;=25.9,1,ROUND(F98*'Reference Curves'!$X$20+'Reference Curves'!$X$21,2)))    ))))))))</f>
        <v/>
      </c>
      <c r="H98" s="484"/>
      <c r="I98" s="507"/>
      <c r="J98" s="494"/>
    </row>
    <row r="99" spans="1:10" ht="15.75" x14ac:dyDescent="0.5">
      <c r="A99" s="476"/>
      <c r="B99" s="208" t="s">
        <v>242</v>
      </c>
      <c r="C99" s="316" t="s">
        <v>243</v>
      </c>
      <c r="D99" s="301"/>
      <c r="E99" s="156"/>
      <c r="F99" s="71"/>
      <c r="G99" s="181" t="str">
        <f>IF(F99="","",ROUND( IF(F99&lt;=6,0, IF(F99&gt;=10.31,1,F99*'Reference Curves'!$S$52+'Reference Curves'!$S$53)),2))</f>
        <v/>
      </c>
      <c r="H99" s="181" t="str">
        <f>IFERROR(AVERAGE(G99),"")</f>
        <v/>
      </c>
      <c r="I99" s="508"/>
      <c r="J99" s="494"/>
    </row>
    <row r="100" spans="1:10" ht="15.75" x14ac:dyDescent="0.5">
      <c r="A100" s="477"/>
      <c r="B100" s="296" t="s">
        <v>158</v>
      </c>
      <c r="C100" s="24" t="s">
        <v>421</v>
      </c>
      <c r="D100" s="318"/>
      <c r="E100" s="85"/>
      <c r="F100" s="54"/>
      <c r="G100" s="181" t="str">
        <f>IF(F100="","",IF(OR($C$13=3),IF(F100&gt;=150,0,IF(F100&lt;=16,1,ROUND('Reference Curves'!$S$87*LN(F100)+'Reference Curves'!$S$88,2))), IF(OR($C$13=1,$C$13=2),  IF(F100&gt;=97,0,IF(F100&lt;=12,1,ROUND('Reference Curves'!$T$87*LN(F100)+'Reference Curves'!$T$88,2))))))</f>
        <v/>
      </c>
      <c r="H100" s="86" t="str">
        <f>IFERROR(AVERAGE(G100),"")</f>
        <v/>
      </c>
      <c r="I100" s="508"/>
      <c r="J100" s="495"/>
    </row>
    <row r="101" spans="1:10" ht="15.75" x14ac:dyDescent="0.5">
      <c r="A101" s="457" t="s">
        <v>51</v>
      </c>
      <c r="B101" s="275" t="s">
        <v>132</v>
      </c>
      <c r="C101" s="317" t="s">
        <v>249</v>
      </c>
      <c r="D101" s="306"/>
      <c r="E101" s="306"/>
      <c r="F101" s="72"/>
      <c r="G101" s="218" t="str">
        <f>IF(F101="","",IF($C$13="","Enter Biotype",IF($C$13=1,IF(F101&lt;=0,0,IF(F101&gt;=57,1,ROUND(IF(F101&lt;=34,'Reference Curves'!$AB$18*F101+'Reference Curves'!$AB$19,  IF(F101&lt;=45, 'Reference Curves'!$AC$18*F101+'Reference Curves'!$AC$19,  'Reference Curves'!$AD$18*F101+'Reference Curves'!$AD$19)),2))),   IF($C$13=2,IF(F101&lt;=0,0,IF(F101&gt;=63,1,ROUND(IF(F101&lt;=40,'Reference Curves'!$AE$18*F101+'Reference Curves'!$AE$19,  IF(F101&lt;=48,'Reference Curves'!$AF$18*F101+'Reference Curves'!$AF$19,  'Reference Curves'!$AG$18*F101+'Reference Curves'!$AG$19)),2))),   IF(OR($C$13=3),IF(F101&lt;=0,0,IF(F101&gt;=52,1,ROUND(IF(F101&lt;=29,'Reference Curves'!$AH$18*F101+'Reference Curves'!$AH$19, IF(F101&lt;=42, 'Reference Curves'!$AI$18*F101+'Reference Curves'!$AI$19,  'Reference Curves'!$AJ$18*F101+'Reference Curves'!$AJ$19)),2))))))))</f>
        <v/>
      </c>
      <c r="H101" s="89" t="str">
        <f>IFERROR(AVERAGE(G101),"")</f>
        <v/>
      </c>
      <c r="I101" s="505" t="str">
        <f>IFERROR(ROUND(AVERAGE(H101:H103),2),"")</f>
        <v/>
      </c>
      <c r="J101" s="493" t="str">
        <f>IF(I101="","",IF(I101&gt;0.69,"Functioning",IF(I101&gt;0.29,"Functioning At Risk",IF(I101&gt;-1,"Not Functioning"))))</f>
        <v/>
      </c>
    </row>
    <row r="102" spans="1:10" ht="15.75" x14ac:dyDescent="0.5">
      <c r="A102" s="458"/>
      <c r="B102" s="479" t="s">
        <v>66</v>
      </c>
      <c r="C102" s="40" t="s">
        <v>190</v>
      </c>
      <c r="D102" s="378"/>
      <c r="E102" s="88"/>
      <c r="F102" s="379"/>
      <c r="G102" s="89" t="str">
        <f>IF(F102="","",IF(F102&lt;=0,0,IF(F102&gt;=100,1,ROUND(IF(F102&lt;80,F102*'Reference Curves'!$AB$53+'Reference Curves'!$AB$54,F102*'Reference Curves'!$AC$53+'Reference Curves'!$AC$54),2))))</f>
        <v/>
      </c>
      <c r="H102" s="460" t="str">
        <f>IFERROR(AVERAGE(G102:G104),"")</f>
        <v/>
      </c>
      <c r="I102" s="505"/>
      <c r="J102" s="494"/>
    </row>
    <row r="103" spans="1:10" ht="15.75" x14ac:dyDescent="0.5">
      <c r="A103" s="458"/>
      <c r="B103" s="479"/>
      <c r="C103" s="41" t="s">
        <v>191</v>
      </c>
      <c r="D103" s="306"/>
      <c r="E103" s="90"/>
      <c r="F103" s="380"/>
      <c r="G103" s="89" t="str">
        <f>IF(F103="","",ROUND(IF(F103&gt;=3,0,IF(F103&gt;=2,0.3,IF(F103&gt;=1,0.69,1))),2))</f>
        <v/>
      </c>
      <c r="H103" s="461"/>
      <c r="I103" s="505"/>
      <c r="J103" s="494"/>
    </row>
    <row r="104" spans="1:10" ht="15.75" x14ac:dyDescent="0.5">
      <c r="A104" s="459"/>
      <c r="B104" s="479"/>
      <c r="C104" s="27" t="s">
        <v>268</v>
      </c>
      <c r="D104" s="319"/>
      <c r="E104" s="91"/>
      <c r="F104" s="381"/>
      <c r="G104" s="87" t="str">
        <f>IF(F104="","",IF($C$19="","Enter Stream Producitvity Rating",IF($C$19="High",IF(F104&lt;5,0,IF(F104&gt;=40,1,ROUND(F104*'Reference Curves'!$AB$89+'Reference Curves'!$AB$90,2))),IF($C$19="Moderate",IF(F104&lt;10,0,IF(F104&gt;=80,1,ROUND(F104*'Reference Curves'!$AC$89+'Reference Curves'!$AC$90,2))),IF($C$19="Low",IF(F104&lt;15,0,IF(F104&gt;=119,1,ROUND(F104*'Reference Curves'!$AD$89+'Reference Curves'!$AD$90,2)))   )))))</f>
        <v/>
      </c>
      <c r="H104" s="462"/>
      <c r="I104" s="505"/>
      <c r="J104" s="495"/>
    </row>
  </sheetData>
  <sheetProtection algorithmName="SHA-512" hashValue="k+b2JBYIlgd6AROwELFgJQDAJ2/zt10KBOzhBhwbbzt51xWM7K0vrawTvco69cxOYvLOZasWq3qP9NJTVU7LlQ==" saltValue="dGYkmLTXpA4xJVAVWMW9uw==" spinCount="100000" sheet="1" formatColumns="0" formatRows="0"/>
  <dataConsolidate link="1"/>
  <mergeCells count="130">
    <mergeCell ref="G31:G32"/>
    <mergeCell ref="A34:A36"/>
    <mergeCell ref="H56:H59"/>
    <mergeCell ref="B60:B63"/>
    <mergeCell ref="A50:A63"/>
    <mergeCell ref="H47:H49"/>
    <mergeCell ref="B43:B44"/>
    <mergeCell ref="B50:B51"/>
    <mergeCell ref="I50:I63"/>
    <mergeCell ref="H60:H63"/>
    <mergeCell ref="B56:B59"/>
    <mergeCell ref="I33:I34"/>
    <mergeCell ref="F4:J4"/>
    <mergeCell ref="F5:J5"/>
    <mergeCell ref="J25:J26"/>
    <mergeCell ref="A76:A82"/>
    <mergeCell ref="H78:H79"/>
    <mergeCell ref="I43:I49"/>
    <mergeCell ref="J43:J49"/>
    <mergeCell ref="H45:H46"/>
    <mergeCell ref="J31:J32"/>
    <mergeCell ref="J27:J28"/>
    <mergeCell ref="J33:J34"/>
    <mergeCell ref="J29:J30"/>
    <mergeCell ref="H41:J41"/>
    <mergeCell ref="A41:G41"/>
    <mergeCell ref="H43:H44"/>
    <mergeCell ref="A37:A38"/>
    <mergeCell ref="F33:F34"/>
    <mergeCell ref="G33:G34"/>
    <mergeCell ref="H52:H55"/>
    <mergeCell ref="H50:H51"/>
    <mergeCell ref="A43:A49"/>
    <mergeCell ref="F31:F32"/>
    <mergeCell ref="G27:G28"/>
    <mergeCell ref="H33:H34"/>
    <mergeCell ref="F3:J3"/>
    <mergeCell ref="F6:J6"/>
    <mergeCell ref="F8:H8"/>
    <mergeCell ref="J8:K8"/>
    <mergeCell ref="A25:A26"/>
    <mergeCell ref="C25:C26"/>
    <mergeCell ref="D25:D26"/>
    <mergeCell ref="A3:C3"/>
    <mergeCell ref="F9:G9"/>
    <mergeCell ref="I25:I26"/>
    <mergeCell ref="H25:H26"/>
    <mergeCell ref="A4:B4"/>
    <mergeCell ref="A5:B5"/>
    <mergeCell ref="A6:B6"/>
    <mergeCell ref="A7:B7"/>
    <mergeCell ref="A8:B8"/>
    <mergeCell ref="A9:B9"/>
    <mergeCell ref="A10:B10"/>
    <mergeCell ref="A11:B11"/>
    <mergeCell ref="A13:B13"/>
    <mergeCell ref="A15:B15"/>
    <mergeCell ref="A16:B16"/>
    <mergeCell ref="A14:B14"/>
    <mergeCell ref="J9:K9"/>
    <mergeCell ref="J83:J96"/>
    <mergeCell ref="J101:J104"/>
    <mergeCell ref="J97:J100"/>
    <mergeCell ref="B97:B98"/>
    <mergeCell ref="B102:B104"/>
    <mergeCell ref="J50:J63"/>
    <mergeCell ref="J68:J71"/>
    <mergeCell ref="J64:J67"/>
    <mergeCell ref="I76:I82"/>
    <mergeCell ref="J76:J82"/>
    <mergeCell ref="H80:H82"/>
    <mergeCell ref="H76:H77"/>
    <mergeCell ref="H93:H96"/>
    <mergeCell ref="I101:I104"/>
    <mergeCell ref="I64:I67"/>
    <mergeCell ref="B69:B71"/>
    <mergeCell ref="I68:I71"/>
    <mergeCell ref="H69:H71"/>
    <mergeCell ref="B64:B65"/>
    <mergeCell ref="I97:I100"/>
    <mergeCell ref="I83:I96"/>
    <mergeCell ref="H85:H88"/>
    <mergeCell ref="A101:A104"/>
    <mergeCell ref="H102:H104"/>
    <mergeCell ref="H83:H84"/>
    <mergeCell ref="H89:H92"/>
    <mergeCell ref="C42:E42"/>
    <mergeCell ref="C75:E75"/>
    <mergeCell ref="B76:B77"/>
    <mergeCell ref="B78:B79"/>
    <mergeCell ref="B80:B82"/>
    <mergeCell ref="B83:B84"/>
    <mergeCell ref="B85:B88"/>
    <mergeCell ref="B89:B92"/>
    <mergeCell ref="B93:B96"/>
    <mergeCell ref="B52:B55"/>
    <mergeCell ref="A97:A100"/>
    <mergeCell ref="A64:A67"/>
    <mergeCell ref="A68:A71"/>
    <mergeCell ref="A83:A96"/>
    <mergeCell ref="H64:H65"/>
    <mergeCell ref="H97:H98"/>
    <mergeCell ref="B47:B49"/>
    <mergeCell ref="B45:B46"/>
    <mergeCell ref="A74:G74"/>
    <mergeCell ref="H74:J74"/>
    <mergeCell ref="F16:G16"/>
    <mergeCell ref="A12:B12"/>
    <mergeCell ref="B25:B26"/>
    <mergeCell ref="A24:D24"/>
    <mergeCell ref="F24:J24"/>
    <mergeCell ref="F25:F26"/>
    <mergeCell ref="G25:G26"/>
    <mergeCell ref="I27:I28"/>
    <mergeCell ref="I29:I30"/>
    <mergeCell ref="A27:A29"/>
    <mergeCell ref="H27:H28"/>
    <mergeCell ref="H29:H30"/>
    <mergeCell ref="A19:B19"/>
    <mergeCell ref="A20:B20"/>
    <mergeCell ref="A21:B21"/>
    <mergeCell ref="A22:B22"/>
    <mergeCell ref="F27:F28"/>
    <mergeCell ref="F29:F30"/>
    <mergeCell ref="A17:B17"/>
    <mergeCell ref="A18:B18"/>
    <mergeCell ref="A30:A33"/>
    <mergeCell ref="I31:I32"/>
    <mergeCell ref="H31:H32"/>
    <mergeCell ref="G29:G30"/>
  </mergeCells>
  <conditionalFormatting sqref="J50 J97:J104 J64:J71 J43:J44 J76:J77">
    <cfRule type="containsText" dxfId="142" priority="50" stopIfTrue="1" operator="containsText" text="Functioning At Risk">
      <formula>NOT(ISERROR(SEARCH("Functioning At Risk",J43)))</formula>
    </cfRule>
    <cfRule type="containsText" dxfId="141" priority="52" stopIfTrue="1" operator="containsText" text="Not Functioning">
      <formula>NOT(ISERROR(SEARCH("Not Functioning",J43)))</formula>
    </cfRule>
    <cfRule type="containsText" dxfId="140" priority="53" operator="containsText" text="Functioning">
      <formula>NOT(ISERROR(SEARCH("Functioning",J43)))</formula>
    </cfRule>
  </conditionalFormatting>
  <conditionalFormatting sqref="G27:H27 G29:H29 G31:H31 G33:H33 C27:D38">
    <cfRule type="cellIs" dxfId="139" priority="47" operator="between">
      <formula>0.7</formula>
      <formula>1</formula>
    </cfRule>
    <cfRule type="cellIs" dxfId="138" priority="48" operator="between">
      <formula>0.6999999</formula>
      <formula>0.3</formula>
    </cfRule>
    <cfRule type="cellIs" dxfId="137" priority="49" operator="between">
      <formula>0</formula>
      <formula>0.299999</formula>
    </cfRule>
  </conditionalFormatting>
  <conditionalFormatting sqref="H29:I29 H31:I31 H33:I33 H25:I25 H27:I27 K10">
    <cfRule type="containsText" dxfId="136" priority="45" stopIfTrue="1" operator="containsText" text="Not Functioning">
      <formula>NOT(ISERROR(SEARCH("Not Functioning",H10)))</formula>
    </cfRule>
    <cfRule type="containsText" dxfId="135" priority="46" operator="containsText" text="Functioning">
      <formula>NOT(ISERROR(SEARCH("Functioning",H10)))</formula>
    </cfRule>
  </conditionalFormatting>
  <conditionalFormatting sqref="J83">
    <cfRule type="containsText" dxfId="134" priority="25" stopIfTrue="1" operator="containsText" text="Functioning At Risk">
      <formula>NOT(ISERROR(SEARCH("Functioning At Risk",J83)))</formula>
    </cfRule>
    <cfRule type="containsText" dxfId="133" priority="26" stopIfTrue="1" operator="containsText" text="Not Functioning">
      <formula>NOT(ISERROR(SEARCH("Not Functioning",J83)))</formula>
    </cfRule>
    <cfRule type="containsText" dxfId="132" priority="27" operator="containsText" text="Functioning">
      <formula>NOT(ISERROR(SEARCH("Functioning",J83)))</formula>
    </cfRule>
  </conditionalFormatting>
  <conditionalFormatting sqref="G27:H27 G29:H29 G31:H31 G33:H33">
    <cfRule type="expression" dxfId="131" priority="712">
      <formula>$C$27:$D$38="&gt;1"</formula>
    </cfRule>
  </conditionalFormatting>
  <dataValidations xWindow="415" yWindow="380" count="12">
    <dataValidation allowBlank="1" showErrorMessage="1" sqref="F45:F46 F78:F79 C14 C9 F54:F55 F87:F88" xr:uid="{00000000-0002-0000-0200-000000000000}"/>
    <dataValidation type="list" allowBlank="1" showInputMessage="1" showErrorMessage="1" sqref="C13" xr:uid="{00000000-0002-0000-0200-000005000000}">
      <formula1>RiverBasins</formula1>
    </dataValidation>
    <dataValidation type="list" allowBlank="1" showErrorMessage="1" prompt="If coldwater stream enter stream temperature in field value. If not a coldwater stream leave blank." sqref="C17" xr:uid="{00000000-0002-0000-0200-000006000000}">
      <formula1>WaterTypes</formula1>
    </dataValidation>
    <dataValidation allowBlank="1" showErrorMessage="1" prompt="Leave field value blank if not a coldwater stream." sqref="G104 H106 G64:G66 H72 G71 G97:G99" xr:uid="{00000000-0002-0000-0200-000007000000}"/>
    <dataValidation type="decimal" allowBlank="1" showInputMessage="1" showErrorMessage="1" sqref="F93:F94 F60:F61" xr:uid="{00000000-0002-0000-0200-000009000000}">
      <formula1>0</formula1>
      <formula2>5280</formula2>
    </dataValidation>
    <dataValidation allowBlank="1" showErrorMessage="1" prompt="Select catchment conditon level from the completed catchment assessment form. " sqref="F43:F44 F76:F77" xr:uid="{00000000-0002-0000-0200-00000A000000}"/>
    <dataValidation type="decimal" allowBlank="1" showErrorMessage="1" prompt="The user should input a value for either basal area or density, not both. " sqref="F95:F96 F62:F63" xr:uid="{00000000-0002-0000-0200-00000C000000}">
      <formula1>0</formula1>
      <formula2>5280</formula2>
    </dataValidation>
    <dataValidation allowBlank="1" showInputMessage="1" showErrorMessage="1" prompt="If baseflow velocity &lt; 1fps then this parameter score = 0." sqref="H45:H46 H78:H79" xr:uid="{673963E8-5E16-4334-A3DD-F8FBCE03ED85}"/>
    <dataValidation type="list" allowBlank="1" showErrorMessage="1" prompt=" " sqref="F86 F53" xr:uid="{B9CF324E-0B92-48A1-BE35-167AF606CE5A}">
      <formula1>BEHI.NBS</formula1>
    </dataValidation>
    <dataValidation allowBlank="1" showInputMessage="1" showErrorMessage="1" prompt="Value from Project Assessment" sqref="C20:C22 C6" xr:uid="{DF09B205-35C2-41C7-A73F-07C855E50A9A}"/>
    <dataValidation allowBlank="1" showInputMessage="1" showErrorMessage="1" prompt="The existing condition field value for Wild Trout Biomass is 0." sqref="F71" xr:uid="{020A5CA2-0F36-4B2D-A377-EE6935A0BC0C}"/>
    <dataValidation allowBlank="1" showInputMessage="1" showErrorMessage="1" prompt="Type entry into gray cells." sqref="C4" xr:uid="{F4C11B37-9E1E-4CAE-9EFA-016FCF572D44}"/>
  </dataValidations>
  <pageMargins left="0.25" right="0.25" top="0.75" bottom="0.75" header="0.3" footer="0.3"/>
  <pageSetup paperSize="3" fitToWidth="0" fitToHeight="0" orientation="landscape" r:id="rId1"/>
  <headerFooter>
    <oddFooter>&amp;LCSQT v1.0
Quantification Tool</oddFooter>
  </headerFooter>
  <rowBreaks count="2" manualBreakCount="2">
    <brk id="39" max="16383" man="1"/>
    <brk id="72" max="16383" man="1"/>
  </rowBreaks>
  <extLst>
    <ext xmlns:x14="http://schemas.microsoft.com/office/spreadsheetml/2009/9/main" uri="{78C0D931-6437-407d-A8EE-F0AAD7539E65}">
      <x14:conditionalFormattings>
        <x14:conditionalFormatting xmlns:xm="http://schemas.microsoft.com/office/excel/2006/main">
          <x14:cfRule type="containsText" priority="129" stopIfTrue="1" operator="containsText" text="Functioning At Risk" id="{0ECA20A0-4989-4885-BB38-82282DB98CC2}">
            <xm:f>NOT(ISERROR(SEARCH("Functioning At Risk",'Monitoring Data'!#REF!)))</xm:f>
            <x14:dxf>
              <fill>
                <patternFill>
                  <bgColor rgb="FFFFFF00"/>
                </patternFill>
              </fill>
            </x14:dxf>
          </x14:cfRule>
          <xm:sqref>I29 I31 I33 I25 I27</xm:sqref>
        </x14:conditionalFormatting>
        <x14:conditionalFormatting xmlns:xm="http://schemas.microsoft.com/office/excel/2006/main">
          <x14:cfRule type="containsText" priority="132" stopIfTrue="1" operator="containsText" text="Functioning At Risk" id="{0ECA20A0-4989-4885-BB38-82282DB98CC2}">
            <xm:f>NOT(ISERROR(SEARCH("Functioning At Risk",'Monitoring Data'!#REF!)))</xm:f>
            <x14:dxf>
              <fill>
                <patternFill>
                  <bgColor rgb="FFFFFF00"/>
                </patternFill>
              </fill>
            </x14:dxf>
          </x14:cfRule>
          <xm:sqref>J67:J69 K10</xm:sqref>
        </x14:conditionalFormatting>
        <x14:conditionalFormatting xmlns:xm="http://schemas.microsoft.com/office/excel/2006/main">
          <x14:cfRule type="containsText" priority="156" stopIfTrue="1" operator="containsText" text="Functioning At Risk" id="{0ECA20A0-4989-4885-BB38-82282DB98CC2}">
            <xm:f>NOT(ISERROR(SEARCH("Functioning At Risk",'Monitoring Data'!I83)))</xm:f>
            <x14:dxf>
              <fill>
                <patternFill>
                  <bgColor rgb="FFFFFF00"/>
                </patternFill>
              </fill>
            </x14:dxf>
          </x14:cfRule>
          <xm:sqref>J83</xm:sqref>
        </x14:conditionalFormatting>
        <x14:conditionalFormatting xmlns:xm="http://schemas.microsoft.com/office/excel/2006/main">
          <x14:cfRule type="containsText" priority="258" stopIfTrue="1" operator="containsText" text="Functioning At Risk" id="{0ECA20A0-4989-4885-BB38-82282DB98CC2}">
            <xm:f>NOT(ISERROR(SEARCH("Functioning At Risk",'Monitoring Data'!#REF!)))</xm:f>
            <x14:dxf>
              <fill>
                <patternFill>
                  <bgColor rgb="FFFFFF00"/>
                </patternFill>
              </fill>
            </x14:dxf>
          </x14:cfRule>
          <xm:sqref>H29 J64:J66</xm:sqref>
        </x14:conditionalFormatting>
        <x14:conditionalFormatting xmlns:xm="http://schemas.microsoft.com/office/excel/2006/main">
          <x14:cfRule type="containsText" priority="259" stopIfTrue="1" operator="containsText" text="Functioning At Risk" id="{0ECA20A0-4989-4885-BB38-82282DB98CC2}">
            <xm:f>NOT(ISERROR(SEARCH("Functioning At Risk",'Monitoring Data'!#REF!)))</xm:f>
            <x14:dxf>
              <fill>
                <patternFill>
                  <bgColor rgb="FFFFFF00"/>
                </patternFill>
              </fill>
            </x14:dxf>
          </x14:cfRule>
          <xm:sqref>H31</xm:sqref>
        </x14:conditionalFormatting>
        <x14:conditionalFormatting xmlns:xm="http://schemas.microsoft.com/office/excel/2006/main">
          <x14:cfRule type="containsText" priority="262" stopIfTrue="1" operator="containsText" text="Functioning At Risk" id="{0ECA20A0-4989-4885-BB38-82282DB98CC2}">
            <xm:f>NOT(ISERROR(SEARCH("Functioning At Risk",'Monitoring Data'!#REF!)))</xm:f>
            <x14:dxf>
              <fill>
                <patternFill>
                  <bgColor rgb="FFFFFF00"/>
                </patternFill>
              </fill>
            </x14:dxf>
          </x14:cfRule>
          <xm:sqref>H33</xm:sqref>
        </x14:conditionalFormatting>
        <x14:conditionalFormatting xmlns:xm="http://schemas.microsoft.com/office/excel/2006/main">
          <x14:cfRule type="containsText" priority="29" stopIfTrue="1" operator="containsText" text="Functioning At Risk" id="{9CB5CFA1-2CD3-43AB-9453-76CD509591C8}">
            <xm:f>NOT(ISERROR(SEARCH("Functioning At Risk",'Monitoring Data'!#REF!)))</xm:f>
            <x14:dxf>
              <fill>
                <patternFill>
                  <bgColor rgb="FFFFFF00"/>
                </patternFill>
              </fill>
            </x14:dxf>
          </x14:cfRule>
          <xm:sqref>J97:J99</xm:sqref>
        </x14:conditionalFormatting>
        <x14:conditionalFormatting xmlns:xm="http://schemas.microsoft.com/office/excel/2006/main">
          <x14:cfRule type="containsText" priority="30" stopIfTrue="1" operator="containsText" text="Functioning At Risk" id="{D3FA476A-0BC5-408B-8588-8BF61510151A}">
            <xm:f>NOT(ISERROR(SEARCH("Functioning At Risk",'Monitoring Data'!#REF!)))</xm:f>
            <x14:dxf>
              <fill>
                <patternFill>
                  <bgColor rgb="FFFFFF00"/>
                </patternFill>
              </fill>
            </x14:dxf>
          </x14:cfRule>
          <xm:sqref>J100</xm:sqref>
        </x14:conditionalFormatting>
        <x14:conditionalFormatting xmlns:xm="http://schemas.microsoft.com/office/excel/2006/main">
          <x14:cfRule type="containsText" priority="651" stopIfTrue="1" operator="containsText" text="Functioning At Risk" id="{0ECA20A0-4989-4885-BB38-82282DB98CC2}">
            <xm:f>NOT(ISERROR(SEARCH("Functioning At Risk",'Monitoring Data'!I29)))</xm:f>
            <x14:dxf>
              <fill>
                <patternFill>
                  <bgColor rgb="FFFFFF00"/>
                </patternFill>
              </fill>
            </x14:dxf>
          </x14:cfRule>
          <xm:sqref>H25 H27</xm:sqref>
        </x14:conditionalFormatting>
        <x14:conditionalFormatting xmlns:xm="http://schemas.microsoft.com/office/excel/2006/main">
          <x14:cfRule type="containsText" priority="653" stopIfTrue="1" operator="containsText" text="Functioning At Risk" id="{0ECA20A0-4989-4885-BB38-82282DB98CC2}">
            <xm:f>NOT(ISERROR(SEARCH("Functioning At Risk",'Monitoring Data'!I47)))</xm:f>
            <x14:dxf>
              <fill>
                <patternFill>
                  <bgColor rgb="FFFFFF00"/>
                </patternFill>
              </fill>
            </x14:dxf>
          </x14:cfRule>
          <xm:sqref>J50</xm:sqref>
        </x14:conditionalFormatting>
        <x14:conditionalFormatting xmlns:xm="http://schemas.microsoft.com/office/excel/2006/main">
          <x14:cfRule type="containsText" priority="720" stopIfTrue="1" operator="containsText" text="Functioning At Risk" id="{0ECA20A0-4989-4885-BB38-82282DB98CC2}">
            <xm:f>NOT(ISERROR(SEARCH("Functioning At Risk",'Monitoring Data'!#REF!)))</xm:f>
            <x14:dxf>
              <fill>
                <patternFill>
                  <bgColor rgb="FFFFFF00"/>
                </patternFill>
              </fill>
            </x14:dxf>
          </x14:cfRule>
          <xm:sqref>J42</xm:sqref>
        </x14:conditionalFormatting>
      </x14:conditionalFormattings>
    </ext>
    <ext xmlns:x14="http://schemas.microsoft.com/office/spreadsheetml/2009/9/main" uri="{CCE6A557-97BC-4b89-ADB6-D9C93CAAB3DF}">
      <x14:dataValidations xmlns:xm="http://schemas.microsoft.com/office/excel/2006/main" xWindow="415" yWindow="380" count="7">
        <x14:dataValidation type="list" allowBlank="1" showInputMessage="1" showErrorMessage="1" xr:uid="{00000000-0002-0000-0200-00000D000000}">
          <x14:formula1>
            <xm:f>'Pull Down Notes'!$B$67:$B$70</xm:f>
          </x14:formula1>
          <xm:sqref>C12:C13</xm:sqref>
        </x14:dataValidation>
        <x14:dataValidation type="list" allowBlank="1" showErrorMessage="1" prompt="If coldwater stream enter stream temperature in field value. If not a coldwater stream leave blank." xr:uid="{EEFD5193-B653-4C96-B246-DF5D743492B6}">
          <x14:formula1>
            <xm:f>'Pull Down Notes'!$B$114:$B$127</xm:f>
          </x14:formula1>
          <xm:sqref>C16</xm:sqref>
        </x14:dataValidation>
        <x14:dataValidation type="list" allowBlank="1" showErrorMessage="1" xr:uid="{54DF2AAF-56F7-4CE7-AD68-67C0B4140887}">
          <x14:formula1>
            <xm:f>'Pull Down Notes'!$B$99:$B$102</xm:f>
          </x14:formula1>
          <xm:sqref>C19</xm:sqref>
        </x14:dataValidation>
        <x14:dataValidation type="list" allowBlank="1" showInputMessage="1" showErrorMessage="1" xr:uid="{00000000-0002-0000-0200-000010000000}">
          <x14:formula1>
            <xm:f>'Pull Down Notes'!$B$99:$B$102</xm:f>
          </x14:formula1>
          <xm:sqref>C19</xm:sqref>
        </x14:dataValidation>
        <x14:dataValidation type="list" allowBlank="1" showErrorMessage="1" xr:uid="{39DDC1AB-CC64-42A0-97D7-A5175230D91B}">
          <x14:formula1>
            <xm:f>'Pull Down Notes'!$B$129:$B$132</xm:f>
          </x14:formula1>
          <xm:sqref>C10</xm:sqref>
        </x14:dataValidation>
        <x14:dataValidation type="list" allowBlank="1" showErrorMessage="1" xr:uid="{43787D90-24FD-4430-87DD-E4CFA4741AEA}">
          <x14:formula1>
            <xm:f>'Pull Down Notes'!$B$135:$B$140</xm:f>
          </x14:formula1>
          <xm:sqref>C11</xm:sqref>
        </x14:dataValidation>
        <x14:dataValidation type="list" allowBlank="1" showInputMessage="1" showErrorMessage="1" xr:uid="{00000000-0002-0000-0200-00000F000000}">
          <x14:formula1>
            <xm:f>'Pull Down Notes'!$B$104:$B$106</xm:f>
          </x14:formula1>
          <xm:sqref>C18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361"/>
  <sheetViews>
    <sheetView view="pageBreakPreview" topLeftCell="A183" zoomScale="60" zoomScaleNormal="100" workbookViewId="0">
      <selection activeCell="B67" sqref="B67"/>
    </sheetView>
  </sheetViews>
  <sheetFormatPr defaultColWidth="8.86328125" defaultRowHeight="14.25" x14ac:dyDescent="0.45"/>
  <cols>
    <col min="1" max="1" width="23.265625" style="291" customWidth="1"/>
    <col min="2" max="2" width="28.86328125" customWidth="1"/>
    <col min="3" max="3" width="22.1328125" customWidth="1"/>
    <col min="4" max="4" width="20.59765625" customWidth="1"/>
    <col min="5" max="6" width="13" customWidth="1"/>
    <col min="7" max="8" width="15.73046875" customWidth="1"/>
    <col min="9" max="9" width="15.73046875" style="291" customWidth="1"/>
    <col min="10" max="10" width="18.59765625" customWidth="1"/>
    <col min="11" max="11" width="13.73046875" customWidth="1"/>
  </cols>
  <sheetData>
    <row r="1" spans="1:13" ht="21" x14ac:dyDescent="0.65">
      <c r="A1" s="487" t="s">
        <v>110</v>
      </c>
      <c r="B1" s="488"/>
      <c r="C1" s="488"/>
      <c r="D1" s="488"/>
      <c r="E1" s="488"/>
      <c r="F1" s="489"/>
      <c r="G1" s="487" t="s">
        <v>334</v>
      </c>
      <c r="H1" s="488"/>
      <c r="I1" s="489"/>
    </row>
    <row r="2" spans="1:13" ht="15.75" x14ac:dyDescent="0.5">
      <c r="A2" s="290" t="s">
        <v>1</v>
      </c>
      <c r="B2" s="39" t="s">
        <v>2</v>
      </c>
      <c r="C2" s="468" t="s">
        <v>3</v>
      </c>
      <c r="D2" s="470"/>
      <c r="E2" s="39" t="s">
        <v>12</v>
      </c>
      <c r="F2" s="39" t="s">
        <v>13</v>
      </c>
      <c r="G2" s="39" t="s">
        <v>14</v>
      </c>
      <c r="H2" s="39" t="s">
        <v>15</v>
      </c>
      <c r="I2" s="290" t="s">
        <v>15</v>
      </c>
    </row>
    <row r="3" spans="1:13" ht="15.6" customHeight="1" x14ac:dyDescent="0.5">
      <c r="A3" s="446" t="s">
        <v>186</v>
      </c>
      <c r="B3" s="538" t="s">
        <v>107</v>
      </c>
      <c r="C3" s="153" t="s">
        <v>185</v>
      </c>
      <c r="D3" s="154"/>
      <c r="E3" s="72"/>
      <c r="F3" s="234" t="str">
        <f>IF(E3="","",IF(E3&gt;=78,0,IF(E3&lt;=55,1,ROUND(E3*'Reference Curves'!$C$14+'Reference Curves'!$C$15,2))))</f>
        <v/>
      </c>
      <c r="G3" s="498" t="str">
        <f>IFERROR(AVERAGE(F3:F4),"")</f>
        <v/>
      </c>
      <c r="H3" s="498" t="str">
        <f>IFERROR(ROUND(AVERAGE(G3:G9),2),"")</f>
        <v/>
      </c>
      <c r="I3" s="493" t="str">
        <f>IF(H3="","",IF(H3:H9&gt;0.69,"Functioning",IF(H3&gt;0.29,"Functioning At Risk",IF(H3&gt;-1,"Not Functioning"))))</f>
        <v/>
      </c>
      <c r="L3" s="2"/>
    </row>
    <row r="4" spans="1:13" ht="15.75" x14ac:dyDescent="0.5">
      <c r="A4" s="447"/>
      <c r="B4" s="540"/>
      <c r="C4" s="217" t="s">
        <v>303</v>
      </c>
      <c r="D4" s="74"/>
      <c r="E4" s="71"/>
      <c r="F4" s="235" t="str">
        <f>IF(E4="","",   IF(E4&gt;3.2,0, IF(E4&lt;0, "", ROUND('Reference Curves'!$C$44*E4+'Reference Curves'!$C$45,2))))</f>
        <v/>
      </c>
      <c r="G4" s="499"/>
      <c r="H4" s="499"/>
      <c r="I4" s="494"/>
      <c r="L4" s="2"/>
    </row>
    <row r="5" spans="1:13" ht="14.45" customHeight="1" x14ac:dyDescent="0.5">
      <c r="A5" s="447"/>
      <c r="B5" s="545" t="s">
        <v>250</v>
      </c>
      <c r="C5" s="230" t="s">
        <v>329</v>
      </c>
      <c r="D5" s="227"/>
      <c r="E5" s="228"/>
      <c r="F5" s="251" t="s">
        <v>253</v>
      </c>
      <c r="G5" s="498" t="str">
        <f>IFERROR(IF(AND(ISNUMBER(E5),E5&lt;1),0,AVERAGE(F5:F6)),"")</f>
        <v/>
      </c>
      <c r="H5" s="499"/>
      <c r="I5" s="494"/>
      <c r="L5" s="2"/>
      <c r="M5" s="2"/>
    </row>
    <row r="6" spans="1:13" ht="14.45" customHeight="1" x14ac:dyDescent="0.5">
      <c r="A6" s="447"/>
      <c r="B6" s="564"/>
      <c r="C6" s="231" t="s">
        <v>251</v>
      </c>
      <c r="D6" s="226"/>
      <c r="E6" s="194"/>
      <c r="F6" s="245" t="str">
        <f>IF(E6="","", IF('Quantification Tool'!$C$17= "CS-II", ROUND(IF(E6&lt;=0.6,0, IF(E6&gt;=2.3,1,E6*'Reference Curves'!$E$78+'Reference Curves'!$E$79)),2),
IF(AND('Quantification Tool'!$C$14&lt;20,LEFT('Quantification Tool'!$C$17,2)="CS"),ROUND(IF(E6&lt;=0.2,0, IF(E6&gt;=1,1,E6*'Reference Curves'!$C$78+'Reference Curves'!$C$79)),2),
 IF(AND('Quantification Tool'!$C$14&gt;=20,LEFT('Quantification Tool'!$C$17,2)= "CS"), ROUND(IF(E6&lt;=0.4,0, IF(E6&gt;=1.5,1,E6*'Reference Curves'!$D$78+'Reference Curves'!$D$79)),2) ))))</f>
        <v/>
      </c>
      <c r="G6" s="500"/>
      <c r="H6" s="499"/>
      <c r="I6" s="494"/>
      <c r="L6" s="2"/>
      <c r="M6" s="2"/>
    </row>
    <row r="7" spans="1:13" ht="15.75" x14ac:dyDescent="0.5">
      <c r="A7" s="447"/>
      <c r="B7" s="538" t="s">
        <v>5</v>
      </c>
      <c r="C7" s="332" t="s">
        <v>6</v>
      </c>
      <c r="D7" s="154"/>
      <c r="E7" s="71"/>
      <c r="F7" s="196" t="str">
        <f>IF(E7="","",
IF(E7&gt;1.71,0,IF( E7&gt;1,ROUND(E7*'Reference Curves'!D$113+'Reference Curves'!D$114,2),
IF( 'Quantification Tool'!C$22="Transport", ROUND(IF( E7&lt;0.35,0, E7*'Reference Curves'!$C$113+'Reference Curves'!$C$114 ),2), 1 ))))</f>
        <v/>
      </c>
      <c r="G7" s="502" t="str">
        <f>IFERROR(AVERAGE(F7:F9),"")</f>
        <v/>
      </c>
      <c r="H7" s="499"/>
      <c r="I7" s="494"/>
      <c r="L7" s="2"/>
      <c r="M7" s="2"/>
    </row>
    <row r="8" spans="1:13" ht="15.75" x14ac:dyDescent="0.5">
      <c r="A8" s="447"/>
      <c r="B8" s="539"/>
      <c r="C8" s="155" t="s">
        <v>7</v>
      </c>
      <c r="D8" s="281"/>
      <c r="E8" s="71"/>
      <c r="F8" s="196" t="str">
        <f>IF(E8="","",IF(OR(LEFT( 'Quantification Tool'!C$21,1)="A",LEFT( 'Quantification Tool'!C$21,1)="B"),IF(E8&lt;1.05,0,IF(E8&gt;=2.2,1,ROUND(IF(E8&lt;1.4,E8*'Reference Curves'!$C$250+'Reference Curves'!$C$251,E8*'Reference Curves'!$D$250+'Reference Curves'!$D$251),2))),                                                                                                                                                                                      IF( 'Quantification Tool'!C$21="C",IF(E8&lt;1.7,0,IF(E8&gt;=4.2,1,ROUND(IF(E8&lt;2.4,E8*'Reference Curves'!$D$147+'Reference Curves'!$D$148,E8*'Reference Curves'!$C$147+'Reference Curves'!$C$148),2))),                                                                                                                                                                                                                    IF( 'Quantification Tool'!C$21="Cb",IF(E8&lt;1.7,0,IF(E8&gt;=3.9,1,ROUND(IF(E8&lt;2.4,E8*'Reference Curves'!$D$181+'Reference Curves'!$D$182,E8*'Reference Curves'!$C$181+'Reference Curves'!$C$182),2))),
IF(LEFT( 'Quantification Tool'!C$21,1)="E",IF(E8&lt;1.7,0,IF(E8&gt;=6.7,1,ROUND(IF(E8&lt;2.4,E8*'Reference Curves'!$D$215+'Reference Curves'!$D$216,E8*'Reference Curves'!$C$215+'Reference Curves'!$C$216),2))))))))</f>
        <v/>
      </c>
      <c r="G8" s="502"/>
      <c r="H8" s="499"/>
      <c r="I8" s="494"/>
      <c r="L8" s="2"/>
      <c r="M8" s="2"/>
    </row>
    <row r="9" spans="1:13" ht="15.75" x14ac:dyDescent="0.5">
      <c r="A9" s="448"/>
      <c r="B9" s="540"/>
      <c r="C9" s="252" t="s">
        <v>283</v>
      </c>
      <c r="D9" s="75"/>
      <c r="E9" s="73"/>
      <c r="F9" s="195" t="str">
        <f>IF(E9="","",IF('Quantification Tool'!$C$20="Unconfined Alluvial",IF(E9&lt;=0,0, IF(E9&gt;=100,1, ROUND(IF(E9&lt;10,E9*'Reference Curves'!$C$285+'Reference Curves'!$C$286, IF(E9&lt;50,E9*'Reference Curves'!$D$285+'Reference Curves'!$D$286,E9*'Reference Curves'!$E$285+'Reference Curves'!$E$286)),2))), IF('Quantification Tool'!$C$20="Confined Alluvial",IF(E9&lt;=0,0,IF(E9&gt;=50,1,ROUND(IF(E9&lt;5,E9*'Reference Curves'!$F$285+'Reference Curves'!$F$286,IF(E9&lt;25,E9*'Reference Curves'!$G$285+'Reference Curves'!$G$286,E9*'Reference Curves'!$H$285+'Reference Curves'!$H$286)),2))))))</f>
        <v/>
      </c>
      <c r="G9" s="503"/>
      <c r="H9" s="500"/>
      <c r="I9" s="495"/>
      <c r="L9" s="2"/>
      <c r="M9" s="2"/>
    </row>
    <row r="10" spans="1:13" ht="15.75" x14ac:dyDescent="0.5">
      <c r="A10" s="559" t="s">
        <v>19</v>
      </c>
      <c r="B10" s="480" t="s">
        <v>20</v>
      </c>
      <c r="C10" s="23" t="s">
        <v>18</v>
      </c>
      <c r="D10" s="76"/>
      <c r="E10" s="72"/>
      <c r="F10" s="178" t="str">
        <f>IF(E10="","",IF(E10&gt;=660,1,IF(E10&lt;=430,ROUND('Reference Curves'!$K$15*E10+'Reference Curves'!$K$16,2),ROUND('Reference Curves'!$L$15*E10+'Reference Curves'!$L$16,2))))</f>
        <v/>
      </c>
      <c r="G10" s="463" t="str">
        <f>IFERROR(AVERAGE(F10:F11),"")</f>
        <v/>
      </c>
      <c r="H10" s="463" t="str">
        <f>IFERROR(ROUND(AVERAGE(G10:G23),2),"")</f>
        <v/>
      </c>
      <c r="I10" s="490" t="str">
        <f>IF(H10="","",IF(H10&gt;0.69,"Functioning",IF(H10&gt;0.29,"Functioning At Risk",IF(H10&gt;-1,"Not Functioning"))))</f>
        <v/>
      </c>
      <c r="L10" s="2"/>
      <c r="M10" s="2"/>
    </row>
    <row r="11" spans="1:13" ht="15.75" x14ac:dyDescent="0.5">
      <c r="A11" s="560"/>
      <c r="B11" s="482"/>
      <c r="C11" s="148" t="s">
        <v>187</v>
      </c>
      <c r="D11" s="79"/>
      <c r="E11" s="71"/>
      <c r="F11" s="177" t="str">
        <f>IF(E11="","",IF(E11&gt;=28,1,ROUND(IF(E11&lt;=13,'Reference Curves'!$K$48*E11,'Reference Curves'!$L$48*E11+'Reference Curves'!$L$49),2)))</f>
        <v/>
      </c>
      <c r="G11" s="464"/>
      <c r="H11" s="504"/>
      <c r="I11" s="491"/>
      <c r="L11" s="2"/>
      <c r="M11" s="2"/>
    </row>
    <row r="12" spans="1:13" ht="15.75" x14ac:dyDescent="0.5">
      <c r="A12" s="560"/>
      <c r="B12" s="547" t="s">
        <v>231</v>
      </c>
      <c r="C12" s="197" t="s">
        <v>159</v>
      </c>
      <c r="D12" s="146"/>
      <c r="E12" s="72"/>
      <c r="F12" s="178" t="str">
        <f>IF(E12="","",ROUND(IF(E12&lt;=2,0,IF(E12&gt;=9,1,IF(E12&gt;=5,E12^2*'Reference Curves'!$K$83+E12*'Reference Curves'!$K$84+'Reference Curves'!$K$85, E12*'Reference Curves'!$L$84+'Reference Curves'!$L$85))),2))</f>
        <v/>
      </c>
      <c r="G12" s="463" t="str">
        <f>IFERROR(IF(E15&gt;=50,0,AVERAGE(F12:F15)),"")</f>
        <v/>
      </c>
      <c r="H12" s="504"/>
      <c r="I12" s="491"/>
      <c r="L12" s="2"/>
      <c r="M12" s="2"/>
    </row>
    <row r="13" spans="1:13" ht="15.75" x14ac:dyDescent="0.5">
      <c r="A13" s="560"/>
      <c r="B13" s="562"/>
      <c r="C13" s="198" t="s">
        <v>42</v>
      </c>
      <c r="D13" s="305"/>
      <c r="E13" s="71"/>
      <c r="F13" s="179" t="str">
        <f>IF(E13="","",IF(OR(E13="Ex/Ex",E13="Ex/VH",E13="Ex/H",E13="Ex/M",E13="VH/Ex",E13="VH/VH", E13="H/Ex",E13="H/VH"),0, IF(OR(E13="M/Ex"),0.1,IF(OR(E13="VH/H",E13="VH/M",E13="H/H",E13="H/M", E13="M/VH"),0.2, IF(OR(E13="Ex/VL",E13="Ex/L", E13="M/H"),0.3, IF(OR(E13="VH/L",E13="H/L"),0.4, IF(OR(E13="VH/VL",E13="H/VL",E13="M/M"),0.5, IF(OR(E13="M/L",E13="L/Ex"),0.6, IF(OR(E13="M/VL",E13="L/VH", E13="L/H",E13="L/M",E13="L/L",E13="L/VL", LEFT(E13,2)="VL"),1)))))))))</f>
        <v/>
      </c>
      <c r="G13" s="504"/>
      <c r="H13" s="504"/>
      <c r="I13" s="491"/>
      <c r="L13" s="2"/>
      <c r="M13" s="2"/>
    </row>
    <row r="14" spans="1:13" ht="15.75" x14ac:dyDescent="0.5">
      <c r="A14" s="560"/>
      <c r="B14" s="562"/>
      <c r="C14" s="199" t="s">
        <v>76</v>
      </c>
      <c r="D14" s="307"/>
      <c r="E14" s="71"/>
      <c r="F14" s="179" t="str">
        <f>IF(E14="","",ROUND(IF(E14&gt;=75,0,IF(E14&lt;=5,1,IF(E14&gt;10,E14*'Reference Curves'!K$116+'Reference Curves'!K$117,'Reference Curves'!$L$116*E14+'Reference Curves'!$L$117))),2))</f>
        <v/>
      </c>
      <c r="G14" s="466"/>
      <c r="H14" s="504"/>
      <c r="I14" s="491"/>
      <c r="L14" s="2"/>
      <c r="M14" s="2"/>
    </row>
    <row r="15" spans="1:13" ht="15.75" x14ac:dyDescent="0.5">
      <c r="A15" s="560"/>
      <c r="B15" s="563"/>
      <c r="C15" s="200" t="s">
        <v>230</v>
      </c>
      <c r="D15" s="147"/>
      <c r="E15" s="73"/>
      <c r="F15" s="180" t="str">
        <f>IF(E15="","",IF(E15&gt;=30,0,ROUND(E15*'Reference Curves'!$K$148+'Reference Curves'!$K$149,2)))</f>
        <v/>
      </c>
      <c r="G15" s="464"/>
      <c r="H15" s="504"/>
      <c r="I15" s="491"/>
      <c r="L15" s="2"/>
      <c r="M15" s="2"/>
    </row>
    <row r="16" spans="1:13" ht="15.75" x14ac:dyDescent="0.5">
      <c r="A16" s="560"/>
      <c r="B16" s="480" t="s">
        <v>44</v>
      </c>
      <c r="C16" s="197" t="s">
        <v>45</v>
      </c>
      <c r="D16" s="76"/>
      <c r="E16" s="72"/>
      <c r="F16" s="82" t="str">
        <f>IF(E16="","",IF('Quantification Tool'!$C$21="Bc",IF(OR(E16&gt;=12,E16&lt;=0.1),0,IF(E16&lt;=3.4,1,ROUND('Reference Curves'!$K$278*E16+'Reference Curves'!$K$279,2))),  IF(OR('Quantification Tool'!$C$21="B",'Quantification Tool'!$C$21="Ba"),IF(OR(E16&gt;=7.5,E16&lt;=0.1),0,IF(E16&lt;=3,1,ROUND(IF(E16&gt;4,'Reference Curves'!$K$247*E16+'Reference Curves'!$K$248,'Reference Curves'!$L$247*E16+'Reference Curves'!$L$248),2))),  IF('Quantification Tool'!$C$21="Cb",IF(OR(E16&gt;=8.35,E16&lt;1.4),0,IF(AND(E16&gt;=3.7,E16&lt;=5),1,ROUND(IF(E16&lt;3.7,'Reference Curves'!$K$215*E16+'Reference Curves'!$K$216,'Reference Curves'!$L$215*E16+'Reference Curves'!$L$216),2))),  IF('Quantification Tool'!$C$21="C",IF(OR(E16&gt;=9.3,E16&lt;=3),0,IF(AND(E16&gt;=4,E16&lt;=6),1,ROUND(IF(E16&lt;4,'Reference Curves'!$K$181*E16+'Reference Curves'!$K$182,'Reference Curves'!$L$181*E16+'Reference Curves'!$L$182),2))),  IF('Quantification Tool'!$C$21="E",IF(OR(E16&gt;=8.3,E16&lt;1.85),0,IF(AND(E16&gt;=3.5,E16&lt;=5),1,ROUND(IF(E16&lt;3.5,'Reference Curves'!$K$311*E16+'Reference Curves'!$K$312,'Reference Curves'!$L$311*E16+'Reference Curves'!$L$312),2)))      ))))))</f>
        <v/>
      </c>
      <c r="G16" s="465" t="str">
        <f>IFERROR(AVERAGE(F16:F19),"")</f>
        <v/>
      </c>
      <c r="H16" s="504"/>
      <c r="I16" s="491"/>
      <c r="L16" s="2"/>
      <c r="M16" s="2"/>
    </row>
    <row r="17" spans="1:13" ht="15.75" x14ac:dyDescent="0.5">
      <c r="A17" s="560"/>
      <c r="B17" s="481"/>
      <c r="C17" s="198" t="s">
        <v>46</v>
      </c>
      <c r="D17" s="305"/>
      <c r="E17" s="71"/>
      <c r="F17" s="83" t="str">
        <f>IF(E17="","",IF(E17&lt;=1,0,IF(E17&gt;=3.2,1,IF(E17&gt;=2.2,ROUND('Reference Curves'!$L$343*E17+'Reference Curves'!$L$344,2),(ROUND('Reference Curves'!$K$343*E17+'Reference Curves'!$K$344,2))))))</f>
        <v/>
      </c>
      <c r="G17" s="466"/>
      <c r="H17" s="504"/>
      <c r="I17" s="491"/>
      <c r="L17" s="2"/>
      <c r="M17" s="2"/>
    </row>
    <row r="18" spans="1:13" ht="15.75" x14ac:dyDescent="0.5">
      <c r="A18" s="560"/>
      <c r="B18" s="481"/>
      <c r="C18" s="148" t="s">
        <v>195</v>
      </c>
      <c r="D18" s="305"/>
      <c r="E18" s="71"/>
      <c r="F18" s="277" t="str">
        <f>IF(E18="","", IF('Quantification Tool'!$C$15="","FALSE",IF('Quantification Tool'!$C$15&lt;3,IF( OR(E18&gt;=91,E18&lt;=13.5),0, IF(AND(E18&gt;49,E18&lt;61), 1, ROUND(IF(E18&lt;50,'Reference Curves'!$K$377*E18+'Reference Curves'!$K$378, IF(E18&gt;60,'Reference Curves'!$L$377*E18+'Reference Curves'!$L$378)),2))), IF('Quantification Tool'!$C$15&gt;=3,IF(OR(E18&gt;94.5,E18&lt;41.5),0, IF(AND(E18 &gt;=68, E18&lt;=78),1, ROUND(IF(E18&lt;68,'Reference Curves'!$K$411*E18+'Reference Curves'!$K$412,'Reference Curves'!$L$411*E18+'Reference Curves'!$L$412),2) ))))))</f>
        <v/>
      </c>
      <c r="G18" s="466"/>
      <c r="H18" s="504"/>
      <c r="I18" s="491"/>
      <c r="L18" s="2"/>
      <c r="M18" s="2"/>
    </row>
    <row r="19" spans="1:13" ht="15.75" x14ac:dyDescent="0.5">
      <c r="A19" s="560"/>
      <c r="B19" s="482"/>
      <c r="C19" s="201" t="s">
        <v>142</v>
      </c>
      <c r="D19" s="78"/>
      <c r="E19" s="73"/>
      <c r="F19" s="276" t="str">
        <f>IF(E19="","",IF(E19&gt;=1.6,0,IF(E19&lt;=1,1,ROUND('Reference Curves'!$K$442*E19^3+'Reference Curves'!$K$443*E19^2+'Reference Curves'!$K$444*E19+'Reference Curves'!$K$445,2))))</f>
        <v/>
      </c>
      <c r="G19" s="467"/>
      <c r="H19" s="504"/>
      <c r="I19" s="491"/>
      <c r="L19" s="2"/>
      <c r="M19" s="2"/>
    </row>
    <row r="20" spans="1:13" ht="15.75" x14ac:dyDescent="0.5">
      <c r="A20" s="560"/>
      <c r="B20" s="480" t="s">
        <v>43</v>
      </c>
      <c r="C20" s="148" t="s">
        <v>409</v>
      </c>
      <c r="D20" s="305"/>
      <c r="E20" s="72"/>
      <c r="F20" s="190" t="str">
        <f>IF( E20="","",
IF( 'Quantification Tool'!$C$20="Unconfined Alluvial", IF( E20&gt;=100,1,
ROUND('Reference Curves'!$K$479*E20+'Reference Curves'!$K$480,2) ),
IF( OR('Quantification Tool'!$C$20="Confined Alluvial", 'Quantification Tool'!$C$20="Colluvial/V-Shaped",'Quantification Tool'!$C$20="Bedrock"), ( IF(E20&gt;=100,1,
IF(E20&gt;=60, ROUND('Reference Curves'!$L$479*E20+'Reference Curves'!$L$480,2), ROUND('Reference Curves'!$M$479*E20+'Reference Curves'!$M$480,2) ) ) ) ) ) )</f>
        <v/>
      </c>
      <c r="G20" s="463" t="str">
        <f>IFERROR(AVERAGE(F20:F23),"")</f>
        <v/>
      </c>
      <c r="H20" s="504"/>
      <c r="I20" s="491"/>
      <c r="L20" s="2"/>
      <c r="M20" s="2"/>
    </row>
    <row r="21" spans="1:13" ht="15.75" x14ac:dyDescent="0.5">
      <c r="A21" s="560"/>
      <c r="B21" s="481"/>
      <c r="C21" s="148" t="s">
        <v>219</v>
      </c>
      <c r="D21" s="305"/>
      <c r="E21" s="71"/>
      <c r="F21" s="358" t="str">
        <f>IF( E21="","", IF('Quantification Tool'!$C$18&lt;&gt;"Woody","FALSE", IF( OR('Quantification Tool'!$C$12="Mountains",'Quantification Tool'!$C$12="Basins"),
IF(E21&lt;=0,0, IF(E21&gt;=122,1, IF(E21&lt;69, ROUND('Reference Curves'!$K$512*E21+'Reference Curves'!$K$513,2), ROUND('Reference Curves'!$L$512*E21+'Reference Curves'!$L$513,2) ) ) ),
IF('Quantification Tool'!$C$12="Plains",IF(OR(E21&lt;=0,E21&gt;111),0,IF(AND(E21&gt;=69,E21&lt;=76),1,IF(E21&lt;69,ROUND(E21*'Reference Curves'!$K$547+'Reference Curves'!$K$548,2),ROUND(E21*'Reference Curves'!$L$547+'Reference Curves'!$L$548,2))))))))</f>
        <v/>
      </c>
      <c r="G21" s="504"/>
      <c r="H21" s="504"/>
      <c r="I21" s="491"/>
      <c r="L21" s="2"/>
      <c r="M21" s="2"/>
    </row>
    <row r="22" spans="1:13" ht="15.75" x14ac:dyDescent="0.5">
      <c r="A22" s="560"/>
      <c r="B22" s="481"/>
      <c r="C22" s="148" t="s">
        <v>220</v>
      </c>
      <c r="D22" s="305"/>
      <c r="E22" s="71"/>
      <c r="F22" s="83" t="str">
        <f>IF(E22="","",IF('Quantification Tool'!$C$18="Herbaceous",IF(E22&lt;=34,0,IF(E22&gt;=120,1,IF(E22&gt;73,ROUND(E22*'Reference Curves'!$L$579+'Reference Curves'!$L$580,2),ROUND(E22*'Reference Curves'!$K$579+'Reference Curves'!$K$580,2))))))</f>
        <v/>
      </c>
      <c r="G22" s="466"/>
      <c r="H22" s="504"/>
      <c r="I22" s="491"/>
      <c r="L22" s="2"/>
      <c r="M22" s="2"/>
    </row>
    <row r="23" spans="1:13" ht="15.75" x14ac:dyDescent="0.5">
      <c r="A23" s="561"/>
      <c r="B23" s="482"/>
      <c r="C23" s="297" t="s">
        <v>229</v>
      </c>
      <c r="D23" s="308"/>
      <c r="E23" s="73"/>
      <c r="F23" s="209" t="str">
        <f>IF(E23="","",IF(E23&lt;=46,0,IF(E23&gt;=100,1,IF(AND(E23&lt;=100,E23&gt;91),ROUND(E23*'Reference Curves'!$L$611+'Reference Curves'!$L$612,2),ROUND(E23*'Reference Curves'!$K$611+'Reference Curves'!$K$612,2)))))</f>
        <v/>
      </c>
      <c r="G23" s="464"/>
      <c r="H23" s="464"/>
      <c r="I23" s="492"/>
      <c r="L23" s="2"/>
      <c r="M23" s="2"/>
    </row>
    <row r="24" spans="1:13" ht="15.75" x14ac:dyDescent="0.5">
      <c r="A24" s="550" t="s">
        <v>50</v>
      </c>
      <c r="B24" s="475" t="s">
        <v>71</v>
      </c>
      <c r="C24" s="207" t="s">
        <v>244</v>
      </c>
      <c r="D24" s="211"/>
      <c r="E24" s="72"/>
      <c r="F24" s="216" t="str">
        <f>IF(E24="","",IF('Quantification Tool'!$C$17="","Enter Stream Temperature",  IF('Quantification Tool'!$C$17="CS-I (MWF)",IF(E24&gt;=21.2,0,1),  IF('Quantification Tool'!$C$17="CS-I",IF(E24&gt;=21.7,0,1),  IF('Quantification Tool'!$C$17="CS-II",IF(E24&gt;=23.9,0,1),  IF('Quantification Tool'!$C$17="WS-I",IF(E24&gt;=29,0,1),  IF('Quantification Tool'!$C$17="WS-II",IF(E24&gt;=28.6,0,1), IF('Quantification Tool'!$C$17="WS-III",IF(E24&gt;=31.8,0,1)))))))))</f>
        <v/>
      </c>
      <c r="G24" s="483" t="str">
        <f>IFERROR(AVERAGE(F24:F25),"")</f>
        <v/>
      </c>
      <c r="H24" s="483" t="str">
        <f>IFERROR(ROUND(AVERAGE(G24:G27),2),"")</f>
        <v/>
      </c>
      <c r="I24" s="497" t="str">
        <f>IF(H24="","",IF(H24&gt;0.69,"Functioning",IF(H24&gt;0.29,"Functioning At Risk",IF(H24&gt;-1,"Not Functioning"))))</f>
        <v/>
      </c>
      <c r="L24" s="2"/>
      <c r="M24" s="2"/>
    </row>
    <row r="25" spans="1:13" ht="15.75" x14ac:dyDescent="0.5">
      <c r="A25" s="551"/>
      <c r="B25" s="477"/>
      <c r="C25" s="210" t="s">
        <v>188</v>
      </c>
      <c r="D25" s="212"/>
      <c r="E25" s="73"/>
      <c r="F25" s="181" t="str">
        <f>IF(E25="","",IF('Quantification Tool'!$C$17="","Enter Stream Temperature",  IF('Quantification Tool'!$C$17="CS-I (MWF)",IF(E25&gt;=18.3,0,IF(E25&lt;=13.8,1,ROUND(E25*'Reference Curves'!$S$20+'Reference Curves'!$S$21,2))),  IF('Quantification Tool'!$C$17="CS-I",IF(E25&gt;=17.6,0,IF(E25&lt;=15.7,1,ROUND(E25*'Reference Curves'!$T$20+'Reference Curves'!$T$21,2))),  IF('Quantification Tool'!$C$17="CS-II",IF(E25&gt;=19.1,0,IF(E25&lt;=16.6,1,ROUND(E25*'Reference Curves'!$U$20+'Reference Curves'!$U$21,2))),  IF('Quantification Tool'!$C$17="WS-I",IF(E25&gt;=25.7,0,IF(E25&lt;=20.9,1,ROUND(E25*'Reference Curves'!$V$20+'Reference Curves'!$V$21,2))),  IF('Quantification Tool'!$C$17="WS-II",IF(E25&gt;=29.7,0,IF(E25&lt;=22.5,1,ROUND(E25*'Reference Curves'!$W$20+'Reference Curves'!$W$21,2))), IF('Quantification Tool'!$C$17="WS-III",IF(E25&gt;=30,0,IF(E25&lt;=25.9,1,ROUND(E25*'Reference Curves'!$X$20+'Reference Curves'!$X$21,2)))    ))))))))</f>
        <v/>
      </c>
      <c r="G25" s="484"/>
      <c r="H25" s="506"/>
      <c r="I25" s="497"/>
      <c r="L25" s="2"/>
      <c r="M25" s="2"/>
    </row>
    <row r="26" spans="1:13" ht="15.75" x14ac:dyDescent="0.5">
      <c r="A26" s="551"/>
      <c r="B26" s="359" t="s">
        <v>242</v>
      </c>
      <c r="C26" s="316" t="s">
        <v>243</v>
      </c>
      <c r="D26" s="301"/>
      <c r="E26" s="71"/>
      <c r="F26" s="181" t="str">
        <f>IF(E26="","",ROUND( IF(E26&lt;=6,0, IF(E26&gt;=10.31,1,E26*'Reference Curves'!$S$52+'Reference Curves'!$S$53)),2))</f>
        <v/>
      </c>
      <c r="G26" s="86" t="str">
        <f>IFERROR(AVERAGE(F26),"")</f>
        <v/>
      </c>
      <c r="H26" s="506"/>
      <c r="I26" s="497"/>
      <c r="L26" s="2"/>
      <c r="M26" s="2"/>
    </row>
    <row r="27" spans="1:13" ht="15.75" x14ac:dyDescent="0.5">
      <c r="A27" s="552"/>
      <c r="B27" s="362" t="s">
        <v>158</v>
      </c>
      <c r="C27" s="24" t="s">
        <v>421</v>
      </c>
      <c r="D27" s="318"/>
      <c r="E27" s="54"/>
      <c r="F27" s="181" t="str">
        <f>IF(E27="","",IF(OR('Quantification Tool'!$C$13=3),IF(E27&gt;=150,0,IF(E27&lt;=16,1,ROUND('Reference Curves'!$S$87*LN(E27)+'Reference Curves'!$S$88,2))), IF(OR('Quantification Tool'!$C$13=1,'Quantification Tool'!$C$13=2),  IF(E27&gt;=97,0,IF(E27&lt;=12,1,ROUND('Reference Curves'!$T$87*LN(E27)+'Reference Curves'!$T$88,2))))))</f>
        <v/>
      </c>
      <c r="G27" s="86" t="str">
        <f>IFERROR(AVERAGE(F27),"")</f>
        <v/>
      </c>
      <c r="H27" s="484"/>
      <c r="I27" s="497"/>
      <c r="L27" s="2"/>
      <c r="M27" s="2"/>
    </row>
    <row r="28" spans="1:13" ht="15.75" x14ac:dyDescent="0.5">
      <c r="A28" s="553" t="s">
        <v>51</v>
      </c>
      <c r="B28" s="282" t="s">
        <v>132</v>
      </c>
      <c r="C28" s="317" t="s">
        <v>249</v>
      </c>
      <c r="D28" s="306"/>
      <c r="E28" s="72"/>
      <c r="F28" s="218" t="str">
        <f>IF(E28="","",IF('Quantification Tool'!$C$13="","Enter Biotype",IF('Quantification Tool'!$C$13=1,IF(E28&lt;=0,0,IF(E28&gt;=57,1,ROUND(IF(E28&lt;=34,'Reference Curves'!$AB$18*E28+'Reference Curves'!$AB$19,  IF(E28&lt;=45, 'Reference Curves'!$AC$18*E28+'Reference Curves'!$AC$19,  'Reference Curves'!$AD$18*E28+'Reference Curves'!$AD$19)),2))),   IF('Quantification Tool'!$C$13=2,IF(E28&lt;=0,0,IF(E28&gt;=63,1,ROUND(IF(E28&lt;=40,'Reference Curves'!$AE$18*E28+'Reference Curves'!$AE$19,  IF(E28&lt;=48,'Reference Curves'!$AF$18*E28+'Reference Curves'!$AF$19,  'Reference Curves'!$AG$18*E28+'Reference Curves'!$AG$19)),2))),   IF(OR('Quantification Tool'!$C$13=3),IF(E28&lt;=0,0,IF(E28&gt;=52,1,ROUND(IF(E28&lt;=29,'Reference Curves'!$AH$18*E28+'Reference Curves'!$AH$19, IF(E28&lt;=42, 'Reference Curves'!$AI$18*E28+'Reference Curves'!$AI$19,  'Reference Curves'!$AJ$18*E28+'Reference Curves'!$AJ$19)),2))))))))</f>
        <v/>
      </c>
      <c r="G28" s="89" t="str">
        <f>IFERROR(AVERAGE(F28),"")</f>
        <v/>
      </c>
      <c r="H28" s="505" t="str">
        <f>IFERROR(ROUND(AVERAGE(G28:G31),2),"")</f>
        <v/>
      </c>
      <c r="I28" s="497" t="str">
        <f>IF(H28="","",IF(H28&gt;0.69,"Functioning",IF(H28&gt;0.29,"Functioning At Risk",IF(H28&gt;-1,"Not Functioning"))))</f>
        <v/>
      </c>
      <c r="L28" s="2"/>
      <c r="M28" s="2"/>
    </row>
    <row r="29" spans="1:13" ht="15.75" x14ac:dyDescent="0.5">
      <c r="A29" s="554"/>
      <c r="B29" s="457" t="s">
        <v>66</v>
      </c>
      <c r="C29" s="40" t="s">
        <v>190</v>
      </c>
      <c r="D29" s="88"/>
      <c r="E29" s="72"/>
      <c r="F29" s="89" t="str">
        <f>IF(E29="","",IF(E29&lt;=0,0,IF(E29&gt;=100,1,ROUND(IF(E29&lt;80,E29*'Reference Curves'!$AB$53+'Reference Curves'!$AB$54,E29*'Reference Curves'!$AC$53+'Reference Curves'!$AC$54),2))))</f>
        <v/>
      </c>
      <c r="G29" s="460" t="str">
        <f>IFERROR(AVERAGE(F29:F31),"")</f>
        <v/>
      </c>
      <c r="H29" s="505"/>
      <c r="I29" s="497"/>
      <c r="L29" s="2"/>
      <c r="M29" s="2"/>
    </row>
    <row r="30" spans="1:13" ht="15.75" x14ac:dyDescent="0.5">
      <c r="A30" s="554"/>
      <c r="B30" s="458"/>
      <c r="C30" s="41" t="s">
        <v>191</v>
      </c>
      <c r="D30" s="306"/>
      <c r="E30" s="71"/>
      <c r="F30" s="89" t="str">
        <f>IF(E30="","",ROUND(IF(E30&gt;=3,0,IF(E30&gt;=2,0.3,IF(E30&gt;=1,0.69,1))),2))</f>
        <v/>
      </c>
      <c r="G30" s="461"/>
      <c r="H30" s="505"/>
      <c r="I30" s="497"/>
      <c r="L30" s="2"/>
      <c r="M30" s="2"/>
    </row>
    <row r="31" spans="1:13" ht="15.75" x14ac:dyDescent="0.5">
      <c r="A31" s="555"/>
      <c r="B31" s="459"/>
      <c r="C31" s="27" t="s">
        <v>268</v>
      </c>
      <c r="D31" s="319"/>
      <c r="E31" s="73"/>
      <c r="F31" s="87" t="str">
        <f>IF(E31="","",IF('Quantification Tool'!$C$19="","Enter Stream Producitvity Rating",IF('Quantification Tool'!$C$19="High",IF(E31&lt;5,0,IF(E31&gt;=40,1,ROUND(E31*'Reference Curves'!$AB$89+'Reference Curves'!$AB$90,2))),IF('Quantification Tool'!$C$19="Moderate",IF(E31&lt;10,0,IF(E31&gt;=80,1,ROUND(E31*'Reference Curves'!$AC$89+'Reference Curves'!$AC$90,2))),IF('Quantification Tool'!$C$19="Low",IF(E31&lt;15,0,IF(E31&gt;=119,1,ROUND(E31*'Reference Curves'!$AD$89+'Reference Curves'!$AD$90,2)))   )))))</f>
        <v/>
      </c>
      <c r="G31" s="462"/>
      <c r="H31" s="505"/>
      <c r="I31" s="497"/>
      <c r="L31" s="2"/>
      <c r="M31" s="2"/>
    </row>
    <row r="34" spans="1:9" ht="21" x14ac:dyDescent="0.65">
      <c r="A34" s="365" t="s">
        <v>114</v>
      </c>
      <c r="B34" s="185"/>
      <c r="C34" s="186" t="s">
        <v>212</v>
      </c>
      <c r="D34" s="548"/>
      <c r="E34" s="548"/>
      <c r="F34" s="549"/>
      <c r="G34" s="487" t="s">
        <v>334</v>
      </c>
      <c r="H34" s="488"/>
      <c r="I34" s="489"/>
    </row>
    <row r="35" spans="1:9" ht="15.75" x14ac:dyDescent="0.5">
      <c r="A35" s="290" t="s">
        <v>1</v>
      </c>
      <c r="B35" s="39" t="s">
        <v>2</v>
      </c>
      <c r="C35" s="173" t="s">
        <v>3</v>
      </c>
      <c r="D35" s="174"/>
      <c r="E35" s="39" t="s">
        <v>12</v>
      </c>
      <c r="F35" s="39" t="s">
        <v>13</v>
      </c>
      <c r="G35" s="39" t="s">
        <v>14</v>
      </c>
      <c r="H35" s="39" t="s">
        <v>15</v>
      </c>
      <c r="I35" s="290" t="s">
        <v>15</v>
      </c>
    </row>
    <row r="36" spans="1:9" ht="15.75" x14ac:dyDescent="0.5">
      <c r="A36" s="446" t="s">
        <v>186</v>
      </c>
      <c r="B36" s="538" t="s">
        <v>107</v>
      </c>
      <c r="C36" s="153" t="s">
        <v>185</v>
      </c>
      <c r="D36" s="154"/>
      <c r="E36" s="72"/>
      <c r="F36" s="234" t="str">
        <f>IF(E36="","",IF(E36&gt;=78,0,IF(E36&lt;=55,1,ROUND(E36*'Reference Curves'!$C$14+'Reference Curves'!$C$15,2))))</f>
        <v/>
      </c>
      <c r="G36" s="498" t="str">
        <f>IFERROR(AVERAGE(F36:F37),"")</f>
        <v/>
      </c>
      <c r="H36" s="498" t="str">
        <f>IFERROR(ROUND(AVERAGE(G36:G42),2),"")</f>
        <v/>
      </c>
      <c r="I36" s="493" t="str">
        <f>IF(H36="","",IF(H36:H42&gt;0.69,"Functioning",IF(H36&gt;0.29,"Functioning At Risk",IF(H36&gt;-1,"Not Functioning"))))</f>
        <v/>
      </c>
    </row>
    <row r="37" spans="1:9" ht="15.75" x14ac:dyDescent="0.5">
      <c r="A37" s="447"/>
      <c r="B37" s="539"/>
      <c r="C37" s="217" t="s">
        <v>303</v>
      </c>
      <c r="D37" s="74"/>
      <c r="E37" s="71"/>
      <c r="F37" s="235" t="str">
        <f>IF(E37="","",   IF(E37&gt;3.2,0, IF(E37&lt;0, "", ROUND('Reference Curves'!$C$44*E37+'Reference Curves'!$C$45,2))))</f>
        <v/>
      </c>
      <c r="G37" s="499"/>
      <c r="H37" s="499"/>
      <c r="I37" s="494"/>
    </row>
    <row r="38" spans="1:9" ht="15.75" x14ac:dyDescent="0.5">
      <c r="A38" s="447"/>
      <c r="B38" s="545" t="s">
        <v>250</v>
      </c>
      <c r="C38" s="230" t="s">
        <v>329</v>
      </c>
      <c r="D38" s="227"/>
      <c r="E38" s="228"/>
      <c r="F38" s="251" t="s">
        <v>253</v>
      </c>
      <c r="G38" s="498" t="str">
        <f>IFERROR(IF(AND(ISNUMBER(E38),E38&lt;1),0,AVERAGE(F38:F39)),"")</f>
        <v/>
      </c>
      <c r="H38" s="499"/>
      <c r="I38" s="494"/>
    </row>
    <row r="39" spans="1:9" ht="15.75" x14ac:dyDescent="0.5">
      <c r="A39" s="447"/>
      <c r="B39" s="540"/>
      <c r="C39" s="231" t="s">
        <v>251</v>
      </c>
      <c r="D39" s="226"/>
      <c r="E39" s="194"/>
      <c r="F39" s="245" t="str">
        <f>IF(E39="","", IF('Quantification Tool'!$C$17= "CS-II", ROUND(IF(E39&lt;=0.6,0, IF(E39&gt;=2.3,1,E39*'Reference Curves'!$E$78+'Reference Curves'!$E$79)),2),
IF(AND('Quantification Tool'!$C$14&lt;20,LEFT('Quantification Tool'!$C$17,2)="CS"),ROUND(IF(E39&lt;=0.2,0, IF(E39&gt;=1,1,E39*'Reference Curves'!$C$78+'Reference Curves'!$C$79)),2),
 IF(AND('Quantification Tool'!$C$14&gt;=20,LEFT('Quantification Tool'!$C$17,2)= "CS"), ROUND(IF(E39&lt;=0.4,0, IF(E39&gt;=1.5,1,E39*'Reference Curves'!$D$78+'Reference Curves'!$D$79)),2) ))))</f>
        <v/>
      </c>
      <c r="G39" s="500"/>
      <c r="H39" s="499"/>
      <c r="I39" s="494"/>
    </row>
    <row r="40" spans="1:9" ht="15.75" x14ac:dyDescent="0.5">
      <c r="A40" s="447"/>
      <c r="B40" s="539" t="s">
        <v>5</v>
      </c>
      <c r="C40" s="332" t="s">
        <v>6</v>
      </c>
      <c r="D40" s="154"/>
      <c r="E40" s="71"/>
      <c r="F40" s="196" t="str">
        <f>IF(E40="","",
IF(E40&gt;1.71,0,IF( E40&gt;1,ROUND(E40*'Reference Curves'!D$113+'Reference Curves'!D$114,2),
IF( 'Quantification Tool'!C$22="Transport", ROUND(IF( E40&lt;0.35,0, E40*'Reference Curves'!$C$113+'Reference Curves'!$C$114 ),2), 1 ))))</f>
        <v/>
      </c>
      <c r="G40" s="502" t="str">
        <f>IFERROR(AVERAGE(F40:F42),"")</f>
        <v/>
      </c>
      <c r="H40" s="499"/>
      <c r="I40" s="494"/>
    </row>
    <row r="41" spans="1:9" ht="15.75" x14ac:dyDescent="0.5">
      <c r="A41" s="447"/>
      <c r="B41" s="539"/>
      <c r="C41" s="155" t="s">
        <v>7</v>
      </c>
      <c r="D41" s="281"/>
      <c r="E41" s="71"/>
      <c r="F41" s="196" t="str">
        <f>IF(E41="","",IF(OR(LEFT( 'Quantification Tool'!C$21,1)="A",LEFT( 'Quantification Tool'!C$21,1)="B"),IF(E41&lt;1.05,0,IF(E41&gt;=2.2,1,ROUND(IF(E41&lt;1.4,E41*'Reference Curves'!$C$250+'Reference Curves'!$C$251,E41*'Reference Curves'!$D$250+'Reference Curves'!$D$251),2))),                                                                                                                                                                                      IF( 'Quantification Tool'!C$21="C",IF(E41&lt;1.7,0,IF(E41&gt;=4.2,1,ROUND(IF(E41&lt;2.4,E41*'Reference Curves'!$D$147+'Reference Curves'!$D$148,E41*'Reference Curves'!$C$147+'Reference Curves'!$C$148),2))),                                                                                                                                                                                                                    IF( 'Quantification Tool'!C$21="Cb",IF(E41&lt;1.7,0,IF(E41&gt;=3.9,1,ROUND(IF(E41&lt;2.4,E41*'Reference Curves'!$D$181+'Reference Curves'!$D$182,E41*'Reference Curves'!$C$181+'Reference Curves'!$C$182),2))),
IF(LEFT( 'Quantification Tool'!C$21,1)="E",IF(E41&lt;1.7,0,IF(E41&gt;=6.7,1,ROUND(IF(E41&lt;2.4,E41*'Reference Curves'!$D$215+'Reference Curves'!$D$216,E41*'Reference Curves'!$C$215+'Reference Curves'!$C$216),2))))))))</f>
        <v/>
      </c>
      <c r="G41" s="502"/>
      <c r="H41" s="499"/>
      <c r="I41" s="494"/>
    </row>
    <row r="42" spans="1:9" ht="15.6" customHeight="1" x14ac:dyDescent="0.5">
      <c r="A42" s="448"/>
      <c r="B42" s="540"/>
      <c r="C42" s="252" t="s">
        <v>283</v>
      </c>
      <c r="D42" s="75"/>
      <c r="E42" s="73"/>
      <c r="F42" s="195" t="str">
        <f>IF(E42="","",IF('Quantification Tool'!$C$20="Unconfined Alluvial",IF(E42&lt;=0,0, IF(E42&gt;=100,1, ROUND(IF(E42&lt;10,E42*'Reference Curves'!$C$285+'Reference Curves'!$C$286, IF(E42&lt;50,E42*'Reference Curves'!$D$285+'Reference Curves'!$D$286,E42*'Reference Curves'!$E$285+'Reference Curves'!$E$286)),2))), IF('Quantification Tool'!$C$20="Confined Alluvial",IF(E42&lt;=0,0,IF(E42&gt;=50,1,ROUND(IF(E42&lt;5,E42*'Reference Curves'!$F$285+'Reference Curves'!$F$286,IF(E42&lt;25,E42*'Reference Curves'!$G$285+'Reference Curves'!$G$286,E42*'Reference Curves'!$H$285+'Reference Curves'!$H$286)),2))))))</f>
        <v/>
      </c>
      <c r="G42" s="503"/>
      <c r="H42" s="500"/>
      <c r="I42" s="495"/>
    </row>
    <row r="43" spans="1:9" ht="15.75" x14ac:dyDescent="0.5">
      <c r="A43" s="559" t="s">
        <v>19</v>
      </c>
      <c r="B43" s="480" t="s">
        <v>20</v>
      </c>
      <c r="C43" s="23" t="s">
        <v>18</v>
      </c>
      <c r="D43" s="76"/>
      <c r="E43" s="72"/>
      <c r="F43" s="178" t="str">
        <f>IF(E43="","",IF(E43&gt;=660,1,IF(E43&lt;=430,ROUND('Reference Curves'!$K$15*E43+'Reference Curves'!$K$16,2),ROUND('Reference Curves'!$L$15*E43+'Reference Curves'!$L$16,2))))</f>
        <v/>
      </c>
      <c r="G43" s="463" t="str">
        <f>IFERROR(AVERAGE(F43:F44),"")</f>
        <v/>
      </c>
      <c r="H43" s="463" t="str">
        <f>IFERROR(ROUND(AVERAGE(G43:G56),2),"")</f>
        <v/>
      </c>
      <c r="I43" s="490" t="str">
        <f>IF(H43="","",IF(H43&gt;0.69,"Functioning",IF(H43&gt;0.29,"Functioning At Risk",IF(H43&gt;-1,"Not Functioning"))))</f>
        <v/>
      </c>
    </row>
    <row r="44" spans="1:9" ht="15.75" x14ac:dyDescent="0.5">
      <c r="A44" s="560"/>
      <c r="B44" s="482"/>
      <c r="C44" s="148" t="s">
        <v>187</v>
      </c>
      <c r="D44" s="79"/>
      <c r="E44" s="71"/>
      <c r="F44" s="177" t="str">
        <f>IF(E44="","",IF(E44&gt;=28,1,ROUND(IF(E44&lt;=13,'Reference Curves'!$K$48*E44,'Reference Curves'!$L$48*E44+'Reference Curves'!$L$49),2)))</f>
        <v/>
      </c>
      <c r="G44" s="464"/>
      <c r="H44" s="504"/>
      <c r="I44" s="491"/>
    </row>
    <row r="45" spans="1:9" ht="15.75" x14ac:dyDescent="0.5">
      <c r="A45" s="560"/>
      <c r="B45" s="547" t="s">
        <v>231</v>
      </c>
      <c r="C45" s="197" t="s">
        <v>159</v>
      </c>
      <c r="D45" s="146"/>
      <c r="E45" s="72"/>
      <c r="F45" s="178" t="str">
        <f>IF(E45="","",ROUND(IF(E45&lt;=2,0,IF(E45&gt;=9,1,IF(E45&gt;=5,E45^2*'Reference Curves'!$K$83+E45*'Reference Curves'!$K$84+'Reference Curves'!$K$85, E45*'Reference Curves'!$L$84+'Reference Curves'!$L$85))),2))</f>
        <v/>
      </c>
      <c r="G45" s="463" t="str">
        <f>IFERROR(IF(E48&gt;=50,0,AVERAGE(F45:F48)),"")</f>
        <v/>
      </c>
      <c r="H45" s="504"/>
      <c r="I45" s="491"/>
    </row>
    <row r="46" spans="1:9" ht="15.75" x14ac:dyDescent="0.5">
      <c r="A46" s="560"/>
      <c r="B46" s="481"/>
      <c r="C46" s="198" t="s">
        <v>42</v>
      </c>
      <c r="D46" s="305"/>
      <c r="E46" s="71"/>
      <c r="F46" s="179" t="str">
        <f>IF(E46="","",IF(OR(E46="Ex/Ex",E46="Ex/VH",E46="Ex/H",E46="Ex/M",E46="VH/Ex",E46="VH/VH", E46="H/Ex",E46="H/VH"),0, IF(OR(E46="M/Ex"),0.1,IF(OR(E46="VH/H",E46="VH/M",E46="H/H",E46="H/M", E46="M/VH"),0.2, IF(OR(E46="Ex/VL",E46="Ex/L", E46="M/H"),0.3, IF(OR(E46="VH/L",E46="H/L"),0.4, IF(OR(E46="VH/VL",E46="H/VL",E46="M/M"),0.5, IF(OR(E46="M/L",E46="L/Ex"),0.6, IF(OR(E46="M/VL",E46="L/VH", E46="L/H",E46="L/M",E46="L/L",E46="L/VL", LEFT(E46,2)="VL"),1)))))))))</f>
        <v/>
      </c>
      <c r="G46" s="504"/>
      <c r="H46" s="504"/>
      <c r="I46" s="491"/>
    </row>
    <row r="47" spans="1:9" ht="15.75" x14ac:dyDescent="0.5">
      <c r="A47" s="560"/>
      <c r="B47" s="481"/>
      <c r="C47" s="199" t="s">
        <v>76</v>
      </c>
      <c r="D47" s="307"/>
      <c r="E47" s="71"/>
      <c r="F47" s="179" t="str">
        <f>IF(E47="","",ROUND(IF(E47&gt;=75,0,IF(E47&lt;=5,1,IF(E47&gt;10,E47*'Reference Curves'!K$116+'Reference Curves'!K$117,'Reference Curves'!$L$116*E47+'Reference Curves'!$L$117))),2))</f>
        <v/>
      </c>
      <c r="G47" s="466"/>
      <c r="H47" s="504"/>
      <c r="I47" s="491"/>
    </row>
    <row r="48" spans="1:9" ht="15.75" x14ac:dyDescent="0.5">
      <c r="A48" s="560"/>
      <c r="B48" s="482"/>
      <c r="C48" s="200" t="s">
        <v>230</v>
      </c>
      <c r="D48" s="147"/>
      <c r="E48" s="73"/>
      <c r="F48" s="180" t="str">
        <f>IF(E48="","",IF(E48&gt;=30,0,ROUND(E48*'Reference Curves'!$K$148+'Reference Curves'!$K$149,2)))</f>
        <v/>
      </c>
      <c r="G48" s="464"/>
      <c r="H48" s="504"/>
      <c r="I48" s="491"/>
    </row>
    <row r="49" spans="1:9" ht="15.75" x14ac:dyDescent="0.5">
      <c r="A49" s="560"/>
      <c r="B49" s="480" t="s">
        <v>44</v>
      </c>
      <c r="C49" s="197" t="s">
        <v>45</v>
      </c>
      <c r="D49" s="76"/>
      <c r="E49" s="72"/>
      <c r="F49" s="82" t="str">
        <f>IF(E49="","",IF('Quantification Tool'!$C$21="Bc",IF(OR(E49&gt;=12,E49&lt;=0.1),0,IF(E49&lt;=3.4,1,ROUND('Reference Curves'!$K$278*E49+'Reference Curves'!$K$279,2))),  IF(OR('Quantification Tool'!$C$21="B",'Quantification Tool'!$C$21="Ba"),IF(OR(E49&gt;=7.5,E49&lt;=0.1),0,IF(E49&lt;=3,1,ROUND(IF(E49&gt;4,'Reference Curves'!$K$247*E49+'Reference Curves'!$K$248,'Reference Curves'!$L$247*E49+'Reference Curves'!$L$248),2))),  IF('Quantification Tool'!$C$21="Cb",IF(OR(E49&gt;=8.35,E49&lt;1.4),0,IF(AND(E49&gt;=3.7,E49&lt;=5),1,ROUND(IF(E49&lt;3.7,'Reference Curves'!$K$215*E49+'Reference Curves'!$K$216,'Reference Curves'!$L$215*E49+'Reference Curves'!$L$216),2))),  IF('Quantification Tool'!$C$21="C",IF(OR(E49&gt;=9.3,E49&lt;=3),0,IF(AND(E49&gt;=4,E49&lt;=6),1,ROUND(IF(E49&lt;4,'Reference Curves'!$K$181*E49+'Reference Curves'!$K$182,'Reference Curves'!$L$181*E49+'Reference Curves'!$L$182),2))),  IF('Quantification Tool'!$C$21="E",IF(OR(E49&gt;=8.3,E49&lt;1.85),0,IF(AND(E49&gt;=3.5,E49&lt;=5),1,ROUND(IF(E49&lt;3.5,'Reference Curves'!$K$311*E49+'Reference Curves'!$K$312,'Reference Curves'!$L$311*E49+'Reference Curves'!$L$312),2)))      ))))))</f>
        <v/>
      </c>
      <c r="G49" s="465" t="str">
        <f>IFERROR(AVERAGE(F49:F52),"")</f>
        <v/>
      </c>
      <c r="H49" s="504"/>
      <c r="I49" s="491"/>
    </row>
    <row r="50" spans="1:9" ht="15.75" x14ac:dyDescent="0.5">
      <c r="A50" s="560"/>
      <c r="B50" s="481"/>
      <c r="C50" s="198" t="s">
        <v>46</v>
      </c>
      <c r="D50" s="305"/>
      <c r="E50" s="71"/>
      <c r="F50" s="83" t="str">
        <f>IF(E50="","",IF(E50&lt;=1,0,IF(E50&gt;=3.2,1,IF(E50&gt;=2.2,ROUND('Reference Curves'!$L$343*E50+'Reference Curves'!$L$344,2),(ROUND('Reference Curves'!$K$343*E50+'Reference Curves'!$K$344,2))))))</f>
        <v/>
      </c>
      <c r="G50" s="466"/>
      <c r="H50" s="504"/>
      <c r="I50" s="491"/>
    </row>
    <row r="51" spans="1:9" ht="15.75" x14ac:dyDescent="0.5">
      <c r="A51" s="560"/>
      <c r="B51" s="481"/>
      <c r="C51" s="148" t="s">
        <v>195</v>
      </c>
      <c r="D51" s="305"/>
      <c r="E51" s="71"/>
      <c r="F51" s="360" t="str">
        <f>IF(E51="","", IF('Quantification Tool'!$C$15="","FALSE",IF('Quantification Tool'!$C$15&lt;3,IF( OR(E51&gt;=91,E51&lt;=13.5),0, IF(AND(E51&gt;49,E51&lt;61), 1, ROUND(IF(E51&lt;50,'Reference Curves'!$K$377*E51+'Reference Curves'!$K$378, IF(E51&gt;60,'Reference Curves'!$L$377*E51+'Reference Curves'!$L$378)),2))), IF('Quantification Tool'!$C$15&gt;=3,IF(OR(E51&gt;94.5,E51&lt;41.5),0, IF(AND(E51 &gt;=68, E51&lt;=78),1, ROUND(IF(E51&lt;68,'Reference Curves'!$K$411*E51+'Reference Curves'!$K$412,'Reference Curves'!$L$411*E51+'Reference Curves'!$L$412),2) ))))))</f>
        <v/>
      </c>
      <c r="G51" s="466"/>
      <c r="H51" s="504"/>
      <c r="I51" s="491"/>
    </row>
    <row r="52" spans="1:9" ht="15.75" x14ac:dyDescent="0.5">
      <c r="A52" s="560"/>
      <c r="B52" s="482"/>
      <c r="C52" s="201" t="s">
        <v>142</v>
      </c>
      <c r="D52" s="78"/>
      <c r="E52" s="73"/>
      <c r="F52" s="361" t="str">
        <f>IF(E52="","",IF(E52&gt;=1.6,0,IF(E52&lt;=1,1,ROUND('Reference Curves'!$K$442*E52^3+'Reference Curves'!$K$443*E52^2+'Reference Curves'!$K$444*E52+'Reference Curves'!$K$445,2))))</f>
        <v/>
      </c>
      <c r="G52" s="467"/>
      <c r="H52" s="504"/>
      <c r="I52" s="491"/>
    </row>
    <row r="53" spans="1:9" ht="15.75" x14ac:dyDescent="0.5">
      <c r="A53" s="560"/>
      <c r="B53" s="480" t="s">
        <v>43</v>
      </c>
      <c r="C53" s="148" t="s">
        <v>409</v>
      </c>
      <c r="D53" s="305"/>
      <c r="E53" s="72"/>
      <c r="F53" s="190" t="str">
        <f>IF( E53="","",
IF( 'Quantification Tool'!$C$20="Unconfined Alluvial", IF( E53&gt;=100,1,
ROUND('Reference Curves'!$K$479*E53+'Reference Curves'!$K$480,2) ),
IF( OR('Quantification Tool'!$C$20="Confined Alluvial", 'Quantification Tool'!$C$20="Colluvial/V-Shaped",'Quantification Tool'!$C$20="Bedrock"), ( IF(E53&gt;=100,1,
IF(E53&gt;=60, ROUND('Reference Curves'!$L$479*E53+'Reference Curves'!$L$480,2), ROUND('Reference Curves'!$M$479*E53+'Reference Curves'!$M$480,2) ) ) ) ) ) )</f>
        <v/>
      </c>
      <c r="G53" s="463" t="str">
        <f>IFERROR(AVERAGE(F53:F56),"")</f>
        <v/>
      </c>
      <c r="H53" s="504"/>
      <c r="I53" s="491"/>
    </row>
    <row r="54" spans="1:9" ht="15.75" x14ac:dyDescent="0.5">
      <c r="A54" s="560"/>
      <c r="B54" s="481"/>
      <c r="C54" s="148" t="s">
        <v>219</v>
      </c>
      <c r="D54" s="305"/>
      <c r="E54" s="71"/>
      <c r="F54" s="358" t="str">
        <f>IF( E54="","", IF('Quantification Tool'!$C$18&lt;&gt;"Woody","FALSE", IF( OR('Quantification Tool'!$C$12="Mountains",'Quantification Tool'!$C$12="Basins"),
IF(E54&lt;=0,0, IF(E54&gt;=122,1, IF(E54&lt;69, ROUND('Reference Curves'!$K$512*E54+'Reference Curves'!$K$513,2), ROUND('Reference Curves'!$L$512*E54+'Reference Curves'!$L$513,2) ) ) ),
IF('Quantification Tool'!$C$12="Plains",IF(OR(E54&lt;=0,E54&gt;111),0,IF(AND(E54&gt;=69,E54&lt;=76),1,IF(E54&lt;69,ROUND(E54*'Reference Curves'!$K$547+'Reference Curves'!$K$548,2),ROUND(E54*'Reference Curves'!$L$547+'Reference Curves'!$L$548,2))))))))</f>
        <v/>
      </c>
      <c r="G54" s="504"/>
      <c r="H54" s="504"/>
      <c r="I54" s="491"/>
    </row>
    <row r="55" spans="1:9" ht="15.75" x14ac:dyDescent="0.5">
      <c r="A55" s="560"/>
      <c r="B55" s="546"/>
      <c r="C55" s="148" t="s">
        <v>220</v>
      </c>
      <c r="D55" s="305"/>
      <c r="E55" s="71"/>
      <c r="F55" s="83" t="str">
        <f>IF(E55="","",IF('Quantification Tool'!$C$18="Herbaceous",IF(E55&lt;=34,0,IF(E55&gt;=120,1,IF(E55&gt;73,ROUND(E55*'Reference Curves'!$L$579+'Reference Curves'!$L$580,2),ROUND(E55*'Reference Curves'!$K$579+'Reference Curves'!$K$580,2))))))</f>
        <v/>
      </c>
      <c r="G55" s="466"/>
      <c r="H55" s="504"/>
      <c r="I55" s="491"/>
    </row>
    <row r="56" spans="1:9" ht="15.75" x14ac:dyDescent="0.5">
      <c r="A56" s="561"/>
      <c r="B56" s="482"/>
      <c r="C56" s="297" t="s">
        <v>229</v>
      </c>
      <c r="D56" s="308"/>
      <c r="E56" s="73"/>
      <c r="F56" s="209" t="str">
        <f>IF(E56="","",IF(E56&lt;=46,0,IF(E56&gt;=100,1,IF(AND(E56&lt;=100,E56&gt;91),ROUND(E56*'Reference Curves'!$L$611+'Reference Curves'!$L$612,2),ROUND(E56*'Reference Curves'!$K$611+'Reference Curves'!$K$612,2)))))</f>
        <v/>
      </c>
      <c r="G56" s="464"/>
      <c r="H56" s="464"/>
      <c r="I56" s="492"/>
    </row>
    <row r="57" spans="1:9" ht="15.75" x14ac:dyDescent="0.5">
      <c r="A57" s="550" t="s">
        <v>50</v>
      </c>
      <c r="B57" s="475" t="s">
        <v>71</v>
      </c>
      <c r="C57" s="207" t="s">
        <v>244</v>
      </c>
      <c r="D57" s="211"/>
      <c r="E57" s="72"/>
      <c r="F57" s="216" t="str">
        <f>IF(E57="","",IF('Quantification Tool'!$C$17="","Enter Stream Temperature",  IF('Quantification Tool'!$C$17="CS-I (MWF)",IF(E57&gt;=21.2,0,1),  IF('Quantification Tool'!$C$17="CS-I",IF(E57&gt;=21.7,0,1),  IF('Quantification Tool'!$C$17="CS-II",IF(E57&gt;=23.9,0,1),  IF('Quantification Tool'!$C$17="WS-I",IF(E57&gt;=29,0,1),  IF('Quantification Tool'!$C$17="WS-II",IF(E57&gt;=28.6,0,1), IF('Quantification Tool'!$C$17="WS-III",IF(E57&gt;=31.8,0,1)))))))))</f>
        <v/>
      </c>
      <c r="G57" s="483" t="str">
        <f>IFERROR(AVERAGE(F57:F58),"")</f>
        <v/>
      </c>
      <c r="H57" s="483" t="str">
        <f>IFERROR(ROUND(AVERAGE(G57:G60),2),"")</f>
        <v/>
      </c>
      <c r="I57" s="497" t="str">
        <f>IF(H57="","",IF(H57&gt;0.69,"Functioning",IF(H57&gt;0.29,"Functioning At Risk",IF(H57&gt;-1,"Not Functioning"))))</f>
        <v/>
      </c>
    </row>
    <row r="58" spans="1:9" ht="15.75" x14ac:dyDescent="0.5">
      <c r="A58" s="551"/>
      <c r="B58" s="477"/>
      <c r="C58" s="210" t="s">
        <v>188</v>
      </c>
      <c r="D58" s="212"/>
      <c r="E58" s="73"/>
      <c r="F58" s="181" t="str">
        <f>IF(E58="","",IF('Quantification Tool'!$C$17="","Enter Stream Temperature",  IF('Quantification Tool'!$C$17="CS-I (MWF)",IF(E58&gt;=18.3,0,IF(E58&lt;=13.8,1,ROUND(E58*'Reference Curves'!$S$20+'Reference Curves'!$S$21,2))),  IF('Quantification Tool'!$C$17="CS-I",IF(E58&gt;=17.6,0,IF(E58&lt;=15.7,1,ROUND(E58*'Reference Curves'!$T$20+'Reference Curves'!$T$21,2))),  IF('Quantification Tool'!$C$17="CS-II",IF(E58&gt;=19.1,0,IF(E58&lt;=16.6,1,ROUND(E58*'Reference Curves'!$U$20+'Reference Curves'!$U$21,2))),  IF('Quantification Tool'!$C$17="WS-I",IF(E58&gt;=25.7,0,IF(E58&lt;=20.9,1,ROUND(E58*'Reference Curves'!$V$20+'Reference Curves'!$V$21,2))),  IF('Quantification Tool'!$C$17="WS-II",IF(E58&gt;=29.7,0,IF(E58&lt;=22.5,1,ROUND(E58*'Reference Curves'!$W$20+'Reference Curves'!$W$21,2))), IF('Quantification Tool'!$C$17="WS-III",IF(E58&gt;=30,0,IF(E58&lt;=25.9,1,ROUND(E58*'Reference Curves'!$X$20+'Reference Curves'!$X$21,2)))    ))))))))</f>
        <v/>
      </c>
      <c r="G58" s="484"/>
      <c r="H58" s="506"/>
      <c r="I58" s="497"/>
    </row>
    <row r="59" spans="1:9" ht="15.75" x14ac:dyDescent="0.5">
      <c r="A59" s="551"/>
      <c r="B59" s="208" t="s">
        <v>242</v>
      </c>
      <c r="C59" s="316" t="s">
        <v>243</v>
      </c>
      <c r="D59" s="301"/>
      <c r="E59" s="71"/>
      <c r="F59" s="181" t="str">
        <f>IF(E59="","",ROUND( IF(E59&lt;=6,0, IF(E59&gt;=10.31,1,E59*'Reference Curves'!$S$52+'Reference Curves'!$S$53)),2))</f>
        <v/>
      </c>
      <c r="G59" s="86" t="str">
        <f>IFERROR(AVERAGE(F59),"")</f>
        <v/>
      </c>
      <c r="H59" s="506"/>
      <c r="I59" s="497"/>
    </row>
    <row r="60" spans="1:9" ht="15.75" x14ac:dyDescent="0.5">
      <c r="A60" s="552"/>
      <c r="B60" s="278" t="s">
        <v>158</v>
      </c>
      <c r="C60" s="24" t="s">
        <v>421</v>
      </c>
      <c r="D60" s="318"/>
      <c r="E60" s="54"/>
      <c r="F60" s="181" t="str">
        <f>IF(E60="","",IF(OR('Quantification Tool'!$C$13=3),IF(E60&gt;=150,0,IF(E60&lt;=16,1,ROUND('Reference Curves'!$S$87*LN(E60)+'Reference Curves'!$S$88,2))), IF(OR('Quantification Tool'!$C$13=1,'Quantification Tool'!$C$13=2),  IF(E60&gt;=97,0,IF(E60&lt;=12,1,ROUND('Reference Curves'!$T$87*LN(E60)+'Reference Curves'!$T$88,2))))))</f>
        <v/>
      </c>
      <c r="G60" s="86" t="str">
        <f>IFERROR(AVERAGE(F60),"")</f>
        <v/>
      </c>
      <c r="H60" s="484"/>
      <c r="I60" s="497"/>
    </row>
    <row r="61" spans="1:9" ht="15.75" x14ac:dyDescent="0.5">
      <c r="A61" s="553" t="s">
        <v>51</v>
      </c>
      <c r="B61" s="282" t="s">
        <v>132</v>
      </c>
      <c r="C61" s="317" t="s">
        <v>249</v>
      </c>
      <c r="D61" s="306"/>
      <c r="E61" s="72"/>
      <c r="F61" s="218" t="str">
        <f>IF(E61="","",IF('Quantification Tool'!$C$13="","Enter Biotype",IF('Quantification Tool'!$C$13=1,IF(E61&lt;=0,0,IF(E61&gt;=57,1,ROUND(IF(E61&lt;=34,'Reference Curves'!$AB$18*E61+'Reference Curves'!$AB$19,  IF(E61&lt;=45, 'Reference Curves'!$AC$18*E61+'Reference Curves'!$AC$19,  'Reference Curves'!$AD$18*E61+'Reference Curves'!$AD$19)),2))),   IF('Quantification Tool'!$C$13=2,IF(E61&lt;=0,0,IF(E61&gt;=63,1,ROUND(IF(E61&lt;=40,'Reference Curves'!$AE$18*E61+'Reference Curves'!$AE$19,  IF(E61&lt;=48,'Reference Curves'!$AF$18*E61+'Reference Curves'!$AF$19,  'Reference Curves'!$AG$18*E61+'Reference Curves'!$AG$19)),2))),   IF(OR('Quantification Tool'!$C$13=3),IF(E61&lt;=0,0,IF(E61&gt;=52,1,ROUND(IF(E61&lt;=29,'Reference Curves'!$AH$18*E61+'Reference Curves'!$AH$19, IF(E61&lt;=42, 'Reference Curves'!$AI$18*E61+'Reference Curves'!$AI$19,  'Reference Curves'!$AJ$18*E61+'Reference Curves'!$AJ$19)),2))))))))</f>
        <v/>
      </c>
      <c r="G61" s="89" t="str">
        <f>IFERROR(AVERAGE(F61),"")</f>
        <v/>
      </c>
      <c r="H61" s="505" t="str">
        <f>IFERROR(ROUND(AVERAGE(G61:G64),2),"")</f>
        <v/>
      </c>
      <c r="I61" s="497" t="str">
        <f>IF(H61="","",IF(H61&gt;0.69,"Functioning",IF(H61&gt;0.29,"Functioning At Risk",IF(H61&gt;-1,"Not Functioning"))))</f>
        <v/>
      </c>
    </row>
    <row r="62" spans="1:9" ht="15.75" x14ac:dyDescent="0.5">
      <c r="A62" s="554"/>
      <c r="B62" s="556" t="s">
        <v>66</v>
      </c>
      <c r="C62" s="40" t="s">
        <v>190</v>
      </c>
      <c r="D62" s="88"/>
      <c r="E62" s="72"/>
      <c r="F62" s="89" t="str">
        <f>IF(E62="","",IF(E62&lt;=0,0,IF(E62&gt;=100,1,ROUND(IF(E62&lt;80,E62*'Reference Curves'!$AB$53+'Reference Curves'!$AB$54,E62*'Reference Curves'!$AC$53+'Reference Curves'!$AC$54),2))))</f>
        <v/>
      </c>
      <c r="G62" s="460" t="str">
        <f>IFERROR(AVERAGE(F62:F64),"")</f>
        <v/>
      </c>
      <c r="H62" s="505"/>
      <c r="I62" s="497"/>
    </row>
    <row r="63" spans="1:9" ht="15.75" x14ac:dyDescent="0.5">
      <c r="A63" s="554"/>
      <c r="B63" s="557"/>
      <c r="C63" s="41" t="s">
        <v>191</v>
      </c>
      <c r="D63" s="306"/>
      <c r="E63" s="71"/>
      <c r="F63" s="89" t="str">
        <f>IF(E63="","",ROUND(IF(E63&gt;=3,0,IF(E63&gt;=2,0.3,IF(E63&gt;=1,0.69,1))),2))</f>
        <v/>
      </c>
      <c r="G63" s="461"/>
      <c r="H63" s="505"/>
      <c r="I63" s="497"/>
    </row>
    <row r="64" spans="1:9" ht="15.75" x14ac:dyDescent="0.5">
      <c r="A64" s="555"/>
      <c r="B64" s="558"/>
      <c r="C64" s="27" t="s">
        <v>268</v>
      </c>
      <c r="D64" s="319"/>
      <c r="E64" s="73"/>
      <c r="F64" s="87" t="str">
        <f>IF(E64="","",IF('Quantification Tool'!$C$19="","Enter Stream Producitvity Rating",IF('Quantification Tool'!$C$19="High",IF(E64&lt;5,0,IF(E64&gt;=40,1,ROUND(E64*'Reference Curves'!$AB$89+'Reference Curves'!$AB$90,2))),IF('Quantification Tool'!$C$19="Moderate",IF(E64&lt;10,0,IF(E64&gt;=80,1,ROUND(E64*'Reference Curves'!$AC$89+'Reference Curves'!$AC$90,2))),IF('Quantification Tool'!$C$19="Low",IF(E64&lt;15,0,IF(E64&gt;=119,1,ROUND(E64*'Reference Curves'!$AD$89+'Reference Curves'!$AD$90,2)))   )))))</f>
        <v/>
      </c>
      <c r="G64" s="462"/>
      <c r="H64" s="505"/>
      <c r="I64" s="497"/>
    </row>
    <row r="65" spans="1:9" s="293" customFormat="1" ht="15.75" x14ac:dyDescent="0.5">
      <c r="A65" s="382"/>
      <c r="B65" s="383"/>
      <c r="C65" s="384"/>
      <c r="D65" s="385"/>
      <c r="E65" s="386"/>
      <c r="F65" s="387"/>
      <c r="G65" s="388"/>
      <c r="H65" s="388"/>
      <c r="I65" s="389"/>
    </row>
    <row r="67" spans="1:9" ht="21" x14ac:dyDescent="0.65">
      <c r="A67" s="365" t="s">
        <v>114</v>
      </c>
      <c r="B67" s="185"/>
      <c r="C67" s="186" t="s">
        <v>212</v>
      </c>
      <c r="D67" s="548"/>
      <c r="E67" s="548"/>
      <c r="F67" s="549"/>
      <c r="G67" s="487" t="s">
        <v>334</v>
      </c>
      <c r="H67" s="488"/>
      <c r="I67" s="489"/>
    </row>
    <row r="68" spans="1:9" ht="15.75" x14ac:dyDescent="0.5">
      <c r="A68" s="290" t="s">
        <v>1</v>
      </c>
      <c r="B68" s="39" t="s">
        <v>2</v>
      </c>
      <c r="C68" s="173" t="s">
        <v>3</v>
      </c>
      <c r="D68" s="174"/>
      <c r="E68" s="39" t="s">
        <v>12</v>
      </c>
      <c r="F68" s="39" t="s">
        <v>13</v>
      </c>
      <c r="G68" s="39" t="s">
        <v>14</v>
      </c>
      <c r="H68" s="39" t="s">
        <v>15</v>
      </c>
      <c r="I68" s="290" t="s">
        <v>15</v>
      </c>
    </row>
    <row r="69" spans="1:9" ht="15.75" x14ac:dyDescent="0.5">
      <c r="A69" s="446" t="s">
        <v>186</v>
      </c>
      <c r="B69" s="538" t="s">
        <v>107</v>
      </c>
      <c r="C69" s="153" t="s">
        <v>185</v>
      </c>
      <c r="D69" s="154"/>
      <c r="E69" s="72"/>
      <c r="F69" s="234" t="str">
        <f>IF(E69="","",IF(E69&gt;=78,0,IF(E69&lt;=55,1,ROUND(E69*'Reference Curves'!$C$14+'Reference Curves'!$C$15,2))))</f>
        <v/>
      </c>
      <c r="G69" s="498" t="str">
        <f>IFERROR(AVERAGE(F69:F70),"")</f>
        <v/>
      </c>
      <c r="H69" s="498" t="str">
        <f>IFERROR(ROUND(AVERAGE(G69:G75),2),"")</f>
        <v/>
      </c>
      <c r="I69" s="493" t="str">
        <f>IF(H69="","",IF(H69:H75&gt;0.69,"Functioning",IF(H69&gt;0.29,"Functioning At Risk",IF(H69&gt;-1,"Not Functioning"))))</f>
        <v/>
      </c>
    </row>
    <row r="70" spans="1:9" ht="15.75" x14ac:dyDescent="0.5">
      <c r="A70" s="447"/>
      <c r="B70" s="539"/>
      <c r="C70" s="217" t="s">
        <v>303</v>
      </c>
      <c r="D70" s="74"/>
      <c r="E70" s="71"/>
      <c r="F70" s="235" t="str">
        <f>IF(E70="","",   IF(E70&gt;3.2,0, IF(E70&lt;0, "", ROUND('Reference Curves'!$C$44*E70+'Reference Curves'!$C$45,2))))</f>
        <v/>
      </c>
      <c r="G70" s="499"/>
      <c r="H70" s="499"/>
      <c r="I70" s="494"/>
    </row>
    <row r="71" spans="1:9" ht="15.75" x14ac:dyDescent="0.5">
      <c r="A71" s="447"/>
      <c r="B71" s="545" t="s">
        <v>250</v>
      </c>
      <c r="C71" s="230" t="s">
        <v>329</v>
      </c>
      <c r="D71" s="227"/>
      <c r="E71" s="228"/>
      <c r="F71" s="251" t="s">
        <v>253</v>
      </c>
      <c r="G71" s="498" t="str">
        <f>IFERROR(IF(AND(ISNUMBER(E71),E71&lt;1),0,AVERAGE(F71:F72)),"")</f>
        <v/>
      </c>
      <c r="H71" s="499"/>
      <c r="I71" s="494"/>
    </row>
    <row r="72" spans="1:9" ht="15.75" x14ac:dyDescent="0.5">
      <c r="A72" s="447"/>
      <c r="B72" s="540"/>
      <c r="C72" s="231" t="s">
        <v>251</v>
      </c>
      <c r="D72" s="226"/>
      <c r="E72" s="194"/>
      <c r="F72" s="245" t="str">
        <f>IF(E72="","", IF('Quantification Tool'!$C$17= "CS-II", ROUND(IF(E72&lt;=0.6,0, IF(E72&gt;=2.3,1,E72*'Reference Curves'!$E$78+'Reference Curves'!$E$79)),2),
IF(AND('Quantification Tool'!$C$14&lt;20,LEFT('Quantification Tool'!$C$17,2)="CS"),ROUND(IF(E72&lt;=0.2,0, IF(E72&gt;=1,1,E72*'Reference Curves'!$C$78+'Reference Curves'!$C$79)),2),
 IF(AND('Quantification Tool'!$C$14&gt;=20,LEFT('Quantification Tool'!$C$17,2)= "CS"), ROUND(IF(E72&lt;=0.4,0, IF(E72&gt;=1.5,1,E72*'Reference Curves'!$D$78+'Reference Curves'!$D$79)),2) ))))</f>
        <v/>
      </c>
      <c r="G72" s="500"/>
      <c r="H72" s="499"/>
      <c r="I72" s="494"/>
    </row>
    <row r="73" spans="1:9" ht="15.75" x14ac:dyDescent="0.5">
      <c r="A73" s="447"/>
      <c r="B73" s="539" t="s">
        <v>5</v>
      </c>
      <c r="C73" s="332" t="s">
        <v>6</v>
      </c>
      <c r="D73" s="154"/>
      <c r="E73" s="71"/>
      <c r="F73" s="196" t="str">
        <f>IF(E73="","",
IF(E73&gt;1.71,0,IF( E73&gt;1,ROUND(E73*'Reference Curves'!D$113+'Reference Curves'!D$114,2),
IF( 'Quantification Tool'!C$22="Transport", ROUND(IF( E73&lt;0.35,0, E73*'Reference Curves'!$C$113+'Reference Curves'!$C$114 ),2), 1 ))))</f>
        <v/>
      </c>
      <c r="G73" s="502" t="str">
        <f>IFERROR(AVERAGE(F73:F75),"")</f>
        <v/>
      </c>
      <c r="H73" s="499"/>
      <c r="I73" s="494"/>
    </row>
    <row r="74" spans="1:9" ht="15.75" x14ac:dyDescent="0.5">
      <c r="A74" s="447"/>
      <c r="B74" s="539"/>
      <c r="C74" s="155" t="s">
        <v>7</v>
      </c>
      <c r="D74" s="281"/>
      <c r="E74" s="71"/>
      <c r="F74" s="196" t="str">
        <f>IF(E74="","",IF(OR(LEFT( 'Quantification Tool'!C$21,1)="A",LEFT( 'Quantification Tool'!C$21,1)="B"),IF(E74&lt;1.05,0,IF(E74&gt;=2.2,1,ROUND(IF(E74&lt;1.4,E74*'Reference Curves'!$C$250+'Reference Curves'!$C$251,E74*'Reference Curves'!$D$250+'Reference Curves'!$D$251),2))),                                                                                                                                                                                      IF( 'Quantification Tool'!C$21="C",IF(E74&lt;1.7,0,IF(E74&gt;=4.2,1,ROUND(IF(E74&lt;2.4,E74*'Reference Curves'!$D$147+'Reference Curves'!$D$148,E74*'Reference Curves'!$C$147+'Reference Curves'!$C$148),2))),                                                                                                                                                                                                                    IF( 'Quantification Tool'!C$21="Cb",IF(E74&lt;1.7,0,IF(E74&gt;=3.9,1,ROUND(IF(E74&lt;2.4,E74*'Reference Curves'!$D$181+'Reference Curves'!$D$182,E74*'Reference Curves'!$C$181+'Reference Curves'!$C$182),2))),
IF(LEFT( 'Quantification Tool'!C$21,1)="E",IF(E74&lt;1.7,0,IF(E74&gt;=6.7,1,ROUND(IF(E74&lt;2.4,E74*'Reference Curves'!$D$215+'Reference Curves'!$D$216,E74*'Reference Curves'!$C$215+'Reference Curves'!$C$216),2))))))))</f>
        <v/>
      </c>
      <c r="G74" s="502"/>
      <c r="H74" s="499"/>
      <c r="I74" s="494"/>
    </row>
    <row r="75" spans="1:9" ht="15.6" customHeight="1" x14ac:dyDescent="0.5">
      <c r="A75" s="448"/>
      <c r="B75" s="540"/>
      <c r="C75" s="252" t="s">
        <v>283</v>
      </c>
      <c r="D75" s="75"/>
      <c r="E75" s="73"/>
      <c r="F75" s="195" t="str">
        <f>IF(E75="","",IF('Quantification Tool'!$C$20="Unconfined Alluvial",IF(E75&lt;=0,0, IF(E75&gt;=100,1, ROUND(IF(E75&lt;10,E75*'Reference Curves'!$C$285+'Reference Curves'!$C$286, IF(E75&lt;50,E75*'Reference Curves'!$D$285+'Reference Curves'!$D$286,E75*'Reference Curves'!$E$285+'Reference Curves'!$E$286)),2))), IF('Quantification Tool'!$C$20="Confined Alluvial",IF(E75&lt;=0,0,IF(E75&gt;=50,1,ROUND(IF(E75&lt;5,E75*'Reference Curves'!$F$285+'Reference Curves'!$F$286,IF(E75&lt;25,E75*'Reference Curves'!$G$285+'Reference Curves'!$G$286,E75*'Reference Curves'!$H$285+'Reference Curves'!$H$286)),2))))))</f>
        <v/>
      </c>
      <c r="G75" s="503"/>
      <c r="H75" s="500"/>
      <c r="I75" s="495"/>
    </row>
    <row r="76" spans="1:9" ht="15.75" x14ac:dyDescent="0.5">
      <c r="A76" s="559" t="s">
        <v>19</v>
      </c>
      <c r="B76" s="480" t="s">
        <v>20</v>
      </c>
      <c r="C76" s="23" t="s">
        <v>18</v>
      </c>
      <c r="D76" s="76"/>
      <c r="E76" s="72"/>
      <c r="F76" s="178" t="str">
        <f>IF(E76="","",IF(E76&gt;=660,1,IF(E76&lt;=430,ROUND('Reference Curves'!$K$15*E76+'Reference Curves'!$K$16,2),ROUND('Reference Curves'!$L$15*E76+'Reference Curves'!$L$16,2))))</f>
        <v/>
      </c>
      <c r="G76" s="463" t="str">
        <f>IFERROR(AVERAGE(F76:F77),"")</f>
        <v/>
      </c>
      <c r="H76" s="463" t="str">
        <f>IFERROR(ROUND(AVERAGE(G76:G89),2),"")</f>
        <v/>
      </c>
      <c r="I76" s="490" t="str">
        <f>IF(H76="","",IF(H76&gt;0.69,"Functioning",IF(H76&gt;0.29,"Functioning At Risk",IF(H76&gt;-1,"Not Functioning"))))</f>
        <v/>
      </c>
    </row>
    <row r="77" spans="1:9" ht="15.6" customHeight="1" x14ac:dyDescent="0.5">
      <c r="A77" s="560"/>
      <c r="B77" s="482"/>
      <c r="C77" s="148" t="s">
        <v>187</v>
      </c>
      <c r="D77" s="79"/>
      <c r="E77" s="71"/>
      <c r="F77" s="177" t="str">
        <f>IF(E77="","",IF(E77&gt;=28,1,ROUND(IF(E77&lt;=13,'Reference Curves'!$K$48*E77,'Reference Curves'!$L$48*E77+'Reference Curves'!$L$49),2)))</f>
        <v/>
      </c>
      <c r="G77" s="464"/>
      <c r="H77" s="504"/>
      <c r="I77" s="491"/>
    </row>
    <row r="78" spans="1:9" ht="15.75" x14ac:dyDescent="0.5">
      <c r="A78" s="560"/>
      <c r="B78" s="547" t="s">
        <v>231</v>
      </c>
      <c r="C78" s="197" t="s">
        <v>159</v>
      </c>
      <c r="D78" s="146"/>
      <c r="E78" s="72"/>
      <c r="F78" s="178" t="str">
        <f>IF(E78="","",ROUND(IF(E78&lt;=2,0,IF(E78&gt;=9,1,IF(E78&gt;=5,E78^2*'Reference Curves'!$K$83+E78*'Reference Curves'!$K$84+'Reference Curves'!$K$85, E78*'Reference Curves'!$L$84+'Reference Curves'!$L$85))),2))</f>
        <v/>
      </c>
      <c r="G78" s="463" t="str">
        <f>IFERROR(IF(E81&gt;=50,0,AVERAGE(F78:F81)),"")</f>
        <v/>
      </c>
      <c r="H78" s="504"/>
      <c r="I78" s="491"/>
    </row>
    <row r="79" spans="1:9" ht="15.75" x14ac:dyDescent="0.5">
      <c r="A79" s="560"/>
      <c r="B79" s="481"/>
      <c r="C79" s="198" t="s">
        <v>42</v>
      </c>
      <c r="D79" s="305"/>
      <c r="E79" s="71"/>
      <c r="F79" s="179" t="str">
        <f>IF(E79="","",IF(OR(E79="Ex/Ex",E79="Ex/VH",E79="Ex/H",E79="Ex/M",E79="VH/Ex",E79="VH/VH", E79="H/Ex",E79="H/VH"),0, IF(OR(E79="M/Ex"),0.1,IF(OR(E79="VH/H",E79="VH/M",E79="H/H",E79="H/M", E79="M/VH"),0.2, IF(OR(E79="Ex/VL",E79="Ex/L", E79="M/H"),0.3, IF(OR(E79="VH/L",E79="H/L"),0.4, IF(OR(E79="VH/VL",E79="H/VL",E79="M/M"),0.5, IF(OR(E79="M/L",E79="L/Ex"),0.6, IF(OR(E79="M/VL",E79="L/VH", E79="L/H",E79="L/M",E79="L/L",E79="L/VL", LEFT(E79,2)="VL"),1)))))))))</f>
        <v/>
      </c>
      <c r="G79" s="504"/>
      <c r="H79" s="504"/>
      <c r="I79" s="491"/>
    </row>
    <row r="80" spans="1:9" ht="15.75" x14ac:dyDescent="0.5">
      <c r="A80" s="560"/>
      <c r="B80" s="481"/>
      <c r="C80" s="199" t="s">
        <v>76</v>
      </c>
      <c r="D80" s="307"/>
      <c r="E80" s="71"/>
      <c r="F80" s="179" t="str">
        <f>IF(E80="","",ROUND(IF(E80&gt;=75,0,IF(E80&lt;=5,1,IF(E80&gt;10,E80*'Reference Curves'!K$116+'Reference Curves'!K$117,'Reference Curves'!$L$116*E80+'Reference Curves'!$L$117))),2))</f>
        <v/>
      </c>
      <c r="G80" s="466"/>
      <c r="H80" s="504"/>
      <c r="I80" s="491"/>
    </row>
    <row r="81" spans="1:9" ht="15.75" x14ac:dyDescent="0.5">
      <c r="A81" s="560"/>
      <c r="B81" s="482"/>
      <c r="C81" s="200" t="s">
        <v>230</v>
      </c>
      <c r="D81" s="147"/>
      <c r="E81" s="73"/>
      <c r="F81" s="180" t="str">
        <f>IF(E81="","",IF(E81&gt;=30,0,ROUND(E81*'Reference Curves'!$K$148+'Reference Curves'!$K$149,2)))</f>
        <v/>
      </c>
      <c r="G81" s="464"/>
      <c r="H81" s="504"/>
      <c r="I81" s="491"/>
    </row>
    <row r="82" spans="1:9" ht="15.75" x14ac:dyDescent="0.5">
      <c r="A82" s="560"/>
      <c r="B82" s="480" t="s">
        <v>44</v>
      </c>
      <c r="C82" s="197" t="s">
        <v>45</v>
      </c>
      <c r="D82" s="76"/>
      <c r="E82" s="72"/>
      <c r="F82" s="82" t="str">
        <f>IF(E82="","",IF('Quantification Tool'!$C$21="Bc",IF(OR(E82&gt;=12,E82&lt;=0.1),0,IF(E82&lt;=3.4,1,ROUND('Reference Curves'!$K$278*E82+'Reference Curves'!$K$279,2))),  IF(OR('Quantification Tool'!$C$21="B",'Quantification Tool'!$C$21="Ba"),IF(OR(E82&gt;=7.5,E82&lt;=0.1),0,IF(E82&lt;=3,1,ROUND(IF(E82&gt;4,'Reference Curves'!$K$247*E82+'Reference Curves'!$K$248,'Reference Curves'!$L$247*E82+'Reference Curves'!$L$248),2))),  IF('Quantification Tool'!$C$21="Cb",IF(OR(E82&gt;=8.35,E82&lt;1.4),0,IF(AND(E82&gt;=3.7,E82&lt;=5),1,ROUND(IF(E82&lt;3.7,'Reference Curves'!$K$215*E82+'Reference Curves'!$K$216,'Reference Curves'!$L$215*E82+'Reference Curves'!$L$216),2))),  IF('Quantification Tool'!$C$21="C",IF(OR(E82&gt;=9.3,E82&lt;=3),0,IF(AND(E82&gt;=4,E82&lt;=6),1,ROUND(IF(E82&lt;4,'Reference Curves'!$K$181*E82+'Reference Curves'!$K$182,'Reference Curves'!$L$181*E82+'Reference Curves'!$L$182),2))),  IF('Quantification Tool'!$C$21="E",IF(OR(E82&gt;=8.3,E82&lt;1.85),0,IF(AND(E82&gt;=3.5,E82&lt;=5),1,ROUND(IF(E82&lt;3.5,'Reference Curves'!$K$311*E82+'Reference Curves'!$K$312,'Reference Curves'!$L$311*E82+'Reference Curves'!$L$312),2)))      ))))))</f>
        <v/>
      </c>
      <c r="G82" s="465" t="str">
        <f>IFERROR(AVERAGE(F82:F85),"")</f>
        <v/>
      </c>
      <c r="H82" s="504"/>
      <c r="I82" s="491"/>
    </row>
    <row r="83" spans="1:9" ht="15.75" x14ac:dyDescent="0.5">
      <c r="A83" s="560"/>
      <c r="B83" s="481"/>
      <c r="C83" s="198" t="s">
        <v>46</v>
      </c>
      <c r="D83" s="305"/>
      <c r="E83" s="71"/>
      <c r="F83" s="83" t="str">
        <f>IF(E83="","",IF(E83&lt;=1,0,IF(E83&gt;=3.2,1,IF(E83&gt;=2.2,ROUND('Reference Curves'!$L$343*E83+'Reference Curves'!$L$344,2),(ROUND('Reference Curves'!$K$343*E83+'Reference Curves'!$K$344,2))))))</f>
        <v/>
      </c>
      <c r="G83" s="466"/>
      <c r="H83" s="504"/>
      <c r="I83" s="491"/>
    </row>
    <row r="84" spans="1:9" ht="15.75" x14ac:dyDescent="0.5">
      <c r="A84" s="560"/>
      <c r="B84" s="481"/>
      <c r="C84" s="148" t="s">
        <v>195</v>
      </c>
      <c r="D84" s="305"/>
      <c r="E84" s="71"/>
      <c r="F84" s="360" t="str">
        <f>IF(E84="","", IF('Quantification Tool'!$C$15="","FALSE",IF('Quantification Tool'!$C$15&lt;3,IF( OR(E84&gt;=91,E84&lt;=13.5),0, IF(AND(E84&gt;49,E84&lt;61), 1, ROUND(IF(E84&lt;50,'Reference Curves'!$K$377*E84+'Reference Curves'!$K$378, IF(E84&gt;60,'Reference Curves'!$L$377*E84+'Reference Curves'!$L$378)),2))), IF('Quantification Tool'!$C$15&gt;=3,IF(OR(E84&gt;94.5,E84&lt;41.5),0, IF(AND(E84 &gt;=68, E84&lt;=78),1, ROUND(IF(E84&lt;68,'Reference Curves'!$K$411*E84+'Reference Curves'!$K$412,'Reference Curves'!$L$411*E84+'Reference Curves'!$L$412),2) ))))))</f>
        <v/>
      </c>
      <c r="G84" s="466"/>
      <c r="H84" s="504"/>
      <c r="I84" s="491"/>
    </row>
    <row r="85" spans="1:9" ht="15.75" x14ac:dyDescent="0.5">
      <c r="A85" s="560"/>
      <c r="B85" s="482"/>
      <c r="C85" s="201" t="s">
        <v>142</v>
      </c>
      <c r="D85" s="78"/>
      <c r="E85" s="73"/>
      <c r="F85" s="361" t="str">
        <f>IF(E85="","",IF(E85&gt;=1.6,0,IF(E85&lt;=1,1,ROUND('Reference Curves'!$K$442*E85^3+'Reference Curves'!$K$443*E85^2+'Reference Curves'!$K$444*E85+'Reference Curves'!$K$445,2))))</f>
        <v/>
      </c>
      <c r="G85" s="467"/>
      <c r="H85" s="504"/>
      <c r="I85" s="491"/>
    </row>
    <row r="86" spans="1:9" ht="15.75" x14ac:dyDescent="0.5">
      <c r="A86" s="560"/>
      <c r="B86" s="480" t="s">
        <v>43</v>
      </c>
      <c r="C86" s="148" t="s">
        <v>409</v>
      </c>
      <c r="D86" s="305"/>
      <c r="E86" s="72"/>
      <c r="F86" s="190" t="str">
        <f>IF( E86="","",
IF( 'Quantification Tool'!$C$20="Unconfined Alluvial", IF( E86&gt;=100,1,
ROUND('Reference Curves'!$K$479*E86+'Reference Curves'!$K$480,2) ),
IF( OR('Quantification Tool'!$C$20="Confined Alluvial", 'Quantification Tool'!$C$20="Colluvial/V-Shaped",'Quantification Tool'!$C$20="Bedrock"), ( IF(E86&gt;=100,1,
IF(E86&gt;=60, ROUND('Reference Curves'!$L$479*E86+'Reference Curves'!$L$480,2), ROUND('Reference Curves'!$M$479*E86+'Reference Curves'!$M$480,2) ) ) ) ) ) )</f>
        <v/>
      </c>
      <c r="G86" s="463" t="str">
        <f>IFERROR(AVERAGE(F86:F89),"")</f>
        <v/>
      </c>
      <c r="H86" s="504"/>
      <c r="I86" s="491"/>
    </row>
    <row r="87" spans="1:9" ht="15.75" x14ac:dyDescent="0.5">
      <c r="A87" s="560"/>
      <c r="B87" s="481"/>
      <c r="C87" s="148" t="s">
        <v>219</v>
      </c>
      <c r="D87" s="305"/>
      <c r="E87" s="71"/>
      <c r="F87" s="358" t="str">
        <f>IF( E87="","", IF('Quantification Tool'!$C$18&lt;&gt;"Woody","FALSE", IF( OR('Quantification Tool'!$C$12="Mountains",'Quantification Tool'!$C$12="Basins"),
IF(E87&lt;=0,0, IF(E87&gt;=122,1, IF(E87&lt;69, ROUND('Reference Curves'!$K$512*E87+'Reference Curves'!$K$513,2), ROUND('Reference Curves'!$L$512*E87+'Reference Curves'!$L$513,2) ) ) ),
IF('Quantification Tool'!$C$12="Plains",IF(OR(E87&lt;=0,E87&gt;111),0,IF(AND(E87&gt;=69,E87&lt;=76),1,IF(E87&lt;69,ROUND(E87*'Reference Curves'!$K$547+'Reference Curves'!$K$548,2),ROUND(E87*'Reference Curves'!$L$547+'Reference Curves'!$L$548,2))))))))</f>
        <v/>
      </c>
      <c r="G87" s="504"/>
      <c r="H87" s="504"/>
      <c r="I87" s="491"/>
    </row>
    <row r="88" spans="1:9" ht="15.75" x14ac:dyDescent="0.5">
      <c r="A88" s="560"/>
      <c r="B88" s="546"/>
      <c r="C88" s="148" t="s">
        <v>220</v>
      </c>
      <c r="D88" s="305"/>
      <c r="E88" s="71"/>
      <c r="F88" s="83" t="str">
        <f>IF(E88="","",IF('Quantification Tool'!$C$18="Herbaceous",IF(E88&lt;=34,0,IF(E88&gt;=120,1,IF(E88&gt;73,ROUND(E88*'Reference Curves'!$L$579+'Reference Curves'!$L$580,2),ROUND(E88*'Reference Curves'!$K$579+'Reference Curves'!$K$580,2))))))</f>
        <v/>
      </c>
      <c r="G88" s="466"/>
      <c r="H88" s="504"/>
      <c r="I88" s="491"/>
    </row>
    <row r="89" spans="1:9" ht="15.75" x14ac:dyDescent="0.5">
      <c r="A89" s="561"/>
      <c r="B89" s="482"/>
      <c r="C89" s="297" t="s">
        <v>229</v>
      </c>
      <c r="D89" s="308"/>
      <c r="E89" s="73"/>
      <c r="F89" s="209" t="str">
        <f>IF(E89="","",IF(E89&lt;=46,0,IF(E89&gt;=100,1,IF(AND(E89&lt;=100,E89&gt;91),ROUND(E89*'Reference Curves'!$L$611+'Reference Curves'!$L$612,2),ROUND(E89*'Reference Curves'!$K$611+'Reference Curves'!$K$612,2)))))</f>
        <v/>
      </c>
      <c r="G89" s="464"/>
      <c r="H89" s="464"/>
      <c r="I89" s="492"/>
    </row>
    <row r="90" spans="1:9" ht="15.75" x14ac:dyDescent="0.5">
      <c r="A90" s="550" t="s">
        <v>50</v>
      </c>
      <c r="B90" s="475" t="s">
        <v>71</v>
      </c>
      <c r="C90" s="207" t="s">
        <v>244</v>
      </c>
      <c r="D90" s="211"/>
      <c r="E90" s="72"/>
      <c r="F90" s="216" t="str">
        <f>IF(E90="","",IF('Quantification Tool'!$C$17="","Enter Stream Temperature",  IF('Quantification Tool'!$C$17="CS-I (MWF)",IF(E90&gt;=21.2,0,1),  IF('Quantification Tool'!$C$17="CS-I",IF(E90&gt;=21.7,0,1),  IF('Quantification Tool'!$C$17="CS-II",IF(E90&gt;=23.9,0,1),  IF('Quantification Tool'!$C$17="WS-I",IF(E90&gt;=29,0,1),  IF('Quantification Tool'!$C$17="WS-II",IF(E90&gt;=28.6,0,1), IF('Quantification Tool'!$C$17="WS-III",IF(E90&gt;=31.8,0,1)))))))))</f>
        <v/>
      </c>
      <c r="G90" s="483" t="str">
        <f>IFERROR(AVERAGE(F90:F91),"")</f>
        <v/>
      </c>
      <c r="H90" s="483" t="str">
        <f>IFERROR(ROUND(AVERAGE(G90:G93),2),"")</f>
        <v/>
      </c>
      <c r="I90" s="497" t="str">
        <f>IF(H90="","",IF(H90&gt;0.69,"Functioning",IF(H90&gt;0.29,"Functioning At Risk",IF(H90&gt;-1,"Not Functioning"))))</f>
        <v/>
      </c>
    </row>
    <row r="91" spans="1:9" ht="16.5" customHeight="1" x14ac:dyDescent="0.5">
      <c r="A91" s="551"/>
      <c r="B91" s="477"/>
      <c r="C91" s="210" t="s">
        <v>188</v>
      </c>
      <c r="D91" s="212"/>
      <c r="E91" s="73"/>
      <c r="F91" s="181" t="str">
        <f>IF(E91="","",IF('Quantification Tool'!$C$17="","Enter Stream Temperature",  IF('Quantification Tool'!$C$17="CS-I (MWF)",IF(E91&gt;=18.3,0,IF(E91&lt;=13.8,1,ROUND(E91*'Reference Curves'!$S$20+'Reference Curves'!$S$21,2))),  IF('Quantification Tool'!$C$17="CS-I",IF(E91&gt;=17.6,0,IF(E91&lt;=15.7,1,ROUND(E91*'Reference Curves'!$T$20+'Reference Curves'!$T$21,2))),  IF('Quantification Tool'!$C$17="CS-II",IF(E91&gt;=19.1,0,IF(E91&lt;=16.6,1,ROUND(E91*'Reference Curves'!$U$20+'Reference Curves'!$U$21,2))),  IF('Quantification Tool'!$C$17="WS-I",IF(E91&gt;=25.7,0,IF(E91&lt;=20.9,1,ROUND(E91*'Reference Curves'!$V$20+'Reference Curves'!$V$21,2))),  IF('Quantification Tool'!$C$17="WS-II",IF(E91&gt;=29.7,0,IF(E91&lt;=22.5,1,ROUND(E91*'Reference Curves'!$W$20+'Reference Curves'!$W$21,2))), IF('Quantification Tool'!$C$17="WS-III",IF(E91&gt;=30,0,IF(E91&lt;=25.9,1,ROUND(E91*'Reference Curves'!$X$20+'Reference Curves'!$X$21,2)))    ))))))))</f>
        <v/>
      </c>
      <c r="G91" s="484"/>
      <c r="H91" s="506"/>
      <c r="I91" s="497"/>
    </row>
    <row r="92" spans="1:9" ht="16.5" customHeight="1" x14ac:dyDescent="0.5">
      <c r="A92" s="551"/>
      <c r="B92" s="208" t="s">
        <v>242</v>
      </c>
      <c r="C92" s="316" t="s">
        <v>243</v>
      </c>
      <c r="D92" s="301"/>
      <c r="E92" s="71"/>
      <c r="F92" s="181" t="str">
        <f>IF(E92="","",ROUND( IF(E92&lt;=6,0, IF(E92&gt;=10.31,1,E92*'Reference Curves'!$S$52+'Reference Curves'!$S$53)),2))</f>
        <v/>
      </c>
      <c r="G92" s="86" t="str">
        <f>IFERROR(AVERAGE(F92),"")</f>
        <v/>
      </c>
      <c r="H92" s="506"/>
      <c r="I92" s="497"/>
    </row>
    <row r="93" spans="1:9" ht="15.75" x14ac:dyDescent="0.5">
      <c r="A93" s="552"/>
      <c r="B93" s="278" t="s">
        <v>158</v>
      </c>
      <c r="C93" s="24" t="s">
        <v>421</v>
      </c>
      <c r="D93" s="318"/>
      <c r="E93" s="54"/>
      <c r="F93" s="181" t="str">
        <f>IF(E93="","",IF(OR('Quantification Tool'!$C$13=3),IF(E93&gt;=150,0,IF(E93&lt;=16,1,ROUND('Reference Curves'!$S$87*LN(E93)+'Reference Curves'!$S$88,2))), IF(OR('Quantification Tool'!$C$13=1,'Quantification Tool'!$C$13=2),  IF(E93&gt;=97,0,IF(E93&lt;=12,1,ROUND('Reference Curves'!$T$87*LN(E93)+'Reference Curves'!$T$88,2))))))</f>
        <v/>
      </c>
      <c r="G93" s="86" t="str">
        <f>IFERROR(AVERAGE(F93),"")</f>
        <v/>
      </c>
      <c r="H93" s="484"/>
      <c r="I93" s="497"/>
    </row>
    <row r="94" spans="1:9" ht="15.75" x14ac:dyDescent="0.5">
      <c r="A94" s="553" t="s">
        <v>51</v>
      </c>
      <c r="B94" s="282" t="s">
        <v>132</v>
      </c>
      <c r="C94" s="317" t="s">
        <v>249</v>
      </c>
      <c r="D94" s="306"/>
      <c r="E94" s="72"/>
      <c r="F94" s="218" t="str">
        <f>IF(E94="","",IF('Quantification Tool'!$C$13="","Enter Biotype",IF('Quantification Tool'!$C$13=1,IF(E94&lt;=0,0,IF(E94&gt;=57,1,ROUND(IF(E94&lt;=34,'Reference Curves'!$AB$18*E94+'Reference Curves'!$AB$19,  IF(E94&lt;=45, 'Reference Curves'!$AC$18*E94+'Reference Curves'!$AC$19,  'Reference Curves'!$AD$18*E94+'Reference Curves'!$AD$19)),2))),   IF('Quantification Tool'!$C$13=2,IF(E94&lt;=0,0,IF(E94&gt;=63,1,ROUND(IF(E94&lt;=40,'Reference Curves'!$AE$18*E94+'Reference Curves'!$AE$19,  IF(E94&lt;=48,'Reference Curves'!$AF$18*E94+'Reference Curves'!$AF$19,  'Reference Curves'!$AG$18*E94+'Reference Curves'!$AG$19)),2))),   IF(OR('Quantification Tool'!$C$13=3),IF(E94&lt;=0,0,IF(E94&gt;=52,1,ROUND(IF(E94&lt;=29,'Reference Curves'!$AH$18*E94+'Reference Curves'!$AH$19, IF(E94&lt;=42, 'Reference Curves'!$AI$18*E94+'Reference Curves'!$AI$19,  'Reference Curves'!$AJ$18*E94+'Reference Curves'!$AJ$19)),2))))))))</f>
        <v/>
      </c>
      <c r="G94" s="89" t="str">
        <f>IFERROR(AVERAGE(F94),"")</f>
        <v/>
      </c>
      <c r="H94" s="505" t="str">
        <f>IFERROR(ROUND(AVERAGE(G94:G97),2),"")</f>
        <v/>
      </c>
      <c r="I94" s="497" t="str">
        <f>IF(H94="","",IF(H94&gt;0.69,"Functioning",IF(H94&gt;0.29,"Functioning At Risk",IF(H94&gt;-1,"Not Functioning"))))</f>
        <v/>
      </c>
    </row>
    <row r="95" spans="1:9" ht="15.75" x14ac:dyDescent="0.5">
      <c r="A95" s="554"/>
      <c r="B95" s="556" t="s">
        <v>66</v>
      </c>
      <c r="C95" s="40" t="s">
        <v>190</v>
      </c>
      <c r="D95" s="88"/>
      <c r="E95" s="72"/>
      <c r="F95" s="89" t="str">
        <f>IF(E95="","",IF(E95&lt;=0,0,IF(E95&gt;=100,1,ROUND(IF(E95&lt;80,E95*'Reference Curves'!$AB$53+'Reference Curves'!$AB$54,E95*'Reference Curves'!$AC$53+'Reference Curves'!$AC$54),2))))</f>
        <v/>
      </c>
      <c r="G95" s="460" t="str">
        <f>IFERROR(AVERAGE(F95:F97),"")</f>
        <v/>
      </c>
      <c r="H95" s="505"/>
      <c r="I95" s="497"/>
    </row>
    <row r="96" spans="1:9" ht="15.75" x14ac:dyDescent="0.5">
      <c r="A96" s="554"/>
      <c r="B96" s="557"/>
      <c r="C96" s="41" t="s">
        <v>191</v>
      </c>
      <c r="D96" s="306"/>
      <c r="E96" s="71"/>
      <c r="F96" s="89" t="str">
        <f>IF(E96="","",ROUND(IF(E96&gt;=3,0,IF(E96&gt;=2,0.3,IF(E96&gt;=1,0.69,1))),2))</f>
        <v/>
      </c>
      <c r="G96" s="461"/>
      <c r="H96" s="505"/>
      <c r="I96" s="497"/>
    </row>
    <row r="97" spans="1:9" ht="15.75" x14ac:dyDescent="0.5">
      <c r="A97" s="555"/>
      <c r="B97" s="558"/>
      <c r="C97" s="27" t="s">
        <v>268</v>
      </c>
      <c r="D97" s="319"/>
      <c r="E97" s="73"/>
      <c r="F97" s="87" t="str">
        <f>IF(E97="","",IF('Quantification Tool'!$C$19="","Enter Stream Producitvity Rating",IF('Quantification Tool'!$C$19="High",IF(E97&lt;5,0,IF(E97&gt;=40,1,ROUND(E97*'Reference Curves'!$AB$89+'Reference Curves'!$AB$90,2))),IF('Quantification Tool'!$C$19="Moderate",IF(E97&lt;10,0,IF(E97&gt;=80,1,ROUND(E97*'Reference Curves'!$AC$89+'Reference Curves'!$AC$90,2))),IF('Quantification Tool'!$C$19="Low",IF(E97&lt;15,0,IF(E97&gt;=119,1,ROUND(E97*'Reference Curves'!$AD$89+'Reference Curves'!$AD$90,2)))   )))))</f>
        <v/>
      </c>
      <c r="G97" s="462"/>
      <c r="H97" s="505"/>
      <c r="I97" s="497"/>
    </row>
    <row r="100" spans="1:9" ht="21" x14ac:dyDescent="0.65">
      <c r="A100" s="365" t="s">
        <v>114</v>
      </c>
      <c r="B100" s="185"/>
      <c r="C100" s="186" t="s">
        <v>212</v>
      </c>
      <c r="D100" s="548"/>
      <c r="E100" s="548"/>
      <c r="F100" s="549"/>
      <c r="G100" s="487" t="s">
        <v>334</v>
      </c>
      <c r="H100" s="488"/>
      <c r="I100" s="489"/>
    </row>
    <row r="101" spans="1:9" ht="15.75" x14ac:dyDescent="0.5">
      <c r="A101" s="290" t="s">
        <v>1</v>
      </c>
      <c r="B101" s="39" t="s">
        <v>2</v>
      </c>
      <c r="C101" s="173" t="s">
        <v>3</v>
      </c>
      <c r="D101" s="174"/>
      <c r="E101" s="39" t="s">
        <v>12</v>
      </c>
      <c r="F101" s="39" t="s">
        <v>13</v>
      </c>
      <c r="G101" s="39" t="s">
        <v>14</v>
      </c>
      <c r="H101" s="39" t="s">
        <v>15</v>
      </c>
      <c r="I101" s="290" t="s">
        <v>15</v>
      </c>
    </row>
    <row r="102" spans="1:9" ht="15.75" x14ac:dyDescent="0.5">
      <c r="A102" s="446" t="s">
        <v>186</v>
      </c>
      <c r="B102" s="538" t="s">
        <v>107</v>
      </c>
      <c r="C102" s="153" t="s">
        <v>185</v>
      </c>
      <c r="D102" s="154"/>
      <c r="E102" s="72"/>
      <c r="F102" s="234" t="str">
        <f>IF(E102="","",IF(E102&gt;=78,0,IF(E102&lt;=55,1,ROUND(E102*'Reference Curves'!$C$14+'Reference Curves'!$C$15,2))))</f>
        <v/>
      </c>
      <c r="G102" s="498" t="str">
        <f>IFERROR(AVERAGE(F102:F103),"")</f>
        <v/>
      </c>
      <c r="H102" s="498" t="str">
        <f>IFERROR(ROUND(AVERAGE(G102:G108),2),"")</f>
        <v/>
      </c>
      <c r="I102" s="493" t="str">
        <f>IF(H102="","",IF(H102:H108&gt;0.69,"Functioning",IF(H102&gt;0.29,"Functioning At Risk",IF(H102&gt;-1,"Not Functioning"))))</f>
        <v/>
      </c>
    </row>
    <row r="103" spans="1:9" ht="15.75" x14ac:dyDescent="0.5">
      <c r="A103" s="447"/>
      <c r="B103" s="539"/>
      <c r="C103" s="217" t="s">
        <v>303</v>
      </c>
      <c r="D103" s="74"/>
      <c r="E103" s="71"/>
      <c r="F103" s="235" t="str">
        <f>IF(E103="","",   IF(E103&gt;3.2,0, IF(E103&lt;0, "", ROUND('Reference Curves'!$C$44*E103+'Reference Curves'!$C$45,2))))</f>
        <v/>
      </c>
      <c r="G103" s="499"/>
      <c r="H103" s="499"/>
      <c r="I103" s="494"/>
    </row>
    <row r="104" spans="1:9" ht="15.75" x14ac:dyDescent="0.5">
      <c r="A104" s="447"/>
      <c r="B104" s="545" t="s">
        <v>250</v>
      </c>
      <c r="C104" s="230" t="s">
        <v>329</v>
      </c>
      <c r="D104" s="227"/>
      <c r="E104" s="228"/>
      <c r="F104" s="251" t="s">
        <v>253</v>
      </c>
      <c r="G104" s="498" t="str">
        <f>IFERROR(IF(AND(ISNUMBER(E104),E104&lt;1),0,AVERAGE(F104:F105)),"")</f>
        <v/>
      </c>
      <c r="H104" s="499"/>
      <c r="I104" s="494"/>
    </row>
    <row r="105" spans="1:9" ht="15.75" x14ac:dyDescent="0.5">
      <c r="A105" s="447"/>
      <c r="B105" s="540"/>
      <c r="C105" s="231" t="s">
        <v>251</v>
      </c>
      <c r="D105" s="226"/>
      <c r="E105" s="194"/>
      <c r="F105" s="245" t="str">
        <f>IF(E105="","", IF('Quantification Tool'!$C$17= "CS-II", ROUND(IF(E105&lt;=0.6,0, IF(E105&gt;=2.3,1,E105*'Reference Curves'!$E$78+'Reference Curves'!$E$79)),2),
IF(AND('Quantification Tool'!$C$14&lt;20,LEFT('Quantification Tool'!$C$17,2)="CS"),ROUND(IF(E105&lt;=0.2,0, IF(E105&gt;=1,1,E105*'Reference Curves'!$C$78+'Reference Curves'!$C$79)),2),
 IF(AND('Quantification Tool'!$C$14&gt;=20,LEFT('Quantification Tool'!$C$17,2)= "CS"), ROUND(IF(E105&lt;=0.4,0, IF(E105&gt;=1.5,1,E105*'Reference Curves'!$D$78+'Reference Curves'!$D$79)),2) ))))</f>
        <v/>
      </c>
      <c r="G105" s="500"/>
      <c r="H105" s="499"/>
      <c r="I105" s="494"/>
    </row>
    <row r="106" spans="1:9" ht="15.75" x14ac:dyDescent="0.5">
      <c r="A106" s="447"/>
      <c r="B106" s="539" t="s">
        <v>5</v>
      </c>
      <c r="C106" s="332" t="s">
        <v>6</v>
      </c>
      <c r="D106" s="154"/>
      <c r="E106" s="71"/>
      <c r="F106" s="196" t="str">
        <f>IF(E106="","",
IF(E106&gt;1.71,0,IF( E106&gt;1,ROUND(E106*'Reference Curves'!D$113+'Reference Curves'!D$114,2),
IF( 'Quantification Tool'!C$22="Transport", ROUND(IF( E106&lt;0.35,0, E106*'Reference Curves'!$C$113+'Reference Curves'!$C$114 ),2), 1 ))))</f>
        <v/>
      </c>
      <c r="G106" s="502" t="str">
        <f>IFERROR(AVERAGE(F106:F108),"")</f>
        <v/>
      </c>
      <c r="H106" s="499"/>
      <c r="I106" s="494"/>
    </row>
    <row r="107" spans="1:9" ht="15.75" x14ac:dyDescent="0.5">
      <c r="A107" s="447"/>
      <c r="B107" s="539"/>
      <c r="C107" s="155" t="s">
        <v>7</v>
      </c>
      <c r="D107" s="281"/>
      <c r="E107" s="71"/>
      <c r="F107" s="196" t="str">
        <f>IF(E107="","",IF(OR(LEFT( 'Quantification Tool'!C$21,1)="A",LEFT( 'Quantification Tool'!C$21,1)="B"),IF(E107&lt;1.05,0,IF(E107&gt;=2.2,1,ROUND(IF(E107&lt;1.4,E107*'Reference Curves'!$C$250+'Reference Curves'!$C$251,E107*'Reference Curves'!$D$250+'Reference Curves'!$D$251),2))),                                                                                                                                                                                      IF( 'Quantification Tool'!C$21="C",IF(E107&lt;1.7,0,IF(E107&gt;=4.2,1,ROUND(IF(E107&lt;2.4,E107*'Reference Curves'!$D$147+'Reference Curves'!$D$148,E107*'Reference Curves'!$C$147+'Reference Curves'!$C$148),2))),                                                                                                                                                                                                                    IF( 'Quantification Tool'!C$21="Cb",IF(E107&lt;1.7,0,IF(E107&gt;=3.9,1,ROUND(IF(E107&lt;2.4,E107*'Reference Curves'!$D$181+'Reference Curves'!$D$182,E107*'Reference Curves'!$C$181+'Reference Curves'!$C$182),2))),
IF(LEFT( 'Quantification Tool'!C$21,1)="E",IF(E107&lt;1.7,0,IF(E107&gt;=6.7,1,ROUND(IF(E107&lt;2.4,E107*'Reference Curves'!$D$215+'Reference Curves'!$D$216,E107*'Reference Curves'!$C$215+'Reference Curves'!$C$216),2))))))))</f>
        <v/>
      </c>
      <c r="G107" s="502"/>
      <c r="H107" s="499"/>
      <c r="I107" s="494"/>
    </row>
    <row r="108" spans="1:9" ht="15.6" customHeight="1" x14ac:dyDescent="0.5">
      <c r="A108" s="448"/>
      <c r="B108" s="540"/>
      <c r="C108" s="252" t="s">
        <v>283</v>
      </c>
      <c r="D108" s="75"/>
      <c r="E108" s="73"/>
      <c r="F108" s="195" t="str">
        <f>IF(E108="","",IF('Quantification Tool'!$C$20="Unconfined Alluvial",IF(E108&lt;=0,0, IF(E108&gt;=100,1, ROUND(IF(E108&lt;10,E108*'Reference Curves'!$C$285+'Reference Curves'!$C$286, IF(E108&lt;50,E108*'Reference Curves'!$D$285+'Reference Curves'!$D$286,E108*'Reference Curves'!$E$285+'Reference Curves'!$E$286)),2))), IF('Quantification Tool'!$C$20="Confined Alluvial",IF(E108&lt;=0,0,IF(E108&gt;=50,1,ROUND(IF(E108&lt;5,E108*'Reference Curves'!$F$285+'Reference Curves'!$F$286,IF(E108&lt;25,E108*'Reference Curves'!$G$285+'Reference Curves'!$G$286,E108*'Reference Curves'!$H$285+'Reference Curves'!$H$286)),2))))))</f>
        <v/>
      </c>
      <c r="G108" s="503"/>
      <c r="H108" s="500"/>
      <c r="I108" s="495"/>
    </row>
    <row r="109" spans="1:9" ht="15.75" x14ac:dyDescent="0.5">
      <c r="A109" s="559" t="s">
        <v>19</v>
      </c>
      <c r="B109" s="480" t="s">
        <v>20</v>
      </c>
      <c r="C109" s="23" t="s">
        <v>18</v>
      </c>
      <c r="D109" s="76"/>
      <c r="E109" s="72"/>
      <c r="F109" s="178" t="str">
        <f>IF(E109="","",IF(E109&gt;=660,1,IF(E109&lt;=430,ROUND('Reference Curves'!$K$15*E109+'Reference Curves'!$K$16,2),ROUND('Reference Curves'!$L$15*E109+'Reference Curves'!$L$16,2))))</f>
        <v/>
      </c>
      <c r="G109" s="463" t="str">
        <f>IFERROR(AVERAGE(F109:F110),"")</f>
        <v/>
      </c>
      <c r="H109" s="463" t="str">
        <f>IFERROR(ROUND(AVERAGE(G109:G122),2),"")</f>
        <v/>
      </c>
      <c r="I109" s="490" t="str">
        <f>IF(H109="","",IF(H109&gt;0.69,"Functioning",IF(H109&gt;0.29,"Functioning At Risk",IF(H109&gt;-1,"Not Functioning"))))</f>
        <v/>
      </c>
    </row>
    <row r="110" spans="1:9" ht="15.75" x14ac:dyDescent="0.5">
      <c r="A110" s="560"/>
      <c r="B110" s="482"/>
      <c r="C110" s="148" t="s">
        <v>187</v>
      </c>
      <c r="D110" s="79"/>
      <c r="E110" s="71"/>
      <c r="F110" s="177" t="str">
        <f>IF(E110="","",IF(E110&gt;=28,1,ROUND(IF(E110&lt;=13,'Reference Curves'!$K$48*E110,'Reference Curves'!$L$48*E110+'Reference Curves'!$L$49),2)))</f>
        <v/>
      </c>
      <c r="G110" s="464"/>
      <c r="H110" s="504"/>
      <c r="I110" s="491"/>
    </row>
    <row r="111" spans="1:9" ht="15.75" x14ac:dyDescent="0.5">
      <c r="A111" s="560"/>
      <c r="B111" s="547" t="s">
        <v>231</v>
      </c>
      <c r="C111" s="197" t="s">
        <v>159</v>
      </c>
      <c r="D111" s="146"/>
      <c r="E111" s="72"/>
      <c r="F111" s="178" t="str">
        <f>IF(E111="","",ROUND(IF(E111&lt;=2,0,IF(E111&gt;=9,1,IF(E111&gt;=5,E111^2*'Reference Curves'!$K$83+E111*'Reference Curves'!$K$84+'Reference Curves'!$K$85, E111*'Reference Curves'!$L$84+'Reference Curves'!$L$85))),2))</f>
        <v/>
      </c>
      <c r="G111" s="463" t="str">
        <f>IFERROR(IF(E114&gt;=50,0,AVERAGE(F111:F114)),"")</f>
        <v/>
      </c>
      <c r="H111" s="504"/>
      <c r="I111" s="491"/>
    </row>
    <row r="112" spans="1:9" ht="15.75" x14ac:dyDescent="0.5">
      <c r="A112" s="560"/>
      <c r="B112" s="481"/>
      <c r="C112" s="198" t="s">
        <v>42</v>
      </c>
      <c r="D112" s="305"/>
      <c r="E112" s="71"/>
      <c r="F112" s="179" t="str">
        <f>IF(E112="","",IF(OR(E112="Ex/Ex",E112="Ex/VH",E112="Ex/H",E112="Ex/M",E112="VH/Ex",E112="VH/VH", E112="H/Ex",E112="H/VH"),0, IF(OR(E112="M/Ex"),0.1,IF(OR(E112="VH/H",E112="VH/M",E112="H/H",E112="H/M", E112="M/VH"),0.2, IF(OR(E112="Ex/VL",E112="Ex/L", E112="M/H"),0.3, IF(OR(E112="VH/L",E112="H/L"),0.4, IF(OR(E112="VH/VL",E112="H/VL",E112="M/M"),0.5, IF(OR(E112="M/L",E112="L/Ex"),0.6, IF(OR(E112="M/VL",E112="L/VH", E112="L/H",E112="L/M",E112="L/L",E112="L/VL", LEFT(E112,2)="VL"),1)))))))))</f>
        <v/>
      </c>
      <c r="G112" s="504"/>
      <c r="H112" s="504"/>
      <c r="I112" s="491"/>
    </row>
    <row r="113" spans="1:9" ht="15.75" x14ac:dyDescent="0.5">
      <c r="A113" s="560"/>
      <c r="B113" s="481"/>
      <c r="C113" s="199" t="s">
        <v>76</v>
      </c>
      <c r="D113" s="307"/>
      <c r="E113" s="71"/>
      <c r="F113" s="179" t="str">
        <f>IF(E113="","",ROUND(IF(E113&gt;=75,0,IF(E113&lt;=5,1,IF(E113&gt;10,E113*'Reference Curves'!K$116+'Reference Curves'!K$117,'Reference Curves'!$L$116*E113+'Reference Curves'!$L$117))),2))</f>
        <v/>
      </c>
      <c r="G113" s="466"/>
      <c r="H113" s="504"/>
      <c r="I113" s="491"/>
    </row>
    <row r="114" spans="1:9" ht="15.75" x14ac:dyDescent="0.5">
      <c r="A114" s="560"/>
      <c r="B114" s="482"/>
      <c r="C114" s="200" t="s">
        <v>230</v>
      </c>
      <c r="D114" s="147"/>
      <c r="E114" s="73"/>
      <c r="F114" s="180" t="str">
        <f>IF(E114="","",IF(E114&gt;=30,0,ROUND(E114*'Reference Curves'!$K$148+'Reference Curves'!$K$149,2)))</f>
        <v/>
      </c>
      <c r="G114" s="464"/>
      <c r="H114" s="504"/>
      <c r="I114" s="491"/>
    </row>
    <row r="115" spans="1:9" ht="15.75" x14ac:dyDescent="0.5">
      <c r="A115" s="560"/>
      <c r="B115" s="480" t="s">
        <v>44</v>
      </c>
      <c r="C115" s="197" t="s">
        <v>45</v>
      </c>
      <c r="D115" s="76"/>
      <c r="E115" s="72"/>
      <c r="F115" s="82" t="str">
        <f>IF(E115="","",IF('Quantification Tool'!$C$21="Bc",IF(OR(E115&gt;=12,E115&lt;=0.1),0,IF(E115&lt;=3.4,1,ROUND('Reference Curves'!$K$278*E115+'Reference Curves'!$K$279,2))),  IF(OR('Quantification Tool'!$C$21="B",'Quantification Tool'!$C$21="Ba"),IF(OR(E115&gt;=7.5,E115&lt;=0.1),0,IF(E115&lt;=3,1,ROUND(IF(E115&gt;4,'Reference Curves'!$K$247*E115+'Reference Curves'!$K$248,'Reference Curves'!$L$247*E115+'Reference Curves'!$L$248),2))),  IF('Quantification Tool'!$C$21="Cb",IF(OR(E115&gt;=8.35,E115&lt;1.4),0,IF(AND(E115&gt;=3.7,E115&lt;=5),1,ROUND(IF(E115&lt;3.7,'Reference Curves'!$K$215*E115+'Reference Curves'!$K$216,'Reference Curves'!$L$215*E115+'Reference Curves'!$L$216),2))),  IF('Quantification Tool'!$C$21="C",IF(OR(E115&gt;=9.3,E115&lt;=3),0,IF(AND(E115&gt;=4,E115&lt;=6),1,ROUND(IF(E115&lt;4,'Reference Curves'!$K$181*E115+'Reference Curves'!$K$182,'Reference Curves'!$L$181*E115+'Reference Curves'!$L$182),2))),  IF('Quantification Tool'!$C$21="E",IF(OR(E115&gt;=8.3,E115&lt;1.85),0,IF(AND(E115&gt;=3.5,E115&lt;=5),1,ROUND(IF(E115&lt;3.5,'Reference Curves'!$K$311*E115+'Reference Curves'!$K$312,'Reference Curves'!$L$311*E115+'Reference Curves'!$L$312),2)))      ))))))</f>
        <v/>
      </c>
      <c r="G115" s="465" t="str">
        <f>IFERROR(AVERAGE(F115:F118),"")</f>
        <v/>
      </c>
      <c r="H115" s="504"/>
      <c r="I115" s="491"/>
    </row>
    <row r="116" spans="1:9" ht="15.75" x14ac:dyDescent="0.5">
      <c r="A116" s="560"/>
      <c r="B116" s="481"/>
      <c r="C116" s="198" t="s">
        <v>46</v>
      </c>
      <c r="D116" s="305"/>
      <c r="E116" s="71"/>
      <c r="F116" s="83" t="str">
        <f>IF(E116="","",IF(E116&lt;=1,0,IF(E116&gt;=3.2,1,IF(E116&gt;=2.2,ROUND('Reference Curves'!$L$343*E116+'Reference Curves'!$L$344,2),(ROUND('Reference Curves'!$K$343*E116+'Reference Curves'!$K$344,2))))))</f>
        <v/>
      </c>
      <c r="G116" s="466"/>
      <c r="H116" s="504"/>
      <c r="I116" s="491"/>
    </row>
    <row r="117" spans="1:9" ht="15.75" x14ac:dyDescent="0.5">
      <c r="A117" s="560"/>
      <c r="B117" s="481"/>
      <c r="C117" s="148" t="s">
        <v>195</v>
      </c>
      <c r="D117" s="305"/>
      <c r="E117" s="71"/>
      <c r="F117" s="360" t="str">
        <f>IF(E117="","", IF('Quantification Tool'!$C$15="","FALSE",IF('Quantification Tool'!$C$15&lt;3,IF( OR(E117&gt;=91,E117&lt;=13.5),0, IF(AND(E117&gt;49,E117&lt;61), 1, ROUND(IF(E117&lt;50,'Reference Curves'!$K$377*E117+'Reference Curves'!$K$378, IF(E117&gt;60,'Reference Curves'!$L$377*E117+'Reference Curves'!$L$378)),2))), IF('Quantification Tool'!$C$15&gt;=3,IF(OR(E117&gt;94.5,E117&lt;41.5),0, IF(AND(E117 &gt;=68, E117&lt;=78),1, ROUND(IF(E117&lt;68,'Reference Curves'!$K$411*E117+'Reference Curves'!$K$412,'Reference Curves'!$L$411*E117+'Reference Curves'!$L$412),2) ))))))</f>
        <v/>
      </c>
      <c r="G117" s="466"/>
      <c r="H117" s="504"/>
      <c r="I117" s="491"/>
    </row>
    <row r="118" spans="1:9" ht="15.75" x14ac:dyDescent="0.5">
      <c r="A118" s="560"/>
      <c r="B118" s="482"/>
      <c r="C118" s="201" t="s">
        <v>142</v>
      </c>
      <c r="D118" s="78"/>
      <c r="E118" s="73"/>
      <c r="F118" s="361" t="str">
        <f>IF(E118="","",IF(E118&gt;=1.6,0,IF(E118&lt;=1,1,ROUND('Reference Curves'!$K$442*E118^3+'Reference Curves'!$K$443*E118^2+'Reference Curves'!$K$444*E118+'Reference Curves'!$K$445,2))))</f>
        <v/>
      </c>
      <c r="G118" s="467"/>
      <c r="H118" s="504"/>
      <c r="I118" s="491"/>
    </row>
    <row r="119" spans="1:9" ht="15.75" x14ac:dyDescent="0.5">
      <c r="A119" s="560"/>
      <c r="B119" s="480" t="s">
        <v>43</v>
      </c>
      <c r="C119" s="148" t="s">
        <v>409</v>
      </c>
      <c r="D119" s="305"/>
      <c r="E119" s="72"/>
      <c r="F119" s="190" t="str">
        <f>IF( E119="","",
IF( 'Quantification Tool'!$C$20="Unconfined Alluvial", IF( E119&gt;=100,1,
ROUND('Reference Curves'!$K$479*E119+'Reference Curves'!$K$480,2) ),
IF( OR('Quantification Tool'!$C$20="Confined Alluvial", 'Quantification Tool'!$C$20="Colluvial/V-Shaped",'Quantification Tool'!$C$20="Bedrock"), ( IF(E119&gt;=100,1,
IF(E119&gt;=60, ROUND('Reference Curves'!$L$479*E119+'Reference Curves'!$L$480,2), ROUND('Reference Curves'!$M$479*E119+'Reference Curves'!$M$480,2) ) ) ) ) ) )</f>
        <v/>
      </c>
      <c r="G119" s="463" t="str">
        <f>IFERROR(AVERAGE(F119:F122),"")</f>
        <v/>
      </c>
      <c r="H119" s="504"/>
      <c r="I119" s="491"/>
    </row>
    <row r="120" spans="1:9" ht="15.75" x14ac:dyDescent="0.5">
      <c r="A120" s="560"/>
      <c r="B120" s="481"/>
      <c r="C120" s="148" t="s">
        <v>219</v>
      </c>
      <c r="D120" s="305"/>
      <c r="E120" s="71"/>
      <c r="F120" s="358" t="str">
        <f>IF( E120="","", IF('Quantification Tool'!$C$18&lt;&gt;"Woody","FALSE", IF( OR('Quantification Tool'!$C$12="Mountains",'Quantification Tool'!$C$12="Basins"),
IF(E120&lt;=0,0, IF(E120&gt;=122,1, IF(E120&lt;69, ROUND('Reference Curves'!$K$512*E120+'Reference Curves'!$K$513,2), ROUND('Reference Curves'!$L$512*E120+'Reference Curves'!$L$513,2) ) ) ),
IF('Quantification Tool'!$C$12="Plains",IF(OR(E120&lt;=0,E120&gt;111),0,IF(AND(E120&gt;=69,E120&lt;=76),1,IF(E120&lt;69,ROUND(E120*'Reference Curves'!$K$547+'Reference Curves'!$K$548,2),ROUND(E120*'Reference Curves'!$L$547+'Reference Curves'!$L$548,2))))))))</f>
        <v/>
      </c>
      <c r="G120" s="504"/>
      <c r="H120" s="504"/>
      <c r="I120" s="491"/>
    </row>
    <row r="121" spans="1:9" ht="15.75" x14ac:dyDescent="0.5">
      <c r="A121" s="560"/>
      <c r="B121" s="546"/>
      <c r="C121" s="148" t="s">
        <v>220</v>
      </c>
      <c r="D121" s="305"/>
      <c r="E121" s="71"/>
      <c r="F121" s="83" t="str">
        <f>IF(E121="","",IF('Quantification Tool'!$C$18="Herbaceous",IF(E121&lt;=34,0,IF(E121&gt;=120,1,IF(E121&gt;73,ROUND(E121*'Reference Curves'!$L$579+'Reference Curves'!$L$580,2),ROUND(E121*'Reference Curves'!$K$579+'Reference Curves'!$K$580,2))))))</f>
        <v/>
      </c>
      <c r="G121" s="466"/>
      <c r="H121" s="504"/>
      <c r="I121" s="491"/>
    </row>
    <row r="122" spans="1:9" ht="15.75" x14ac:dyDescent="0.5">
      <c r="A122" s="561"/>
      <c r="B122" s="482"/>
      <c r="C122" s="297" t="s">
        <v>229</v>
      </c>
      <c r="D122" s="308"/>
      <c r="E122" s="73"/>
      <c r="F122" s="209" t="str">
        <f>IF(E122="","",IF(E122&lt;=46,0,IF(E122&gt;=100,1,IF(AND(E122&lt;=100,E122&gt;91),ROUND(E122*'Reference Curves'!$L$611+'Reference Curves'!$L$612,2),ROUND(E122*'Reference Curves'!$K$611+'Reference Curves'!$K$612,2)))))</f>
        <v/>
      </c>
      <c r="G122" s="464"/>
      <c r="H122" s="464"/>
      <c r="I122" s="492"/>
    </row>
    <row r="123" spans="1:9" ht="15.75" x14ac:dyDescent="0.5">
      <c r="A123" s="550" t="s">
        <v>50</v>
      </c>
      <c r="B123" s="475" t="s">
        <v>71</v>
      </c>
      <c r="C123" s="207" t="s">
        <v>244</v>
      </c>
      <c r="D123" s="211"/>
      <c r="E123" s="72"/>
      <c r="F123" s="216" t="str">
        <f>IF(E123="","",IF('Quantification Tool'!$C$17="","Enter Stream Temperature",  IF('Quantification Tool'!$C$17="CS-I (MWF)",IF(E123&gt;=21.2,0,1),  IF('Quantification Tool'!$C$17="CS-I",IF(E123&gt;=21.7,0,1),  IF('Quantification Tool'!$C$17="CS-II",IF(E123&gt;=23.9,0,1),  IF('Quantification Tool'!$C$17="WS-I",IF(E123&gt;=29,0,1),  IF('Quantification Tool'!$C$17="WS-II",IF(E123&gt;=28.6,0,1), IF('Quantification Tool'!$C$17="WS-III",IF(E123&gt;=31.8,0,1)))))))))</f>
        <v/>
      </c>
      <c r="G123" s="483" t="str">
        <f>IFERROR(AVERAGE(F123:F124),"")</f>
        <v/>
      </c>
      <c r="H123" s="483" t="str">
        <f>IFERROR(ROUND(AVERAGE(G123:G126),2),"")</f>
        <v/>
      </c>
      <c r="I123" s="497" t="str">
        <f>IF(H123="","",IF(H123&gt;0.69,"Functioning",IF(H123&gt;0.29,"Functioning At Risk",IF(H123&gt;-1,"Not Functioning"))))</f>
        <v/>
      </c>
    </row>
    <row r="124" spans="1:9" ht="15.75" x14ac:dyDescent="0.5">
      <c r="A124" s="551"/>
      <c r="B124" s="477"/>
      <c r="C124" s="210" t="s">
        <v>188</v>
      </c>
      <c r="D124" s="212"/>
      <c r="E124" s="73"/>
      <c r="F124" s="181" t="str">
        <f>IF(E124="","",IF('Quantification Tool'!$C$17="","Enter Stream Temperature",  IF('Quantification Tool'!$C$17="CS-I (MWF)",IF(E124&gt;=18.3,0,IF(E124&lt;=13.8,1,ROUND(E124*'Reference Curves'!$S$20+'Reference Curves'!$S$21,2))),  IF('Quantification Tool'!$C$17="CS-I",IF(E124&gt;=17.6,0,IF(E124&lt;=15.7,1,ROUND(E124*'Reference Curves'!$T$20+'Reference Curves'!$T$21,2))),  IF('Quantification Tool'!$C$17="CS-II",IF(E124&gt;=19.1,0,IF(E124&lt;=16.6,1,ROUND(E124*'Reference Curves'!$U$20+'Reference Curves'!$U$21,2))),  IF('Quantification Tool'!$C$17="WS-I",IF(E124&gt;=25.7,0,IF(E124&lt;=20.9,1,ROUND(E124*'Reference Curves'!$V$20+'Reference Curves'!$V$21,2))),  IF('Quantification Tool'!$C$17="WS-II",IF(E124&gt;=29.7,0,IF(E124&lt;=22.5,1,ROUND(E124*'Reference Curves'!$W$20+'Reference Curves'!$W$21,2))), IF('Quantification Tool'!$C$17="WS-III",IF(E124&gt;=30,0,IF(E124&lt;=25.9,1,ROUND(E124*'Reference Curves'!$X$20+'Reference Curves'!$X$21,2)))    ))))))))</f>
        <v/>
      </c>
      <c r="G124" s="484"/>
      <c r="H124" s="506"/>
      <c r="I124" s="497"/>
    </row>
    <row r="125" spans="1:9" ht="15.75" x14ac:dyDescent="0.5">
      <c r="A125" s="551"/>
      <c r="B125" s="208" t="s">
        <v>242</v>
      </c>
      <c r="C125" s="316" t="s">
        <v>243</v>
      </c>
      <c r="D125" s="301"/>
      <c r="E125" s="71"/>
      <c r="F125" s="181" t="str">
        <f>IF(E125="","",ROUND( IF(E125&lt;=6,0, IF(E125&gt;=10.31,1,E125*'Reference Curves'!$S$52+'Reference Curves'!$S$53)),2))</f>
        <v/>
      </c>
      <c r="G125" s="86" t="str">
        <f>IFERROR(AVERAGE(F125),"")</f>
        <v/>
      </c>
      <c r="H125" s="506"/>
      <c r="I125" s="497"/>
    </row>
    <row r="126" spans="1:9" ht="15.75" x14ac:dyDescent="0.5">
      <c r="A126" s="552"/>
      <c r="B126" s="278" t="s">
        <v>158</v>
      </c>
      <c r="C126" s="24" t="s">
        <v>421</v>
      </c>
      <c r="D126" s="318"/>
      <c r="E126" s="54"/>
      <c r="F126" s="181" t="str">
        <f>IF(E126="","",IF(OR('Quantification Tool'!$C$13=3),IF(E126&gt;=150,0,IF(E126&lt;=16,1,ROUND('Reference Curves'!$S$87*LN(E126)+'Reference Curves'!$S$88,2))), IF(OR('Quantification Tool'!$C$13=1,'Quantification Tool'!$C$13=2),  IF(E126&gt;=97,0,IF(E126&lt;=12,1,ROUND('Reference Curves'!$T$87*LN(E126)+'Reference Curves'!$T$88,2))))))</f>
        <v/>
      </c>
      <c r="G126" s="86" t="str">
        <f>IFERROR(AVERAGE(F126),"")</f>
        <v/>
      </c>
      <c r="H126" s="484"/>
      <c r="I126" s="497"/>
    </row>
    <row r="127" spans="1:9" ht="15.75" x14ac:dyDescent="0.5">
      <c r="A127" s="553" t="s">
        <v>51</v>
      </c>
      <c r="B127" s="282" t="s">
        <v>132</v>
      </c>
      <c r="C127" s="317" t="s">
        <v>249</v>
      </c>
      <c r="D127" s="306"/>
      <c r="E127" s="72"/>
      <c r="F127" s="218" t="str">
        <f>IF(E127="","",IF('Quantification Tool'!$C$13="","Enter Biotype",IF('Quantification Tool'!$C$13=1,IF(E127&lt;=0,0,IF(E127&gt;=57,1,ROUND(IF(E127&lt;=34,'Reference Curves'!$AB$18*E127+'Reference Curves'!$AB$19,  IF(E127&lt;=45, 'Reference Curves'!$AC$18*E127+'Reference Curves'!$AC$19,  'Reference Curves'!$AD$18*E127+'Reference Curves'!$AD$19)),2))),   IF('Quantification Tool'!$C$13=2,IF(E127&lt;=0,0,IF(E127&gt;=63,1,ROUND(IF(E127&lt;=40,'Reference Curves'!$AE$18*E127+'Reference Curves'!$AE$19,  IF(E127&lt;=48,'Reference Curves'!$AF$18*E127+'Reference Curves'!$AF$19,  'Reference Curves'!$AG$18*E127+'Reference Curves'!$AG$19)),2))),   IF(OR('Quantification Tool'!$C$13=3),IF(E127&lt;=0,0,IF(E127&gt;=52,1,ROUND(IF(E127&lt;=29,'Reference Curves'!$AH$18*E127+'Reference Curves'!$AH$19, IF(E127&lt;=42, 'Reference Curves'!$AI$18*E127+'Reference Curves'!$AI$19,  'Reference Curves'!$AJ$18*E127+'Reference Curves'!$AJ$19)),2))))))))</f>
        <v/>
      </c>
      <c r="G127" s="89" t="str">
        <f>IFERROR(AVERAGE(F127),"")</f>
        <v/>
      </c>
      <c r="H127" s="505" t="str">
        <f>IFERROR(ROUND(AVERAGE(G127:G130),2),"")</f>
        <v/>
      </c>
      <c r="I127" s="497" t="str">
        <f>IF(H127="","",IF(H127&gt;0.69,"Functioning",IF(H127&gt;0.29,"Functioning At Risk",IF(H127&gt;-1,"Not Functioning"))))</f>
        <v/>
      </c>
    </row>
    <row r="128" spans="1:9" ht="15.75" x14ac:dyDescent="0.5">
      <c r="A128" s="554"/>
      <c r="B128" s="556" t="s">
        <v>66</v>
      </c>
      <c r="C128" s="40" t="s">
        <v>190</v>
      </c>
      <c r="D128" s="88"/>
      <c r="E128" s="72"/>
      <c r="F128" s="89" t="str">
        <f>IF(E128="","",IF(E128&lt;=0,0,IF(E128&gt;=100,1,ROUND(IF(E128&lt;80,E128*'Reference Curves'!$AB$53+'Reference Curves'!$AB$54,E128*'Reference Curves'!$AC$53+'Reference Curves'!$AC$54),2))))</f>
        <v/>
      </c>
      <c r="G128" s="460" t="str">
        <f>IFERROR(AVERAGE(F128:F130),"")</f>
        <v/>
      </c>
      <c r="H128" s="505"/>
      <c r="I128" s="497"/>
    </row>
    <row r="129" spans="1:9" ht="15.75" x14ac:dyDescent="0.5">
      <c r="A129" s="554"/>
      <c r="B129" s="557"/>
      <c r="C129" s="41" t="s">
        <v>191</v>
      </c>
      <c r="D129" s="306"/>
      <c r="E129" s="71"/>
      <c r="F129" s="89" t="str">
        <f>IF(E129="","",ROUND(IF(E129&gt;=3,0,IF(E129&gt;=2,0.3,IF(E129&gt;=1,0.69,1))),2))</f>
        <v/>
      </c>
      <c r="G129" s="461"/>
      <c r="H129" s="505"/>
      <c r="I129" s="497"/>
    </row>
    <row r="130" spans="1:9" ht="15.75" x14ac:dyDescent="0.5">
      <c r="A130" s="555"/>
      <c r="B130" s="558"/>
      <c r="C130" s="27" t="s">
        <v>268</v>
      </c>
      <c r="D130" s="319"/>
      <c r="E130" s="73"/>
      <c r="F130" s="87" t="str">
        <f>IF(E130="","",IF('Quantification Tool'!$C$19="","Enter Stream Producitvity Rating",IF('Quantification Tool'!$C$19="High",IF(E130&lt;5,0,IF(E130&gt;=40,1,ROUND(E130*'Reference Curves'!$AB$89+'Reference Curves'!$AB$90,2))),IF('Quantification Tool'!$C$19="Moderate",IF(E130&lt;10,0,IF(E130&gt;=80,1,ROUND(E130*'Reference Curves'!$AC$89+'Reference Curves'!$AC$90,2))),IF('Quantification Tool'!$C$19="Low",IF(E130&lt;15,0,IF(E130&gt;=119,1,ROUND(E130*'Reference Curves'!$AD$89+'Reference Curves'!$AD$90,2)))   )))))</f>
        <v/>
      </c>
      <c r="G130" s="462"/>
      <c r="H130" s="505"/>
      <c r="I130" s="497"/>
    </row>
    <row r="133" spans="1:9" ht="21" x14ac:dyDescent="0.65">
      <c r="A133" s="365" t="s">
        <v>114</v>
      </c>
      <c r="B133" s="185"/>
      <c r="C133" s="186" t="s">
        <v>212</v>
      </c>
      <c r="D133" s="548"/>
      <c r="E133" s="548"/>
      <c r="F133" s="549"/>
      <c r="G133" s="487" t="s">
        <v>334</v>
      </c>
      <c r="H133" s="488"/>
      <c r="I133" s="489"/>
    </row>
    <row r="134" spans="1:9" ht="15.75" x14ac:dyDescent="0.5">
      <c r="A134" s="290" t="s">
        <v>1</v>
      </c>
      <c r="B134" s="39" t="s">
        <v>2</v>
      </c>
      <c r="C134" s="173" t="s">
        <v>3</v>
      </c>
      <c r="D134" s="174"/>
      <c r="E134" s="39" t="s">
        <v>12</v>
      </c>
      <c r="F134" s="39" t="s">
        <v>13</v>
      </c>
      <c r="G134" s="39" t="s">
        <v>14</v>
      </c>
      <c r="H134" s="39" t="s">
        <v>15</v>
      </c>
      <c r="I134" s="290" t="s">
        <v>15</v>
      </c>
    </row>
    <row r="135" spans="1:9" ht="15.75" x14ac:dyDescent="0.5">
      <c r="A135" s="446" t="s">
        <v>186</v>
      </c>
      <c r="B135" s="538" t="s">
        <v>107</v>
      </c>
      <c r="C135" s="153" t="s">
        <v>185</v>
      </c>
      <c r="D135" s="154"/>
      <c r="E135" s="72"/>
      <c r="F135" s="234" t="str">
        <f>IF(E135="","",IF(E135&gt;=78,0,IF(E135&lt;=55,1,ROUND(E135*'Reference Curves'!$C$14+'Reference Curves'!$C$15,2))))</f>
        <v/>
      </c>
      <c r="G135" s="498" t="str">
        <f>IFERROR(AVERAGE(F135:F136),"")</f>
        <v/>
      </c>
      <c r="H135" s="498" t="str">
        <f>IFERROR(ROUND(AVERAGE(G135:G141),2),"")</f>
        <v/>
      </c>
      <c r="I135" s="493" t="str">
        <f>IF(H135="","",IF(H135:H141&gt;0.69,"Functioning",IF(H135&gt;0.29,"Functioning At Risk",IF(H135&gt;-1,"Not Functioning"))))</f>
        <v/>
      </c>
    </row>
    <row r="136" spans="1:9" ht="15.75" x14ac:dyDescent="0.5">
      <c r="A136" s="447"/>
      <c r="B136" s="539"/>
      <c r="C136" s="217" t="s">
        <v>303</v>
      </c>
      <c r="D136" s="74"/>
      <c r="E136" s="71"/>
      <c r="F136" s="235" t="str">
        <f>IF(E136="","",   IF(E136&gt;3.2,0, IF(E136&lt;0, "", ROUND('Reference Curves'!$C$44*E136+'Reference Curves'!$C$45,2))))</f>
        <v/>
      </c>
      <c r="G136" s="499"/>
      <c r="H136" s="499"/>
      <c r="I136" s="494"/>
    </row>
    <row r="137" spans="1:9" ht="15.75" x14ac:dyDescent="0.5">
      <c r="A137" s="447"/>
      <c r="B137" s="545" t="s">
        <v>250</v>
      </c>
      <c r="C137" s="230" t="s">
        <v>329</v>
      </c>
      <c r="D137" s="227"/>
      <c r="E137" s="228"/>
      <c r="F137" s="251" t="s">
        <v>253</v>
      </c>
      <c r="G137" s="498" t="str">
        <f>IFERROR(IF(AND(ISNUMBER(E137),E137&lt;1),0,AVERAGE(F137:F138)),"")</f>
        <v/>
      </c>
      <c r="H137" s="499"/>
      <c r="I137" s="494"/>
    </row>
    <row r="138" spans="1:9" ht="15.75" x14ac:dyDescent="0.5">
      <c r="A138" s="447"/>
      <c r="B138" s="540"/>
      <c r="C138" s="231" t="s">
        <v>251</v>
      </c>
      <c r="D138" s="226"/>
      <c r="E138" s="194"/>
      <c r="F138" s="245" t="str">
        <f>IF(E138="","", IF('Quantification Tool'!$C$17= "CS-II", ROUND(IF(E138&lt;=0.6,0, IF(E138&gt;=2.3,1,E138*'Reference Curves'!$E$78+'Reference Curves'!$E$79)),2),
IF(AND('Quantification Tool'!$C$14&lt;20,LEFT('Quantification Tool'!$C$17,2)="CS"),ROUND(IF(E138&lt;=0.2,0, IF(E138&gt;=1,1,E138*'Reference Curves'!$C$78+'Reference Curves'!$C$79)),2),
 IF(AND('Quantification Tool'!$C$14&gt;=20,LEFT('Quantification Tool'!$C$17,2)= "CS"), ROUND(IF(E138&lt;=0.4,0, IF(E138&gt;=1.5,1,E138*'Reference Curves'!$D$78+'Reference Curves'!$D$79)),2) ))))</f>
        <v/>
      </c>
      <c r="G138" s="500"/>
      <c r="H138" s="499"/>
      <c r="I138" s="494"/>
    </row>
    <row r="139" spans="1:9" ht="15.75" x14ac:dyDescent="0.5">
      <c r="A139" s="447"/>
      <c r="B139" s="539" t="s">
        <v>5</v>
      </c>
      <c r="C139" s="332" t="s">
        <v>6</v>
      </c>
      <c r="D139" s="154"/>
      <c r="E139" s="71"/>
      <c r="F139" s="196" t="str">
        <f>IF(E139="","",
IF(E139&gt;1.71,0,IF( E139&gt;1,ROUND(E139*'Reference Curves'!D$113+'Reference Curves'!D$114,2),
IF( 'Quantification Tool'!C$22="Transport", ROUND(IF( E139&lt;0.35,0, E139*'Reference Curves'!$C$113+'Reference Curves'!$C$114 ),2), 1 ))))</f>
        <v/>
      </c>
      <c r="G139" s="502" t="str">
        <f>IFERROR(AVERAGE(F139:F141),"")</f>
        <v/>
      </c>
      <c r="H139" s="499"/>
      <c r="I139" s="494"/>
    </row>
    <row r="140" spans="1:9" ht="15.75" x14ac:dyDescent="0.5">
      <c r="A140" s="447"/>
      <c r="B140" s="539"/>
      <c r="C140" s="155" t="s">
        <v>7</v>
      </c>
      <c r="D140" s="281"/>
      <c r="E140" s="71"/>
      <c r="F140" s="196" t="str">
        <f>IF(E140="","",IF(OR(LEFT( 'Quantification Tool'!C$21,1)="A",LEFT( 'Quantification Tool'!C$21,1)="B"),IF(E140&lt;1.05,0,IF(E140&gt;=2.2,1,ROUND(IF(E140&lt;1.4,E140*'Reference Curves'!$C$250+'Reference Curves'!$C$251,E140*'Reference Curves'!$D$250+'Reference Curves'!$D$251),2))),                                                                                                                                                                                      IF( 'Quantification Tool'!C$21="C",IF(E140&lt;1.7,0,IF(E140&gt;=4.2,1,ROUND(IF(E140&lt;2.4,E140*'Reference Curves'!$D$147+'Reference Curves'!$D$148,E140*'Reference Curves'!$C$147+'Reference Curves'!$C$148),2))),                                                                                                                                                                                                                    IF( 'Quantification Tool'!C$21="Cb",IF(E140&lt;1.7,0,IF(E140&gt;=3.9,1,ROUND(IF(E140&lt;2.4,E140*'Reference Curves'!$D$181+'Reference Curves'!$D$182,E140*'Reference Curves'!$C$181+'Reference Curves'!$C$182),2))),
IF(LEFT( 'Quantification Tool'!C$21,1)="E",IF(E140&lt;1.7,0,IF(E140&gt;=6.7,1,ROUND(IF(E140&lt;2.4,E140*'Reference Curves'!$D$215+'Reference Curves'!$D$216,E140*'Reference Curves'!$C$215+'Reference Curves'!$C$216),2))))))))</f>
        <v/>
      </c>
      <c r="G140" s="502"/>
      <c r="H140" s="499"/>
      <c r="I140" s="494"/>
    </row>
    <row r="141" spans="1:9" ht="15.6" customHeight="1" x14ac:dyDescent="0.5">
      <c r="A141" s="448"/>
      <c r="B141" s="540"/>
      <c r="C141" s="252" t="s">
        <v>283</v>
      </c>
      <c r="D141" s="75"/>
      <c r="E141" s="73"/>
      <c r="F141" s="195" t="str">
        <f>IF(E141="","",IF('Quantification Tool'!$C$20="Unconfined Alluvial",IF(E141&lt;=0,0, IF(E141&gt;=100,1, ROUND(IF(E141&lt;10,E141*'Reference Curves'!$C$285+'Reference Curves'!$C$286, IF(E141&lt;50,E141*'Reference Curves'!$D$285+'Reference Curves'!$D$286,E141*'Reference Curves'!$E$285+'Reference Curves'!$E$286)),2))), IF('Quantification Tool'!$C$20="Confined Alluvial",IF(E141&lt;=0,0,IF(E141&gt;=50,1,ROUND(IF(E141&lt;5,E141*'Reference Curves'!$F$285+'Reference Curves'!$F$286,IF(E141&lt;25,E141*'Reference Curves'!$G$285+'Reference Curves'!$G$286,E141*'Reference Curves'!$H$285+'Reference Curves'!$H$286)),2))))))</f>
        <v/>
      </c>
      <c r="G141" s="503"/>
      <c r="H141" s="500"/>
      <c r="I141" s="495"/>
    </row>
    <row r="142" spans="1:9" ht="15.75" x14ac:dyDescent="0.5">
      <c r="A142" s="559" t="s">
        <v>19</v>
      </c>
      <c r="B142" s="480" t="s">
        <v>20</v>
      </c>
      <c r="C142" s="23" t="s">
        <v>18</v>
      </c>
      <c r="D142" s="76"/>
      <c r="E142" s="72"/>
      <c r="F142" s="178" t="str">
        <f>IF(E142="","",IF(E142&gt;=660,1,IF(E142&lt;=430,ROUND('Reference Curves'!$K$15*E142+'Reference Curves'!$K$16,2),ROUND('Reference Curves'!$L$15*E142+'Reference Curves'!$L$16,2))))</f>
        <v/>
      </c>
      <c r="G142" s="463" t="str">
        <f>IFERROR(AVERAGE(F142:F143),"")</f>
        <v/>
      </c>
      <c r="H142" s="463" t="str">
        <f>IFERROR(ROUND(AVERAGE(G142:G155),2),"")</f>
        <v/>
      </c>
      <c r="I142" s="490" t="str">
        <f>IF(H142="","",IF(H142&gt;0.69,"Functioning",IF(H142&gt;0.29,"Functioning At Risk",IF(H142&gt;-1,"Not Functioning"))))</f>
        <v/>
      </c>
    </row>
    <row r="143" spans="1:9" ht="15.75" x14ac:dyDescent="0.5">
      <c r="A143" s="560"/>
      <c r="B143" s="482"/>
      <c r="C143" s="148" t="s">
        <v>187</v>
      </c>
      <c r="D143" s="79"/>
      <c r="E143" s="71"/>
      <c r="F143" s="177" t="str">
        <f>IF(E143="","",IF(E143&gt;=28,1,ROUND(IF(E143&lt;=13,'Reference Curves'!$K$48*E143,'Reference Curves'!$L$48*E143+'Reference Curves'!$L$49),2)))</f>
        <v/>
      </c>
      <c r="G143" s="464"/>
      <c r="H143" s="504"/>
      <c r="I143" s="491"/>
    </row>
    <row r="144" spans="1:9" ht="15.75" x14ac:dyDescent="0.5">
      <c r="A144" s="560"/>
      <c r="B144" s="547" t="s">
        <v>231</v>
      </c>
      <c r="C144" s="197" t="s">
        <v>159</v>
      </c>
      <c r="D144" s="146"/>
      <c r="E144" s="72"/>
      <c r="F144" s="178" t="str">
        <f>IF(E144="","",ROUND(IF(E144&lt;=2,0,IF(E144&gt;=9,1,IF(E144&gt;=5,E144^2*'Reference Curves'!$K$83+E144*'Reference Curves'!$K$84+'Reference Curves'!$K$85, E144*'Reference Curves'!$L$84+'Reference Curves'!$L$85))),2))</f>
        <v/>
      </c>
      <c r="G144" s="463" t="str">
        <f>IFERROR(IF(E147&gt;=50,0,AVERAGE(F144:F147)),"")</f>
        <v/>
      </c>
      <c r="H144" s="504"/>
      <c r="I144" s="491"/>
    </row>
    <row r="145" spans="1:9" ht="15.75" x14ac:dyDescent="0.5">
      <c r="A145" s="560"/>
      <c r="B145" s="481"/>
      <c r="C145" s="198" t="s">
        <v>42</v>
      </c>
      <c r="D145" s="305"/>
      <c r="E145" s="71"/>
      <c r="F145" s="179" t="str">
        <f>IF(E145="","",IF(OR(E145="Ex/Ex",E145="Ex/VH",E145="Ex/H",E145="Ex/M",E145="VH/Ex",E145="VH/VH", E145="H/Ex",E145="H/VH"),0, IF(OR(E145="M/Ex"),0.1,IF(OR(E145="VH/H",E145="VH/M",E145="H/H",E145="H/M", E145="M/VH"),0.2, IF(OR(E145="Ex/VL",E145="Ex/L", E145="M/H"),0.3, IF(OR(E145="VH/L",E145="H/L"),0.4, IF(OR(E145="VH/VL",E145="H/VL",E145="M/M"),0.5, IF(OR(E145="M/L",E145="L/Ex"),0.6, IF(OR(E145="M/VL",E145="L/VH", E145="L/H",E145="L/M",E145="L/L",E145="L/VL", LEFT(E145,2)="VL"),1)))))))))</f>
        <v/>
      </c>
      <c r="G145" s="504"/>
      <c r="H145" s="504"/>
      <c r="I145" s="491"/>
    </row>
    <row r="146" spans="1:9" ht="15.75" x14ac:dyDescent="0.5">
      <c r="A146" s="560"/>
      <c r="B146" s="481"/>
      <c r="C146" s="199" t="s">
        <v>76</v>
      </c>
      <c r="D146" s="307"/>
      <c r="E146" s="71"/>
      <c r="F146" s="179" t="str">
        <f>IF(E146="","",ROUND(IF(E146&gt;=75,0,IF(E146&lt;=5,1,IF(E146&gt;10,E146*'Reference Curves'!K$116+'Reference Curves'!K$117,'Reference Curves'!$L$116*E146+'Reference Curves'!$L$117))),2))</f>
        <v/>
      </c>
      <c r="G146" s="466"/>
      <c r="H146" s="504"/>
      <c r="I146" s="491"/>
    </row>
    <row r="147" spans="1:9" ht="15.75" x14ac:dyDescent="0.5">
      <c r="A147" s="560"/>
      <c r="B147" s="482"/>
      <c r="C147" s="200" t="s">
        <v>230</v>
      </c>
      <c r="D147" s="147"/>
      <c r="E147" s="73"/>
      <c r="F147" s="180" t="str">
        <f>IF(E147="","",IF(E147&gt;=30,0,ROUND(E147*'Reference Curves'!$K$148+'Reference Curves'!$K$149,2)))</f>
        <v/>
      </c>
      <c r="G147" s="464"/>
      <c r="H147" s="504"/>
      <c r="I147" s="491"/>
    </row>
    <row r="148" spans="1:9" ht="15.75" x14ac:dyDescent="0.5">
      <c r="A148" s="560"/>
      <c r="B148" s="480" t="s">
        <v>44</v>
      </c>
      <c r="C148" s="197" t="s">
        <v>45</v>
      </c>
      <c r="D148" s="76"/>
      <c r="E148" s="72"/>
      <c r="F148" s="82" t="str">
        <f>IF(E148="","",IF('Quantification Tool'!$C$21="Bc",IF(OR(E148&gt;=12,E148&lt;=0.1),0,IF(E148&lt;=3.4,1,ROUND('Reference Curves'!$K$278*E148+'Reference Curves'!$K$279,2))),  IF(OR('Quantification Tool'!$C$21="B",'Quantification Tool'!$C$21="Ba"),IF(OR(E148&gt;=7.5,E148&lt;=0.1),0,IF(E148&lt;=3,1,ROUND(IF(E148&gt;4,'Reference Curves'!$K$247*E148+'Reference Curves'!$K$248,'Reference Curves'!$L$247*E148+'Reference Curves'!$L$248),2))),  IF('Quantification Tool'!$C$21="Cb",IF(OR(E148&gt;=8.35,E148&lt;1.4),0,IF(AND(E148&gt;=3.7,E148&lt;=5),1,ROUND(IF(E148&lt;3.7,'Reference Curves'!$K$215*E148+'Reference Curves'!$K$216,'Reference Curves'!$L$215*E148+'Reference Curves'!$L$216),2))),  IF('Quantification Tool'!$C$21="C",IF(OR(E148&gt;=9.3,E148&lt;=3),0,IF(AND(E148&gt;=4,E148&lt;=6),1,ROUND(IF(E148&lt;4,'Reference Curves'!$K$181*E148+'Reference Curves'!$K$182,'Reference Curves'!$L$181*E148+'Reference Curves'!$L$182),2))),  IF('Quantification Tool'!$C$21="E",IF(OR(E148&gt;=8.3,E148&lt;1.85),0,IF(AND(E148&gt;=3.5,E148&lt;=5),1,ROUND(IF(E148&lt;3.5,'Reference Curves'!$K$311*E148+'Reference Curves'!$K$312,'Reference Curves'!$L$311*E148+'Reference Curves'!$L$312),2)))      ))))))</f>
        <v/>
      </c>
      <c r="G148" s="465" t="str">
        <f>IFERROR(AVERAGE(F148:F151),"")</f>
        <v/>
      </c>
      <c r="H148" s="504"/>
      <c r="I148" s="491"/>
    </row>
    <row r="149" spans="1:9" ht="15.75" x14ac:dyDescent="0.5">
      <c r="A149" s="560"/>
      <c r="B149" s="481"/>
      <c r="C149" s="198" t="s">
        <v>46</v>
      </c>
      <c r="D149" s="305"/>
      <c r="E149" s="71"/>
      <c r="F149" s="83" t="str">
        <f>IF(E149="","",IF(E149&lt;=1,0,IF(E149&gt;=3.2,1,IF(E149&gt;=2.2,ROUND('Reference Curves'!$L$343*E149+'Reference Curves'!$L$344,2),(ROUND('Reference Curves'!$K$343*E149+'Reference Curves'!$K$344,2))))))</f>
        <v/>
      </c>
      <c r="G149" s="466"/>
      <c r="H149" s="504"/>
      <c r="I149" s="491"/>
    </row>
    <row r="150" spans="1:9" ht="15.75" x14ac:dyDescent="0.5">
      <c r="A150" s="560"/>
      <c r="B150" s="481"/>
      <c r="C150" s="148" t="s">
        <v>195</v>
      </c>
      <c r="D150" s="305"/>
      <c r="E150" s="71"/>
      <c r="F150" s="360" t="str">
        <f>IF(E150="","", IF('Quantification Tool'!$C$15="","FALSE",IF('Quantification Tool'!$C$15&lt;3,IF( OR(E150&gt;=91,E150&lt;=13.5),0, IF(AND(E150&gt;49,E150&lt;61), 1, ROUND(IF(E150&lt;50,'Reference Curves'!$K$377*E150+'Reference Curves'!$K$378, IF(E150&gt;60,'Reference Curves'!$L$377*E150+'Reference Curves'!$L$378)),2))), IF('Quantification Tool'!$C$15&gt;=3,IF(OR(E150&gt;94.5,E150&lt;41.5),0, IF(AND(E150 &gt;=68, E150&lt;=78),1, ROUND(IF(E150&lt;68,'Reference Curves'!$K$411*E150+'Reference Curves'!$K$412,'Reference Curves'!$L$411*E150+'Reference Curves'!$L$412),2) ))))))</f>
        <v/>
      </c>
      <c r="G150" s="466"/>
      <c r="H150" s="504"/>
      <c r="I150" s="491"/>
    </row>
    <row r="151" spans="1:9" ht="15.75" x14ac:dyDescent="0.5">
      <c r="A151" s="560"/>
      <c r="B151" s="482"/>
      <c r="C151" s="201" t="s">
        <v>142</v>
      </c>
      <c r="D151" s="78"/>
      <c r="E151" s="73"/>
      <c r="F151" s="361" t="str">
        <f>IF(E151="","",IF(E151&gt;=1.6,0,IF(E151&lt;=1,1,ROUND('Reference Curves'!$K$442*E151^3+'Reference Curves'!$K$443*E151^2+'Reference Curves'!$K$444*E151+'Reference Curves'!$K$445,2))))</f>
        <v/>
      </c>
      <c r="G151" s="467"/>
      <c r="H151" s="504"/>
      <c r="I151" s="491"/>
    </row>
    <row r="152" spans="1:9" ht="15.75" x14ac:dyDescent="0.5">
      <c r="A152" s="560"/>
      <c r="B152" s="480" t="s">
        <v>43</v>
      </c>
      <c r="C152" s="148" t="s">
        <v>409</v>
      </c>
      <c r="D152" s="305"/>
      <c r="E152" s="72"/>
      <c r="F152" s="190" t="str">
        <f>IF( E152="","",
IF( 'Quantification Tool'!$C$20="Unconfined Alluvial", IF( E152&gt;=100,1,
ROUND('Reference Curves'!$K$479*E152+'Reference Curves'!$K$480,2) ),
IF( OR('Quantification Tool'!$C$20="Confined Alluvial", 'Quantification Tool'!$C$20="Colluvial/V-Shaped",'Quantification Tool'!$C$20="Bedrock"), ( IF(E152&gt;=100,1,
IF(E152&gt;=60, ROUND('Reference Curves'!$L$479*E152+'Reference Curves'!$L$480,2), ROUND('Reference Curves'!$M$479*E152+'Reference Curves'!$M$480,2) ) ) ) ) ) )</f>
        <v/>
      </c>
      <c r="G152" s="463" t="str">
        <f>IFERROR(AVERAGE(F152:F155),"")</f>
        <v/>
      </c>
      <c r="H152" s="504"/>
      <c r="I152" s="491"/>
    </row>
    <row r="153" spans="1:9" ht="15.75" x14ac:dyDescent="0.5">
      <c r="A153" s="560"/>
      <c r="B153" s="481"/>
      <c r="C153" s="148" t="s">
        <v>219</v>
      </c>
      <c r="D153" s="305"/>
      <c r="E153" s="71"/>
      <c r="F153" s="358" t="str">
        <f>IF( E153="","", IF('Quantification Tool'!$C$18&lt;&gt;"Woody","FALSE", IF( OR('Quantification Tool'!$C$12="Mountains",'Quantification Tool'!$C$12="Basins"),
IF(E153&lt;=0,0, IF(E153&gt;=122,1, IF(E153&lt;69, ROUND('Reference Curves'!$K$512*E153+'Reference Curves'!$K$513,2), ROUND('Reference Curves'!$L$512*E153+'Reference Curves'!$L$513,2) ) ) ),
IF('Quantification Tool'!$C$12="Plains",IF(OR(E153&lt;=0,E153&gt;111),0,IF(AND(E153&gt;=69,E153&lt;=76),1,IF(E153&lt;69,ROUND(E153*'Reference Curves'!$K$547+'Reference Curves'!$K$548,2),ROUND(E153*'Reference Curves'!$L$547+'Reference Curves'!$L$548,2))))))))</f>
        <v/>
      </c>
      <c r="G153" s="504"/>
      <c r="H153" s="504"/>
      <c r="I153" s="491"/>
    </row>
    <row r="154" spans="1:9" ht="15.75" x14ac:dyDescent="0.5">
      <c r="A154" s="560"/>
      <c r="B154" s="546"/>
      <c r="C154" s="148" t="s">
        <v>220</v>
      </c>
      <c r="D154" s="305"/>
      <c r="E154" s="71"/>
      <c r="F154" s="83" t="str">
        <f>IF(E154="","",IF('Quantification Tool'!$C$18="Herbaceous",IF(E154&lt;=34,0,IF(E154&gt;=120,1,IF(E154&gt;73,ROUND(E154*'Reference Curves'!$L$579+'Reference Curves'!$L$580,2),ROUND(E154*'Reference Curves'!$K$579+'Reference Curves'!$K$580,2))))))</f>
        <v/>
      </c>
      <c r="G154" s="466"/>
      <c r="H154" s="504"/>
      <c r="I154" s="491"/>
    </row>
    <row r="155" spans="1:9" ht="15.75" x14ac:dyDescent="0.5">
      <c r="A155" s="561"/>
      <c r="B155" s="482"/>
      <c r="C155" s="297" t="s">
        <v>229</v>
      </c>
      <c r="D155" s="308"/>
      <c r="E155" s="73"/>
      <c r="F155" s="209" t="str">
        <f>IF(E155="","",IF(E155&lt;=46,0,IF(E155&gt;=100,1,IF(AND(E155&lt;=100,E155&gt;91),ROUND(E155*'Reference Curves'!$L$611+'Reference Curves'!$L$612,2),ROUND(E155*'Reference Curves'!$K$611+'Reference Curves'!$K$612,2)))))</f>
        <v/>
      </c>
      <c r="G155" s="464"/>
      <c r="H155" s="464"/>
      <c r="I155" s="492"/>
    </row>
    <row r="156" spans="1:9" ht="15.75" x14ac:dyDescent="0.5">
      <c r="A156" s="550" t="s">
        <v>50</v>
      </c>
      <c r="B156" s="475" t="s">
        <v>71</v>
      </c>
      <c r="C156" s="207" t="s">
        <v>244</v>
      </c>
      <c r="D156" s="211"/>
      <c r="E156" s="72"/>
      <c r="F156" s="216" t="str">
        <f>IF(E156="","",IF('Quantification Tool'!$C$17="","Enter Stream Temperature",  IF('Quantification Tool'!$C$17="CS-I (MWF)",IF(E156&gt;=21.2,0,1),  IF('Quantification Tool'!$C$17="CS-I",IF(E156&gt;=21.7,0,1),  IF('Quantification Tool'!$C$17="CS-II",IF(E156&gt;=23.9,0,1),  IF('Quantification Tool'!$C$17="WS-I",IF(E156&gt;=29,0,1),  IF('Quantification Tool'!$C$17="WS-II",IF(E156&gt;=28.6,0,1), IF('Quantification Tool'!$C$17="WS-III",IF(E156&gt;=31.8,0,1)))))))))</f>
        <v/>
      </c>
      <c r="G156" s="483" t="str">
        <f>IFERROR(AVERAGE(F156:F157),"")</f>
        <v/>
      </c>
      <c r="H156" s="483" t="str">
        <f>IFERROR(ROUND(AVERAGE(G156:G159),2),"")</f>
        <v/>
      </c>
      <c r="I156" s="497" t="str">
        <f>IF(H156="","",IF(H156&gt;0.69,"Functioning",IF(H156&gt;0.29,"Functioning At Risk",IF(H156&gt;-1,"Not Functioning"))))</f>
        <v/>
      </c>
    </row>
    <row r="157" spans="1:9" ht="15.75" x14ac:dyDescent="0.5">
      <c r="A157" s="551"/>
      <c r="B157" s="477"/>
      <c r="C157" s="210" t="s">
        <v>188</v>
      </c>
      <c r="D157" s="212"/>
      <c r="E157" s="73"/>
      <c r="F157" s="181" t="str">
        <f>IF(E157="","",IF('Quantification Tool'!$C$17="","Enter Stream Temperature",  IF('Quantification Tool'!$C$17="CS-I (MWF)",IF(E157&gt;=18.3,0,IF(E157&lt;=13.8,1,ROUND(E157*'Reference Curves'!$S$20+'Reference Curves'!$S$21,2))),  IF('Quantification Tool'!$C$17="CS-I",IF(E157&gt;=17.6,0,IF(E157&lt;=15.7,1,ROUND(E157*'Reference Curves'!$T$20+'Reference Curves'!$T$21,2))),  IF('Quantification Tool'!$C$17="CS-II",IF(E157&gt;=19.1,0,IF(E157&lt;=16.6,1,ROUND(E157*'Reference Curves'!$U$20+'Reference Curves'!$U$21,2))),  IF('Quantification Tool'!$C$17="WS-I",IF(E157&gt;=25.7,0,IF(E157&lt;=20.9,1,ROUND(E157*'Reference Curves'!$V$20+'Reference Curves'!$V$21,2))),  IF('Quantification Tool'!$C$17="WS-II",IF(E157&gt;=29.7,0,IF(E157&lt;=22.5,1,ROUND(E157*'Reference Curves'!$W$20+'Reference Curves'!$W$21,2))), IF('Quantification Tool'!$C$17="WS-III",IF(E157&gt;=30,0,IF(E157&lt;=25.9,1,ROUND(E157*'Reference Curves'!$X$20+'Reference Curves'!$X$21,2)))    ))))))))</f>
        <v/>
      </c>
      <c r="G157" s="484"/>
      <c r="H157" s="506"/>
      <c r="I157" s="497"/>
    </row>
    <row r="158" spans="1:9" ht="15.75" x14ac:dyDescent="0.5">
      <c r="A158" s="551"/>
      <c r="B158" s="208" t="s">
        <v>242</v>
      </c>
      <c r="C158" s="316" t="s">
        <v>243</v>
      </c>
      <c r="D158" s="301"/>
      <c r="E158" s="71"/>
      <c r="F158" s="181" t="str">
        <f>IF(E158="","",ROUND( IF(E158&lt;=6,0, IF(E158&gt;=10.31,1,E158*'Reference Curves'!$S$52+'Reference Curves'!$S$53)),2))</f>
        <v/>
      </c>
      <c r="G158" s="86" t="str">
        <f>IFERROR(AVERAGE(F158),"")</f>
        <v/>
      </c>
      <c r="H158" s="506"/>
      <c r="I158" s="497"/>
    </row>
    <row r="159" spans="1:9" ht="15.75" x14ac:dyDescent="0.5">
      <c r="A159" s="552"/>
      <c r="B159" s="278" t="s">
        <v>158</v>
      </c>
      <c r="C159" s="24" t="s">
        <v>421</v>
      </c>
      <c r="D159" s="318"/>
      <c r="E159" s="54"/>
      <c r="F159" s="181" t="str">
        <f>IF(E159="","",IF(OR('Quantification Tool'!$C$13=3),IF(E159&gt;=150,0,IF(E159&lt;=16,1,ROUND('Reference Curves'!$S$87*LN(E159)+'Reference Curves'!$S$88,2))), IF(OR('Quantification Tool'!$C$13=1,'Quantification Tool'!$C$13=2),  IF(E159&gt;=97,0,IF(E159&lt;=12,1,ROUND('Reference Curves'!$T$87*LN(E159)+'Reference Curves'!$T$88,2))))))</f>
        <v/>
      </c>
      <c r="G159" s="86" t="str">
        <f>IFERROR(AVERAGE(F159),"")</f>
        <v/>
      </c>
      <c r="H159" s="484"/>
      <c r="I159" s="497"/>
    </row>
    <row r="160" spans="1:9" ht="15.75" x14ac:dyDescent="0.5">
      <c r="A160" s="553" t="s">
        <v>51</v>
      </c>
      <c r="B160" s="282" t="s">
        <v>132</v>
      </c>
      <c r="C160" s="317" t="s">
        <v>249</v>
      </c>
      <c r="D160" s="306"/>
      <c r="E160" s="72"/>
      <c r="F160" s="218" t="str">
        <f>IF(E160="","",IF('Quantification Tool'!$C$13="","Enter Biotype",IF('Quantification Tool'!$C$13=1,IF(E160&lt;=0,0,IF(E160&gt;=57,1,ROUND(IF(E160&lt;=34,'Reference Curves'!$AB$18*E160+'Reference Curves'!$AB$19,  IF(E160&lt;=45, 'Reference Curves'!$AC$18*E160+'Reference Curves'!$AC$19,  'Reference Curves'!$AD$18*E160+'Reference Curves'!$AD$19)),2))),   IF('Quantification Tool'!$C$13=2,IF(E160&lt;=0,0,IF(E160&gt;=63,1,ROUND(IF(E160&lt;=40,'Reference Curves'!$AE$18*E160+'Reference Curves'!$AE$19,  IF(E160&lt;=48,'Reference Curves'!$AF$18*E160+'Reference Curves'!$AF$19,  'Reference Curves'!$AG$18*E160+'Reference Curves'!$AG$19)),2))),   IF(OR('Quantification Tool'!$C$13=3),IF(E160&lt;=0,0,IF(E160&gt;=52,1,ROUND(IF(E160&lt;=29,'Reference Curves'!$AH$18*E160+'Reference Curves'!$AH$19, IF(E160&lt;=42, 'Reference Curves'!$AI$18*E160+'Reference Curves'!$AI$19,  'Reference Curves'!$AJ$18*E160+'Reference Curves'!$AJ$19)),2))))))))</f>
        <v/>
      </c>
      <c r="G160" s="89" t="str">
        <f>IFERROR(AVERAGE(F160),"")</f>
        <v/>
      </c>
      <c r="H160" s="505" t="str">
        <f>IFERROR(ROUND(AVERAGE(G160:G163),2),"")</f>
        <v/>
      </c>
      <c r="I160" s="497" t="str">
        <f>IF(H160="","",IF(H160&gt;0.69,"Functioning",IF(H160&gt;0.29,"Functioning At Risk",IF(H160&gt;-1,"Not Functioning"))))</f>
        <v/>
      </c>
    </row>
    <row r="161" spans="1:9" ht="15.75" x14ac:dyDescent="0.5">
      <c r="A161" s="554"/>
      <c r="B161" s="556" t="s">
        <v>66</v>
      </c>
      <c r="C161" s="40" t="s">
        <v>190</v>
      </c>
      <c r="D161" s="88"/>
      <c r="E161" s="72"/>
      <c r="F161" s="89" t="str">
        <f>IF(E161="","",IF(E161&lt;=0,0,IF(E161&gt;=100,1,ROUND(IF(E161&lt;80,E161*'Reference Curves'!$AB$53+'Reference Curves'!$AB$54,E161*'Reference Curves'!$AC$53+'Reference Curves'!$AC$54),2))))</f>
        <v/>
      </c>
      <c r="G161" s="460" t="str">
        <f>IFERROR(AVERAGE(F161:F163),"")</f>
        <v/>
      </c>
      <c r="H161" s="505"/>
      <c r="I161" s="497"/>
    </row>
    <row r="162" spans="1:9" ht="15.75" x14ac:dyDescent="0.5">
      <c r="A162" s="554"/>
      <c r="B162" s="557"/>
      <c r="C162" s="41" t="s">
        <v>191</v>
      </c>
      <c r="D162" s="306"/>
      <c r="E162" s="71"/>
      <c r="F162" s="89" t="str">
        <f>IF(E162="","",ROUND(IF(E162&gt;=3,0,IF(E162&gt;=2,0.3,IF(E162&gt;=1,0.69,1))),2))</f>
        <v/>
      </c>
      <c r="G162" s="461"/>
      <c r="H162" s="505"/>
      <c r="I162" s="497"/>
    </row>
    <row r="163" spans="1:9" ht="15.75" x14ac:dyDescent="0.5">
      <c r="A163" s="555"/>
      <c r="B163" s="558"/>
      <c r="C163" s="27" t="s">
        <v>268</v>
      </c>
      <c r="D163" s="319"/>
      <c r="E163" s="73"/>
      <c r="F163" s="87" t="str">
        <f>IF(E163="","",IF('Quantification Tool'!$C$19="","Enter Stream Producitvity Rating",IF('Quantification Tool'!$C$19="High",IF(E163&lt;5,0,IF(E163&gt;=40,1,ROUND(E163*'Reference Curves'!$AB$89+'Reference Curves'!$AB$90,2))),IF('Quantification Tool'!$C$19="Moderate",IF(E163&lt;10,0,IF(E163&gt;=80,1,ROUND(E163*'Reference Curves'!$AC$89+'Reference Curves'!$AC$90,2))),IF('Quantification Tool'!$C$19="Low",IF(E163&lt;15,0,IF(E163&gt;=119,1,ROUND(E163*'Reference Curves'!$AD$89+'Reference Curves'!$AD$90,2)))   )))))</f>
        <v/>
      </c>
      <c r="G163" s="462"/>
      <c r="H163" s="505"/>
      <c r="I163" s="497"/>
    </row>
    <row r="165" spans="1:9" ht="13.9" customHeight="1" x14ac:dyDescent="0.45"/>
    <row r="166" spans="1:9" ht="21" x14ac:dyDescent="0.65">
      <c r="A166" s="365" t="s">
        <v>114</v>
      </c>
      <c r="B166" s="185"/>
      <c r="C166" s="186" t="s">
        <v>212</v>
      </c>
      <c r="D166" s="548"/>
      <c r="E166" s="548"/>
      <c r="F166" s="549"/>
      <c r="G166" s="487" t="s">
        <v>334</v>
      </c>
      <c r="H166" s="488"/>
      <c r="I166" s="489"/>
    </row>
    <row r="167" spans="1:9" ht="15.75" x14ac:dyDescent="0.5">
      <c r="A167" s="290" t="s">
        <v>1</v>
      </c>
      <c r="B167" s="39" t="s">
        <v>2</v>
      </c>
      <c r="C167" s="173" t="s">
        <v>3</v>
      </c>
      <c r="D167" s="174"/>
      <c r="E167" s="39" t="s">
        <v>12</v>
      </c>
      <c r="F167" s="39" t="s">
        <v>13</v>
      </c>
      <c r="G167" s="39" t="s">
        <v>14</v>
      </c>
      <c r="H167" s="39" t="s">
        <v>15</v>
      </c>
      <c r="I167" s="290" t="s">
        <v>15</v>
      </c>
    </row>
    <row r="168" spans="1:9" ht="15.75" x14ac:dyDescent="0.5">
      <c r="A168" s="446" t="s">
        <v>186</v>
      </c>
      <c r="B168" s="538" t="s">
        <v>107</v>
      </c>
      <c r="C168" s="153" t="s">
        <v>185</v>
      </c>
      <c r="D168" s="154"/>
      <c r="E168" s="72"/>
      <c r="F168" s="234" t="str">
        <f>IF(E168="","",IF(E168&gt;=78,0,IF(E168&lt;=55,1,ROUND(E168*'Reference Curves'!$C$14+'Reference Curves'!$C$15,2))))</f>
        <v/>
      </c>
      <c r="G168" s="498" t="str">
        <f>IFERROR(AVERAGE(F168:F169),"")</f>
        <v/>
      </c>
      <c r="H168" s="498" t="str">
        <f>IFERROR(ROUND(AVERAGE(G168:G174),2),"")</f>
        <v/>
      </c>
      <c r="I168" s="493" t="str">
        <f>IF(H168="","",IF(H168:H174&gt;0.69,"Functioning",IF(H168&gt;0.29,"Functioning At Risk",IF(H168&gt;-1,"Not Functioning"))))</f>
        <v/>
      </c>
    </row>
    <row r="169" spans="1:9" ht="15.75" x14ac:dyDescent="0.5">
      <c r="A169" s="447"/>
      <c r="B169" s="539"/>
      <c r="C169" s="217" t="s">
        <v>303</v>
      </c>
      <c r="D169" s="74"/>
      <c r="E169" s="71"/>
      <c r="F169" s="235" t="str">
        <f>IF(E169="","",   IF(E169&gt;3.2,0, IF(E169&lt;0, "", ROUND('Reference Curves'!$C$44*E169+'Reference Curves'!$C$45,2))))</f>
        <v/>
      </c>
      <c r="G169" s="499"/>
      <c r="H169" s="499"/>
      <c r="I169" s="494"/>
    </row>
    <row r="170" spans="1:9" ht="15.75" x14ac:dyDescent="0.5">
      <c r="A170" s="447"/>
      <c r="B170" s="545" t="s">
        <v>250</v>
      </c>
      <c r="C170" s="230" t="s">
        <v>329</v>
      </c>
      <c r="D170" s="227"/>
      <c r="E170" s="228"/>
      <c r="F170" s="251" t="s">
        <v>253</v>
      </c>
      <c r="G170" s="498" t="str">
        <f>IFERROR(IF(AND(ISNUMBER(E170),E170&lt;1),0,AVERAGE(F170:F171)),"")</f>
        <v/>
      </c>
      <c r="H170" s="499"/>
      <c r="I170" s="494"/>
    </row>
    <row r="171" spans="1:9" ht="15.75" x14ac:dyDescent="0.5">
      <c r="A171" s="447"/>
      <c r="B171" s="540"/>
      <c r="C171" s="231" t="s">
        <v>251</v>
      </c>
      <c r="D171" s="226"/>
      <c r="E171" s="194"/>
      <c r="F171" s="245" t="str">
        <f>IF(E171="","", IF('Quantification Tool'!$C$17= "CS-II", ROUND(IF(E171&lt;=0.6,0, IF(E171&gt;=2.3,1,E171*'Reference Curves'!$E$78+'Reference Curves'!$E$79)),2),
IF(AND('Quantification Tool'!$C$14&lt;20,LEFT('Quantification Tool'!$C$17,2)="CS"),ROUND(IF(E171&lt;=0.2,0, IF(E171&gt;=1,1,E171*'Reference Curves'!$C$78+'Reference Curves'!$C$79)),2),
 IF(AND('Quantification Tool'!$C$14&gt;=20,LEFT('Quantification Tool'!$C$17,2)= "CS"), ROUND(IF(E171&lt;=0.4,0, IF(E171&gt;=1.5,1,E171*'Reference Curves'!$D$78+'Reference Curves'!$D$79)),2) ))))</f>
        <v/>
      </c>
      <c r="G171" s="500"/>
      <c r="H171" s="499"/>
      <c r="I171" s="494"/>
    </row>
    <row r="172" spans="1:9" ht="15.75" x14ac:dyDescent="0.5">
      <c r="A172" s="447"/>
      <c r="B172" s="539" t="s">
        <v>5</v>
      </c>
      <c r="C172" s="332" t="s">
        <v>6</v>
      </c>
      <c r="D172" s="154"/>
      <c r="E172" s="71"/>
      <c r="F172" s="196" t="str">
        <f>IF(E172="","",
IF(E172&gt;1.71,0,IF( E172&gt;1,ROUND(E172*'Reference Curves'!D$113+'Reference Curves'!D$114,2),
IF( 'Quantification Tool'!C$22="Transport", ROUND(IF( E172&lt;0.35,0, E172*'Reference Curves'!$C$113+'Reference Curves'!$C$114 ),2), 1 ))))</f>
        <v/>
      </c>
      <c r="G172" s="502" t="str">
        <f>IFERROR(AVERAGE(F172:F174),"")</f>
        <v/>
      </c>
      <c r="H172" s="499"/>
      <c r="I172" s="494"/>
    </row>
    <row r="173" spans="1:9" ht="15.75" x14ac:dyDescent="0.5">
      <c r="A173" s="447"/>
      <c r="B173" s="539"/>
      <c r="C173" s="155" t="s">
        <v>7</v>
      </c>
      <c r="D173" s="281"/>
      <c r="E173" s="71"/>
      <c r="F173" s="196" t="str">
        <f>IF(E173="","",IF(OR(LEFT( 'Quantification Tool'!C$21,1)="A",LEFT( 'Quantification Tool'!C$21,1)="B"),IF(E173&lt;1.05,0,IF(E173&gt;=2.2,1,ROUND(IF(E173&lt;1.4,E173*'Reference Curves'!$C$250+'Reference Curves'!$C$251,E173*'Reference Curves'!$D$250+'Reference Curves'!$D$251),2))),                                                                                                                                                                                      IF( 'Quantification Tool'!C$21="C",IF(E173&lt;1.7,0,IF(E173&gt;=4.2,1,ROUND(IF(E173&lt;2.4,E173*'Reference Curves'!$D$147+'Reference Curves'!$D$148,E173*'Reference Curves'!$C$147+'Reference Curves'!$C$148),2))),                                                                                                                                                                                                                    IF( 'Quantification Tool'!C$21="Cb",IF(E173&lt;1.7,0,IF(E173&gt;=3.9,1,ROUND(IF(E173&lt;2.4,E173*'Reference Curves'!$D$181+'Reference Curves'!$D$182,E173*'Reference Curves'!$C$181+'Reference Curves'!$C$182),2))),
IF(LEFT( 'Quantification Tool'!C$21,1)="E",IF(E173&lt;1.7,0,IF(E173&gt;=6.7,1,ROUND(IF(E173&lt;2.4,E173*'Reference Curves'!$D$215+'Reference Curves'!$D$216,E173*'Reference Curves'!$C$215+'Reference Curves'!$C$216),2))))))))</f>
        <v/>
      </c>
      <c r="G173" s="502"/>
      <c r="H173" s="499"/>
      <c r="I173" s="494"/>
    </row>
    <row r="174" spans="1:9" ht="15.6" customHeight="1" x14ac:dyDescent="0.5">
      <c r="A174" s="448"/>
      <c r="B174" s="540"/>
      <c r="C174" s="252" t="s">
        <v>283</v>
      </c>
      <c r="D174" s="75"/>
      <c r="E174" s="73"/>
      <c r="F174" s="195" t="str">
        <f>IF(E174="","",IF('Quantification Tool'!$C$20="Unconfined Alluvial",IF(E174&lt;=0,0, IF(E174&gt;=100,1, ROUND(IF(E174&lt;10,E174*'Reference Curves'!$C$285+'Reference Curves'!$C$286, IF(E174&lt;50,E174*'Reference Curves'!$D$285+'Reference Curves'!$D$286,E174*'Reference Curves'!$E$285+'Reference Curves'!$E$286)),2))), IF('Quantification Tool'!$C$20="Confined Alluvial",IF(E174&lt;=0,0,IF(E174&gt;=50,1,ROUND(IF(E174&lt;5,E174*'Reference Curves'!$F$285+'Reference Curves'!$F$286,IF(E174&lt;25,E174*'Reference Curves'!$G$285+'Reference Curves'!$G$286,E174*'Reference Curves'!$H$285+'Reference Curves'!$H$286)),2))))))</f>
        <v/>
      </c>
      <c r="G174" s="503"/>
      <c r="H174" s="500"/>
      <c r="I174" s="495"/>
    </row>
    <row r="175" spans="1:9" ht="15.75" x14ac:dyDescent="0.5">
      <c r="A175" s="559" t="s">
        <v>19</v>
      </c>
      <c r="B175" s="480" t="s">
        <v>20</v>
      </c>
      <c r="C175" s="23" t="s">
        <v>18</v>
      </c>
      <c r="D175" s="76"/>
      <c r="E175" s="72"/>
      <c r="F175" s="178" t="str">
        <f>IF(E175="","",IF(E175&gt;=660,1,IF(E175&lt;=430,ROUND('Reference Curves'!$K$15*E175+'Reference Curves'!$K$16,2),ROUND('Reference Curves'!$L$15*E175+'Reference Curves'!$L$16,2))))</f>
        <v/>
      </c>
      <c r="G175" s="463" t="str">
        <f>IFERROR(AVERAGE(F175:F176),"")</f>
        <v/>
      </c>
      <c r="H175" s="463" t="str">
        <f>IFERROR(ROUND(AVERAGE(G175:G188),2),"")</f>
        <v/>
      </c>
      <c r="I175" s="490" t="str">
        <f>IF(H175="","",IF(H175&gt;0.69,"Functioning",IF(H175&gt;0.29,"Functioning At Risk",IF(H175&gt;-1,"Not Functioning"))))</f>
        <v/>
      </c>
    </row>
    <row r="176" spans="1:9" ht="15.75" x14ac:dyDescent="0.5">
      <c r="A176" s="560"/>
      <c r="B176" s="482"/>
      <c r="C176" s="148" t="s">
        <v>187</v>
      </c>
      <c r="D176" s="79"/>
      <c r="E176" s="71"/>
      <c r="F176" s="177" t="str">
        <f>IF(E176="","",IF(E176&gt;=28,1,ROUND(IF(E176&lt;=13,'Reference Curves'!$K$48*E176,'Reference Curves'!$L$48*E176+'Reference Curves'!$L$49),2)))</f>
        <v/>
      </c>
      <c r="G176" s="464"/>
      <c r="H176" s="504"/>
      <c r="I176" s="491"/>
    </row>
    <row r="177" spans="1:9" ht="15.75" x14ac:dyDescent="0.5">
      <c r="A177" s="560"/>
      <c r="B177" s="547" t="s">
        <v>231</v>
      </c>
      <c r="C177" s="197" t="s">
        <v>159</v>
      </c>
      <c r="D177" s="146"/>
      <c r="E177" s="72"/>
      <c r="F177" s="178" t="str">
        <f>IF(E177="","",ROUND(IF(E177&lt;=2,0,IF(E177&gt;=9,1,IF(E177&gt;=5,E177^2*'Reference Curves'!$K$83+E177*'Reference Curves'!$K$84+'Reference Curves'!$K$85, E177*'Reference Curves'!$L$84+'Reference Curves'!$L$85))),2))</f>
        <v/>
      </c>
      <c r="G177" s="463" t="str">
        <f>IFERROR(IF(E180&gt;=50,0,AVERAGE(F177:F180)),"")</f>
        <v/>
      </c>
      <c r="H177" s="504"/>
      <c r="I177" s="491"/>
    </row>
    <row r="178" spans="1:9" ht="15.75" x14ac:dyDescent="0.5">
      <c r="A178" s="560"/>
      <c r="B178" s="481"/>
      <c r="C178" s="198" t="s">
        <v>42</v>
      </c>
      <c r="D178" s="305"/>
      <c r="E178" s="71"/>
      <c r="F178" s="179" t="str">
        <f>IF(E178="","",IF(OR(E178="Ex/Ex",E178="Ex/VH",E178="Ex/H",E178="Ex/M",E178="VH/Ex",E178="VH/VH", E178="H/Ex",E178="H/VH"),0, IF(OR(E178="M/Ex"),0.1,IF(OR(E178="VH/H",E178="VH/M",E178="H/H",E178="H/M", E178="M/VH"),0.2, IF(OR(E178="Ex/VL",E178="Ex/L", E178="M/H"),0.3, IF(OR(E178="VH/L",E178="H/L"),0.4, IF(OR(E178="VH/VL",E178="H/VL",E178="M/M"),0.5, IF(OR(E178="M/L",E178="L/Ex"),0.6, IF(OR(E178="M/VL",E178="L/VH", E178="L/H",E178="L/M",E178="L/L",E178="L/VL", LEFT(E178,2)="VL"),1)))))))))</f>
        <v/>
      </c>
      <c r="G178" s="504"/>
      <c r="H178" s="504"/>
      <c r="I178" s="491"/>
    </row>
    <row r="179" spans="1:9" ht="15.75" x14ac:dyDescent="0.5">
      <c r="A179" s="560"/>
      <c r="B179" s="481"/>
      <c r="C179" s="199" t="s">
        <v>76</v>
      </c>
      <c r="D179" s="307"/>
      <c r="E179" s="71"/>
      <c r="F179" s="179" t="str">
        <f>IF(E179="","",ROUND(IF(E179&gt;=75,0,IF(E179&lt;=5,1,IF(E179&gt;10,E179*'Reference Curves'!K$116+'Reference Curves'!K$117,'Reference Curves'!$L$116*E179+'Reference Curves'!$L$117))),2))</f>
        <v/>
      </c>
      <c r="G179" s="466"/>
      <c r="H179" s="504"/>
      <c r="I179" s="491"/>
    </row>
    <row r="180" spans="1:9" ht="15.75" x14ac:dyDescent="0.5">
      <c r="A180" s="560"/>
      <c r="B180" s="482"/>
      <c r="C180" s="200" t="s">
        <v>230</v>
      </c>
      <c r="D180" s="147"/>
      <c r="E180" s="73"/>
      <c r="F180" s="180" t="str">
        <f>IF(E180="","",IF(E180&gt;=30,0,ROUND(E180*'Reference Curves'!$K$148+'Reference Curves'!$K$149,2)))</f>
        <v/>
      </c>
      <c r="G180" s="464"/>
      <c r="H180" s="504"/>
      <c r="I180" s="491"/>
    </row>
    <row r="181" spans="1:9" ht="15.75" x14ac:dyDescent="0.5">
      <c r="A181" s="560"/>
      <c r="B181" s="480" t="s">
        <v>44</v>
      </c>
      <c r="C181" s="197" t="s">
        <v>45</v>
      </c>
      <c r="D181" s="76"/>
      <c r="E181" s="72"/>
      <c r="F181" s="82" t="str">
        <f>IF(E181="","",IF('Quantification Tool'!$C$21="Bc",IF(OR(E181&gt;=12,E181&lt;=0.1),0,IF(E181&lt;=3.4,1,ROUND('Reference Curves'!$K$278*E181+'Reference Curves'!$K$279,2))),  IF(OR('Quantification Tool'!$C$21="B",'Quantification Tool'!$C$21="Ba"),IF(OR(E181&gt;=7.5,E181&lt;=0.1),0,IF(E181&lt;=3,1,ROUND(IF(E181&gt;4,'Reference Curves'!$K$247*E181+'Reference Curves'!$K$248,'Reference Curves'!$L$247*E181+'Reference Curves'!$L$248),2))),  IF('Quantification Tool'!$C$21="Cb",IF(OR(E181&gt;=8.35,E181&lt;1.4),0,IF(AND(E181&gt;=3.7,E181&lt;=5),1,ROUND(IF(E181&lt;3.7,'Reference Curves'!$K$215*E181+'Reference Curves'!$K$216,'Reference Curves'!$L$215*E181+'Reference Curves'!$L$216),2))),  IF('Quantification Tool'!$C$21="C",IF(OR(E181&gt;=9.3,E181&lt;=3),0,IF(AND(E181&gt;=4,E181&lt;=6),1,ROUND(IF(E181&lt;4,'Reference Curves'!$K$181*E181+'Reference Curves'!$K$182,'Reference Curves'!$L$181*E181+'Reference Curves'!$L$182),2))),  IF('Quantification Tool'!$C$21="E",IF(OR(E181&gt;=8.3,E181&lt;1.85),0,IF(AND(E181&gt;=3.5,E181&lt;=5),1,ROUND(IF(E181&lt;3.5,'Reference Curves'!$K$311*E181+'Reference Curves'!$K$312,'Reference Curves'!$L$311*E181+'Reference Curves'!$L$312),2)))      ))))))</f>
        <v/>
      </c>
      <c r="G181" s="465" t="str">
        <f>IFERROR(AVERAGE(F181:F184),"")</f>
        <v/>
      </c>
      <c r="H181" s="504"/>
      <c r="I181" s="491"/>
    </row>
    <row r="182" spans="1:9" ht="15.75" x14ac:dyDescent="0.5">
      <c r="A182" s="560"/>
      <c r="B182" s="481"/>
      <c r="C182" s="198" t="s">
        <v>46</v>
      </c>
      <c r="D182" s="305"/>
      <c r="E182" s="71"/>
      <c r="F182" s="83" t="str">
        <f>IF(E182="","",IF(E182&lt;=1,0,IF(E182&gt;=3.2,1,IF(E182&gt;=2.2,ROUND('Reference Curves'!$L$343*E182+'Reference Curves'!$L$344,2),(ROUND('Reference Curves'!$K$343*E182+'Reference Curves'!$K$344,2))))))</f>
        <v/>
      </c>
      <c r="G182" s="466"/>
      <c r="H182" s="504"/>
      <c r="I182" s="491"/>
    </row>
    <row r="183" spans="1:9" ht="15.75" x14ac:dyDescent="0.5">
      <c r="A183" s="560"/>
      <c r="B183" s="481"/>
      <c r="C183" s="148" t="s">
        <v>195</v>
      </c>
      <c r="D183" s="305"/>
      <c r="E183" s="71"/>
      <c r="F183" s="360" t="str">
        <f>IF(E183="","", IF('Quantification Tool'!$C$15="","FALSE",IF('Quantification Tool'!$C$15&lt;3,IF( OR(E183&gt;=91,E183&lt;=13.5),0, IF(AND(E183&gt;49,E183&lt;61), 1, ROUND(IF(E183&lt;50,'Reference Curves'!$K$377*E183+'Reference Curves'!$K$378, IF(E183&gt;60,'Reference Curves'!$L$377*E183+'Reference Curves'!$L$378)),2))), IF('Quantification Tool'!$C$15&gt;=3,IF(OR(E183&gt;94.5,E183&lt;41.5),0, IF(AND(E183 &gt;=68, E183&lt;=78),1, ROUND(IF(E183&lt;68,'Reference Curves'!$K$411*E183+'Reference Curves'!$K$412,'Reference Curves'!$L$411*E183+'Reference Curves'!$L$412),2) ))))))</f>
        <v/>
      </c>
      <c r="G183" s="466"/>
      <c r="H183" s="504"/>
      <c r="I183" s="491"/>
    </row>
    <row r="184" spans="1:9" ht="15.75" x14ac:dyDescent="0.5">
      <c r="A184" s="560"/>
      <c r="B184" s="482"/>
      <c r="C184" s="201" t="s">
        <v>142</v>
      </c>
      <c r="D184" s="78"/>
      <c r="E184" s="73"/>
      <c r="F184" s="361" t="str">
        <f>IF(E184="","",IF(E184&gt;=1.6,0,IF(E184&lt;=1,1,ROUND('Reference Curves'!$K$442*E184^3+'Reference Curves'!$K$443*E184^2+'Reference Curves'!$K$444*E184+'Reference Curves'!$K$445,2))))</f>
        <v/>
      </c>
      <c r="G184" s="467"/>
      <c r="H184" s="504"/>
      <c r="I184" s="491"/>
    </row>
    <row r="185" spans="1:9" ht="15.75" x14ac:dyDescent="0.5">
      <c r="A185" s="560"/>
      <c r="B185" s="480" t="s">
        <v>43</v>
      </c>
      <c r="C185" s="148" t="s">
        <v>409</v>
      </c>
      <c r="D185" s="305"/>
      <c r="E185" s="72"/>
      <c r="F185" s="190" t="str">
        <f>IF( E185="","",
IF( 'Quantification Tool'!$C$20="Unconfined Alluvial", IF( E185&gt;=100,1,
ROUND('Reference Curves'!$K$479*E185+'Reference Curves'!$K$480,2) ),
IF( OR('Quantification Tool'!$C$20="Confined Alluvial", 'Quantification Tool'!$C$20="Colluvial/V-Shaped",'Quantification Tool'!$C$20="Bedrock"), ( IF(E185&gt;=100,1,
IF(E185&gt;=60, ROUND('Reference Curves'!$L$479*E185+'Reference Curves'!$L$480,2), ROUND('Reference Curves'!$M$479*E185+'Reference Curves'!$M$480,2) ) ) ) ) ) )</f>
        <v/>
      </c>
      <c r="G185" s="463" t="str">
        <f>IFERROR(AVERAGE(F185:F188),"")</f>
        <v/>
      </c>
      <c r="H185" s="504"/>
      <c r="I185" s="491"/>
    </row>
    <row r="186" spans="1:9" ht="15.75" x14ac:dyDescent="0.5">
      <c r="A186" s="560"/>
      <c r="B186" s="481"/>
      <c r="C186" s="148" t="s">
        <v>219</v>
      </c>
      <c r="D186" s="305"/>
      <c r="E186" s="71"/>
      <c r="F186" s="358" t="str">
        <f>IF( E186="","", IF('Quantification Tool'!$C$18&lt;&gt;"Woody","FALSE", IF( OR('Quantification Tool'!$C$12="Mountains",'Quantification Tool'!$C$12="Basins"),
IF(E186&lt;=0,0, IF(E186&gt;=122,1, IF(E186&lt;69, ROUND('Reference Curves'!$K$512*E186+'Reference Curves'!$K$513,2), ROUND('Reference Curves'!$L$512*E186+'Reference Curves'!$L$513,2) ) ) ),
IF('Quantification Tool'!$C$12="Plains",IF(OR(E186&lt;=0,E186&gt;111),0,IF(AND(E186&gt;=69,E186&lt;=76),1,IF(E186&lt;69,ROUND(E186*'Reference Curves'!$K$547+'Reference Curves'!$K$548,2),ROUND(E186*'Reference Curves'!$L$547+'Reference Curves'!$L$548,2))))))))</f>
        <v/>
      </c>
      <c r="G186" s="504"/>
      <c r="H186" s="504"/>
      <c r="I186" s="491"/>
    </row>
    <row r="187" spans="1:9" ht="15.75" x14ac:dyDescent="0.5">
      <c r="A187" s="560"/>
      <c r="B187" s="546"/>
      <c r="C187" s="148" t="s">
        <v>220</v>
      </c>
      <c r="D187" s="305"/>
      <c r="E187" s="71"/>
      <c r="F187" s="83" t="str">
        <f>IF(E187="","",IF('Quantification Tool'!$C$18="Herbaceous",IF(E187&lt;=34,0,IF(E187&gt;=120,1,IF(E187&gt;73,ROUND(E187*'Reference Curves'!$L$579+'Reference Curves'!$L$580,2),ROUND(E187*'Reference Curves'!$K$579+'Reference Curves'!$K$580,2))))))</f>
        <v/>
      </c>
      <c r="G187" s="466"/>
      <c r="H187" s="504"/>
      <c r="I187" s="491"/>
    </row>
    <row r="188" spans="1:9" ht="15.75" x14ac:dyDescent="0.5">
      <c r="A188" s="561"/>
      <c r="B188" s="482"/>
      <c r="C188" s="297" t="s">
        <v>229</v>
      </c>
      <c r="D188" s="308"/>
      <c r="E188" s="73"/>
      <c r="F188" s="209" t="str">
        <f>IF(E188="","",IF(E188&lt;=46,0,IF(E188&gt;=100,1,IF(AND(E188&lt;=100,E188&gt;91),ROUND(E188*'Reference Curves'!$L$611+'Reference Curves'!$L$612,2),ROUND(E188*'Reference Curves'!$K$611+'Reference Curves'!$K$612,2)))))</f>
        <v/>
      </c>
      <c r="G188" s="464"/>
      <c r="H188" s="464"/>
      <c r="I188" s="492"/>
    </row>
    <row r="189" spans="1:9" ht="15.75" x14ac:dyDescent="0.5">
      <c r="A189" s="550" t="s">
        <v>50</v>
      </c>
      <c r="B189" s="475" t="s">
        <v>71</v>
      </c>
      <c r="C189" s="207" t="s">
        <v>244</v>
      </c>
      <c r="D189" s="211"/>
      <c r="E189" s="72"/>
      <c r="F189" s="216" t="str">
        <f>IF(E189="","",IF('Quantification Tool'!$C$17="","Enter Stream Temperature",  IF('Quantification Tool'!$C$17="CS-I (MWF)",IF(E189&gt;=21.2,0,1),  IF('Quantification Tool'!$C$17="CS-I",IF(E189&gt;=21.7,0,1),  IF('Quantification Tool'!$C$17="CS-II",IF(E189&gt;=23.9,0,1),  IF('Quantification Tool'!$C$17="WS-I",IF(E189&gt;=29,0,1),  IF('Quantification Tool'!$C$17="WS-II",IF(E189&gt;=28.6,0,1), IF('Quantification Tool'!$C$17="WS-III",IF(E189&gt;=31.8,0,1)))))))))</f>
        <v/>
      </c>
      <c r="G189" s="483" t="str">
        <f>IFERROR(AVERAGE(F189:F190),"")</f>
        <v/>
      </c>
      <c r="H189" s="483" t="str">
        <f>IFERROR(ROUND(AVERAGE(G189:G192),2),"")</f>
        <v/>
      </c>
      <c r="I189" s="497" t="str">
        <f>IF(H189="","",IF(H189&gt;0.69,"Functioning",IF(H189&gt;0.29,"Functioning At Risk",IF(H189&gt;-1,"Not Functioning"))))</f>
        <v/>
      </c>
    </row>
    <row r="190" spans="1:9" ht="15.75" x14ac:dyDescent="0.5">
      <c r="A190" s="551"/>
      <c r="B190" s="477"/>
      <c r="C190" s="210" t="s">
        <v>188</v>
      </c>
      <c r="D190" s="212"/>
      <c r="E190" s="73"/>
      <c r="F190" s="181" t="str">
        <f>IF(E190="","",IF('Quantification Tool'!$C$17="","Enter Stream Temperature",  IF('Quantification Tool'!$C$17="CS-I (MWF)",IF(E190&gt;=18.3,0,IF(E190&lt;=13.8,1,ROUND(E190*'Reference Curves'!$S$20+'Reference Curves'!$S$21,2))),  IF('Quantification Tool'!$C$17="CS-I",IF(E190&gt;=17.6,0,IF(E190&lt;=15.7,1,ROUND(E190*'Reference Curves'!$T$20+'Reference Curves'!$T$21,2))),  IF('Quantification Tool'!$C$17="CS-II",IF(E190&gt;=19.1,0,IF(E190&lt;=16.6,1,ROUND(E190*'Reference Curves'!$U$20+'Reference Curves'!$U$21,2))),  IF('Quantification Tool'!$C$17="WS-I",IF(E190&gt;=25.7,0,IF(E190&lt;=20.9,1,ROUND(E190*'Reference Curves'!$V$20+'Reference Curves'!$V$21,2))),  IF('Quantification Tool'!$C$17="WS-II",IF(E190&gt;=29.7,0,IF(E190&lt;=22.5,1,ROUND(E190*'Reference Curves'!$W$20+'Reference Curves'!$W$21,2))), IF('Quantification Tool'!$C$17="WS-III",IF(E190&gt;=30,0,IF(E190&lt;=25.9,1,ROUND(E190*'Reference Curves'!$X$20+'Reference Curves'!$X$21,2)))    ))))))))</f>
        <v/>
      </c>
      <c r="G190" s="484"/>
      <c r="H190" s="506"/>
      <c r="I190" s="497"/>
    </row>
    <row r="191" spans="1:9" ht="15.75" x14ac:dyDescent="0.5">
      <c r="A191" s="551"/>
      <c r="B191" s="208" t="s">
        <v>242</v>
      </c>
      <c r="C191" s="316" t="s">
        <v>243</v>
      </c>
      <c r="D191" s="301"/>
      <c r="E191" s="71"/>
      <c r="F191" s="181" t="str">
        <f>IF(E191="","",ROUND( IF(E191&lt;=6,0, IF(E191&gt;=10.31,1,E191*'Reference Curves'!$S$52+'Reference Curves'!$S$53)),2))</f>
        <v/>
      </c>
      <c r="G191" s="86" t="str">
        <f>IFERROR(AVERAGE(F191),"")</f>
        <v/>
      </c>
      <c r="H191" s="506"/>
      <c r="I191" s="497"/>
    </row>
    <row r="192" spans="1:9" ht="15.75" x14ac:dyDescent="0.5">
      <c r="A192" s="552"/>
      <c r="B192" s="278" t="s">
        <v>158</v>
      </c>
      <c r="C192" s="24" t="s">
        <v>421</v>
      </c>
      <c r="D192" s="318"/>
      <c r="E192" s="54"/>
      <c r="F192" s="181" t="str">
        <f>IF(E192="","",IF(OR('Quantification Tool'!$C$13=3),IF(E192&gt;=150,0,IF(E192&lt;=16,1,ROUND('Reference Curves'!$S$87*LN(E192)+'Reference Curves'!$S$88,2))), IF(OR('Quantification Tool'!$C$13=1,'Quantification Tool'!$C$13=2),  IF(E192&gt;=97,0,IF(E192&lt;=12,1,ROUND('Reference Curves'!$T$87*LN(E192)+'Reference Curves'!$T$88,2))))))</f>
        <v/>
      </c>
      <c r="G192" s="86" t="str">
        <f>IFERROR(AVERAGE(F192),"")</f>
        <v/>
      </c>
      <c r="H192" s="484"/>
      <c r="I192" s="497"/>
    </row>
    <row r="193" spans="1:9" ht="15.75" x14ac:dyDescent="0.5">
      <c r="A193" s="553" t="s">
        <v>51</v>
      </c>
      <c r="B193" s="282" t="s">
        <v>132</v>
      </c>
      <c r="C193" s="317" t="s">
        <v>249</v>
      </c>
      <c r="D193" s="306"/>
      <c r="E193" s="72"/>
      <c r="F193" s="218" t="str">
        <f>IF(E193="","",IF('Quantification Tool'!$C$13="","Enter Biotype",IF('Quantification Tool'!$C$13=1,IF(E193&lt;=0,0,IF(E193&gt;=57,1,ROUND(IF(E193&lt;=34,'Reference Curves'!$AB$18*E193+'Reference Curves'!$AB$19,  IF(E193&lt;=45, 'Reference Curves'!$AC$18*E193+'Reference Curves'!$AC$19,  'Reference Curves'!$AD$18*E193+'Reference Curves'!$AD$19)),2))),   IF('Quantification Tool'!$C$13=2,IF(E193&lt;=0,0,IF(E193&gt;=63,1,ROUND(IF(E193&lt;=40,'Reference Curves'!$AE$18*E193+'Reference Curves'!$AE$19,  IF(E193&lt;=48,'Reference Curves'!$AF$18*E193+'Reference Curves'!$AF$19,  'Reference Curves'!$AG$18*E193+'Reference Curves'!$AG$19)),2))),   IF(OR('Quantification Tool'!$C$13=3),IF(E193&lt;=0,0,IF(E193&gt;=52,1,ROUND(IF(E193&lt;=29,'Reference Curves'!$AH$18*E193+'Reference Curves'!$AH$19, IF(E193&lt;=42, 'Reference Curves'!$AI$18*E193+'Reference Curves'!$AI$19,  'Reference Curves'!$AJ$18*E193+'Reference Curves'!$AJ$19)),2))))))))</f>
        <v/>
      </c>
      <c r="G193" s="89" t="str">
        <f>IFERROR(AVERAGE(F193),"")</f>
        <v/>
      </c>
      <c r="H193" s="505" t="str">
        <f>IFERROR(ROUND(AVERAGE(G193:G196),2),"")</f>
        <v/>
      </c>
      <c r="I193" s="497" t="str">
        <f>IF(H193="","",IF(H193&gt;0.69,"Functioning",IF(H193&gt;0.29,"Functioning At Risk",IF(H193&gt;-1,"Not Functioning"))))</f>
        <v/>
      </c>
    </row>
    <row r="194" spans="1:9" ht="15.75" x14ac:dyDescent="0.5">
      <c r="A194" s="554"/>
      <c r="B194" s="556" t="s">
        <v>66</v>
      </c>
      <c r="C194" s="40" t="s">
        <v>190</v>
      </c>
      <c r="D194" s="88"/>
      <c r="E194" s="72"/>
      <c r="F194" s="89" t="str">
        <f>IF(E194="","",IF(E194&lt;=0,0,IF(E194&gt;=100,1,ROUND(IF(E194&lt;80,E194*'Reference Curves'!$AB$53+'Reference Curves'!$AB$54,E194*'Reference Curves'!$AC$53+'Reference Curves'!$AC$54),2))))</f>
        <v/>
      </c>
      <c r="G194" s="460" t="str">
        <f>IFERROR(AVERAGE(F194:F196),"")</f>
        <v/>
      </c>
      <c r="H194" s="505"/>
      <c r="I194" s="497"/>
    </row>
    <row r="195" spans="1:9" ht="15.75" x14ac:dyDescent="0.5">
      <c r="A195" s="554"/>
      <c r="B195" s="557"/>
      <c r="C195" s="41" t="s">
        <v>191</v>
      </c>
      <c r="D195" s="306"/>
      <c r="E195" s="71"/>
      <c r="F195" s="89" t="str">
        <f>IF(E195="","",ROUND(IF(E195&gt;=3,0,IF(E195&gt;=2,0.3,IF(E195&gt;=1,0.69,1))),2))</f>
        <v/>
      </c>
      <c r="G195" s="461"/>
      <c r="H195" s="505"/>
      <c r="I195" s="497"/>
    </row>
    <row r="196" spans="1:9" ht="15.75" x14ac:dyDescent="0.5">
      <c r="A196" s="555"/>
      <c r="B196" s="558"/>
      <c r="C196" s="27" t="s">
        <v>268</v>
      </c>
      <c r="D196" s="319"/>
      <c r="E196" s="73"/>
      <c r="F196" s="87" t="str">
        <f>IF(E196="","",IF('Quantification Tool'!$C$19="","Enter Stream Producitvity Rating",IF('Quantification Tool'!$C$19="High",IF(E196&lt;5,0,IF(E196&gt;=40,1,ROUND(E196*'Reference Curves'!$AB$89+'Reference Curves'!$AB$90,2))),IF('Quantification Tool'!$C$19="Moderate",IF(E196&lt;10,0,IF(E196&gt;=80,1,ROUND(E196*'Reference Curves'!$AC$89+'Reference Curves'!$AC$90,2))),IF('Quantification Tool'!$C$19="Low",IF(E196&lt;15,0,IF(E196&gt;=119,1,ROUND(E196*'Reference Curves'!$AD$89+'Reference Curves'!$AD$90,2)))   )))))</f>
        <v/>
      </c>
      <c r="G196" s="462"/>
      <c r="H196" s="505"/>
      <c r="I196" s="497"/>
    </row>
    <row r="199" spans="1:9" ht="21" x14ac:dyDescent="0.65">
      <c r="A199" s="365" t="s">
        <v>114</v>
      </c>
      <c r="B199" s="185"/>
      <c r="C199" s="186" t="s">
        <v>212</v>
      </c>
      <c r="D199" s="548"/>
      <c r="E199" s="548"/>
      <c r="F199" s="549"/>
      <c r="G199" s="487" t="s">
        <v>334</v>
      </c>
      <c r="H199" s="488"/>
      <c r="I199" s="489"/>
    </row>
    <row r="200" spans="1:9" ht="15.75" x14ac:dyDescent="0.5">
      <c r="A200" s="290" t="s">
        <v>1</v>
      </c>
      <c r="B200" s="39" t="s">
        <v>2</v>
      </c>
      <c r="C200" s="173" t="s">
        <v>3</v>
      </c>
      <c r="D200" s="174"/>
      <c r="E200" s="39" t="s">
        <v>12</v>
      </c>
      <c r="F200" s="39" t="s">
        <v>13</v>
      </c>
      <c r="G200" s="39" t="s">
        <v>14</v>
      </c>
      <c r="H200" s="39" t="s">
        <v>15</v>
      </c>
      <c r="I200" s="290" t="s">
        <v>15</v>
      </c>
    </row>
    <row r="201" spans="1:9" ht="15.75" x14ac:dyDescent="0.5">
      <c r="A201" s="446" t="s">
        <v>186</v>
      </c>
      <c r="B201" s="545" t="s">
        <v>107</v>
      </c>
      <c r="C201" s="153" t="s">
        <v>185</v>
      </c>
      <c r="D201" s="154"/>
      <c r="E201" s="72"/>
      <c r="F201" s="234" t="str">
        <f>IF(E201="","",IF(E201&gt;=78,0,IF(E201&lt;=55,1,ROUND(E201*'Reference Curves'!$C$14+'Reference Curves'!$C$15,2))))</f>
        <v/>
      </c>
      <c r="G201" s="498" t="str">
        <f>IFERROR(AVERAGE(F201:F202),"")</f>
        <v/>
      </c>
      <c r="H201" s="498" t="str">
        <f>IFERROR(ROUND(AVERAGE(G201:G207),2),"")</f>
        <v/>
      </c>
      <c r="I201" s="493" t="str">
        <f>IF(H201="","",IF(H201:H207&gt;0.69,"Functioning",IF(H201&gt;0.29,"Functioning At Risk",IF(H201&gt;-1,"Not Functioning"))))</f>
        <v/>
      </c>
    </row>
    <row r="202" spans="1:9" ht="15.75" x14ac:dyDescent="0.5">
      <c r="A202" s="447"/>
      <c r="B202" s="539"/>
      <c r="C202" s="217" t="s">
        <v>303</v>
      </c>
      <c r="D202" s="74"/>
      <c r="E202" s="71"/>
      <c r="F202" s="235" t="str">
        <f>IF(E202="","",   IF(E202&gt;3.2,0, IF(E202&lt;0, "", ROUND('Reference Curves'!$C$44*E202+'Reference Curves'!$C$45,2))))</f>
        <v/>
      </c>
      <c r="G202" s="499"/>
      <c r="H202" s="499"/>
      <c r="I202" s="494"/>
    </row>
    <row r="203" spans="1:9" ht="15.75" x14ac:dyDescent="0.5">
      <c r="A203" s="447"/>
      <c r="B203" s="545" t="s">
        <v>250</v>
      </c>
      <c r="C203" s="230" t="s">
        <v>329</v>
      </c>
      <c r="D203" s="227"/>
      <c r="E203" s="228"/>
      <c r="F203" s="251" t="s">
        <v>253</v>
      </c>
      <c r="G203" s="498" t="str">
        <f>IFERROR(IF(AND(ISNUMBER(E203),E203&lt;1),0,AVERAGE(F203:F204)),"")</f>
        <v/>
      </c>
      <c r="H203" s="499"/>
      <c r="I203" s="494"/>
    </row>
    <row r="204" spans="1:9" ht="15.75" x14ac:dyDescent="0.5">
      <c r="A204" s="447"/>
      <c r="B204" s="540"/>
      <c r="C204" s="231" t="s">
        <v>251</v>
      </c>
      <c r="D204" s="226"/>
      <c r="E204" s="194"/>
      <c r="F204" s="245" t="str">
        <f>IF(E204="","", IF('Quantification Tool'!$C$17= "CS-II", ROUND(IF(E204&lt;=0.6,0, IF(E204&gt;=2.3,1,E204*'Reference Curves'!$E$78+'Reference Curves'!$E$79)),2),
IF(AND('Quantification Tool'!$C$14&lt;20,LEFT('Quantification Tool'!$C$17,2)="CS"),ROUND(IF(E204&lt;=0.2,0, IF(E204&gt;=1,1,E204*'Reference Curves'!$C$78+'Reference Curves'!$C$79)),2),
 IF(AND('Quantification Tool'!$C$14&gt;=20,LEFT('Quantification Tool'!$C$17,2)= "CS"), ROUND(IF(E204&lt;=0.4,0, IF(E204&gt;=1.5,1,E204*'Reference Curves'!$D$78+'Reference Curves'!$D$79)),2) ))))</f>
        <v/>
      </c>
      <c r="G204" s="500"/>
      <c r="H204" s="499"/>
      <c r="I204" s="494"/>
    </row>
    <row r="205" spans="1:9" ht="15.75" x14ac:dyDescent="0.5">
      <c r="A205" s="447"/>
      <c r="B205" s="539" t="s">
        <v>5</v>
      </c>
      <c r="C205" s="332" t="s">
        <v>6</v>
      </c>
      <c r="D205" s="154"/>
      <c r="E205" s="71"/>
      <c r="F205" s="196" t="str">
        <f>IF(E205="","",
IF(E205&gt;1.71,0,IF( E205&gt;1,ROUND(E205*'Reference Curves'!D$113+'Reference Curves'!D$114,2),
IF( 'Quantification Tool'!C$22="Transport", ROUND(IF( E205&lt;0.35,0, E205*'Reference Curves'!$C$113+'Reference Curves'!$C$114 ),2), 1 ))))</f>
        <v/>
      </c>
      <c r="G205" s="502" t="str">
        <f>IFERROR(AVERAGE(F205:F207),"")</f>
        <v/>
      </c>
      <c r="H205" s="499"/>
      <c r="I205" s="494"/>
    </row>
    <row r="206" spans="1:9" ht="15.75" x14ac:dyDescent="0.5">
      <c r="A206" s="447"/>
      <c r="B206" s="539"/>
      <c r="C206" s="155" t="s">
        <v>7</v>
      </c>
      <c r="D206" s="281"/>
      <c r="E206" s="71"/>
      <c r="F206" s="196" t="str">
        <f>IF(E206="","",IF(OR(LEFT( 'Quantification Tool'!C$21,1)="A",LEFT( 'Quantification Tool'!C$21,1)="B"),IF(E206&lt;1.05,0,IF(E206&gt;=2.2,1,ROUND(IF(E206&lt;1.4,E206*'Reference Curves'!$C$250+'Reference Curves'!$C$251,E206*'Reference Curves'!$D$250+'Reference Curves'!$D$251),2))),                                                                                                                                                                                      IF( 'Quantification Tool'!C$21="C",IF(E206&lt;1.7,0,IF(E206&gt;=4.2,1,ROUND(IF(E206&lt;2.4,E206*'Reference Curves'!$D$147+'Reference Curves'!$D$148,E206*'Reference Curves'!$C$147+'Reference Curves'!$C$148),2))),                                                                                                                                                                                                                    IF( 'Quantification Tool'!C$21="Cb",IF(E206&lt;1.7,0,IF(E206&gt;=3.9,1,ROUND(IF(E206&lt;2.4,E206*'Reference Curves'!$D$181+'Reference Curves'!$D$182,E206*'Reference Curves'!$C$181+'Reference Curves'!$C$182),2))),
IF(LEFT( 'Quantification Tool'!C$21,1)="E",IF(E206&lt;1.7,0,IF(E206&gt;=6.7,1,ROUND(IF(E206&lt;2.4,E206*'Reference Curves'!$D$215+'Reference Curves'!$D$216,E206*'Reference Curves'!$C$215+'Reference Curves'!$C$216),2))))))))</f>
        <v/>
      </c>
      <c r="G206" s="502"/>
      <c r="H206" s="499"/>
      <c r="I206" s="494"/>
    </row>
    <row r="207" spans="1:9" ht="15.6" customHeight="1" x14ac:dyDescent="0.5">
      <c r="A207" s="448"/>
      <c r="B207" s="540"/>
      <c r="C207" s="252" t="s">
        <v>283</v>
      </c>
      <c r="D207" s="75"/>
      <c r="E207" s="73"/>
      <c r="F207" s="195" t="str">
        <f>IF(E207="","",IF('Quantification Tool'!$C$20="Unconfined Alluvial",IF(E207&lt;=0,0, IF(E207&gt;=100,1, ROUND(IF(E207&lt;10,E207*'Reference Curves'!$C$285+'Reference Curves'!$C$286, IF(E207&lt;50,E207*'Reference Curves'!$D$285+'Reference Curves'!$D$286,E207*'Reference Curves'!$E$285+'Reference Curves'!$E$286)),2))), IF('Quantification Tool'!$C$20="Confined Alluvial",IF(E207&lt;=0,0,IF(E207&gt;=50,1,ROUND(IF(E207&lt;5,E207*'Reference Curves'!$F$285+'Reference Curves'!$F$286,IF(E207&lt;25,E207*'Reference Curves'!$G$285+'Reference Curves'!$G$286,E207*'Reference Curves'!$H$285+'Reference Curves'!$H$286)),2))))))</f>
        <v/>
      </c>
      <c r="G207" s="503"/>
      <c r="H207" s="500"/>
      <c r="I207" s="495"/>
    </row>
    <row r="208" spans="1:9" ht="15.75" x14ac:dyDescent="0.5">
      <c r="A208" s="559" t="s">
        <v>19</v>
      </c>
      <c r="B208" s="480" t="s">
        <v>20</v>
      </c>
      <c r="C208" s="23" t="s">
        <v>18</v>
      </c>
      <c r="D208" s="76"/>
      <c r="E208" s="72"/>
      <c r="F208" s="178" t="str">
        <f>IF(E208="","",IF(E208&gt;=660,1,IF(E208&lt;=430,ROUND('Reference Curves'!$K$15*E208+'Reference Curves'!$K$16,2),ROUND('Reference Curves'!$L$15*E208+'Reference Curves'!$L$16,2))))</f>
        <v/>
      </c>
      <c r="G208" s="463" t="str">
        <f>IFERROR(AVERAGE(F208:F209),"")</f>
        <v/>
      </c>
      <c r="H208" s="463" t="str">
        <f>IFERROR(ROUND(AVERAGE(G208:G221),2),"")</f>
        <v/>
      </c>
      <c r="I208" s="490" t="str">
        <f>IF(H208="","",IF(H208&gt;0.69,"Functioning",IF(H208&gt;0.29,"Functioning At Risk",IF(H208&gt;-1,"Not Functioning"))))</f>
        <v/>
      </c>
    </row>
    <row r="209" spans="1:9" ht="15.75" x14ac:dyDescent="0.5">
      <c r="A209" s="560"/>
      <c r="B209" s="482"/>
      <c r="C209" s="148" t="s">
        <v>187</v>
      </c>
      <c r="D209" s="79"/>
      <c r="E209" s="71"/>
      <c r="F209" s="177" t="str">
        <f>IF(E209="","",IF(E209&gt;=28,1,ROUND(IF(E209&lt;=13,'Reference Curves'!$K$48*E209,'Reference Curves'!$L$48*E209+'Reference Curves'!$L$49),2)))</f>
        <v/>
      </c>
      <c r="G209" s="464"/>
      <c r="H209" s="504"/>
      <c r="I209" s="491"/>
    </row>
    <row r="210" spans="1:9" ht="15.75" x14ac:dyDescent="0.5">
      <c r="A210" s="560"/>
      <c r="B210" s="547" t="s">
        <v>231</v>
      </c>
      <c r="C210" s="197" t="s">
        <v>159</v>
      </c>
      <c r="D210" s="146"/>
      <c r="E210" s="72"/>
      <c r="F210" s="178" t="str">
        <f>IF(E210="","",ROUND(IF(E210&lt;=2,0,IF(E210&gt;=9,1,IF(E210&gt;=5,E210^2*'Reference Curves'!$K$83+E210*'Reference Curves'!$K$84+'Reference Curves'!$K$85, E210*'Reference Curves'!$L$84+'Reference Curves'!$L$85))),2))</f>
        <v/>
      </c>
      <c r="G210" s="463" t="str">
        <f>IFERROR(IF(E213&gt;=50,0,AVERAGE(F210:F213)),"")</f>
        <v/>
      </c>
      <c r="H210" s="504"/>
      <c r="I210" s="491"/>
    </row>
    <row r="211" spans="1:9" ht="15.75" x14ac:dyDescent="0.5">
      <c r="A211" s="560"/>
      <c r="B211" s="481"/>
      <c r="C211" s="198" t="s">
        <v>42</v>
      </c>
      <c r="D211" s="305"/>
      <c r="E211" s="71"/>
      <c r="F211" s="179" t="str">
        <f>IF(E211="","",IF(OR(E211="Ex/Ex",E211="Ex/VH",E211="Ex/H",E211="Ex/M",E211="VH/Ex",E211="VH/VH", E211="H/Ex",E211="H/VH"),0, IF(OR(E211="M/Ex"),0.1,IF(OR(E211="VH/H",E211="VH/M",E211="H/H",E211="H/M", E211="M/VH"),0.2, IF(OR(E211="Ex/VL",E211="Ex/L", E211="M/H"),0.3, IF(OR(E211="VH/L",E211="H/L"),0.4, IF(OR(E211="VH/VL",E211="H/VL",E211="M/M"),0.5, IF(OR(E211="M/L",E211="L/Ex"),0.6, IF(OR(E211="M/VL",E211="L/VH", E211="L/H",E211="L/M",E211="L/L",E211="L/VL", LEFT(E211,2)="VL"),1)))))))))</f>
        <v/>
      </c>
      <c r="G211" s="504"/>
      <c r="H211" s="504"/>
      <c r="I211" s="491"/>
    </row>
    <row r="212" spans="1:9" ht="15.75" x14ac:dyDescent="0.5">
      <c r="A212" s="560"/>
      <c r="B212" s="481"/>
      <c r="C212" s="199" t="s">
        <v>76</v>
      </c>
      <c r="D212" s="307"/>
      <c r="E212" s="71"/>
      <c r="F212" s="179" t="str">
        <f>IF(E212="","",ROUND(IF(E212&gt;=75,0,IF(E212&lt;=5,1,IF(E212&gt;10,E212*'Reference Curves'!K$116+'Reference Curves'!K$117,'Reference Curves'!$L$116*E212+'Reference Curves'!$L$117))),2))</f>
        <v/>
      </c>
      <c r="G212" s="466"/>
      <c r="H212" s="504"/>
      <c r="I212" s="491"/>
    </row>
    <row r="213" spans="1:9" ht="15.75" x14ac:dyDescent="0.5">
      <c r="A213" s="560"/>
      <c r="B213" s="482"/>
      <c r="C213" s="200" t="s">
        <v>230</v>
      </c>
      <c r="D213" s="147"/>
      <c r="E213" s="73"/>
      <c r="F213" s="180" t="str">
        <f>IF(E213="","",IF(E213&gt;=30,0,ROUND(E213*'Reference Curves'!$K$148+'Reference Curves'!$K$149,2)))</f>
        <v/>
      </c>
      <c r="G213" s="464"/>
      <c r="H213" s="504"/>
      <c r="I213" s="491"/>
    </row>
    <row r="214" spans="1:9" ht="15.75" x14ac:dyDescent="0.5">
      <c r="A214" s="560"/>
      <c r="B214" s="480" t="s">
        <v>44</v>
      </c>
      <c r="C214" s="197" t="s">
        <v>45</v>
      </c>
      <c r="D214" s="76"/>
      <c r="E214" s="72"/>
      <c r="F214" s="82" t="str">
        <f>IF(E214="","",IF('Quantification Tool'!$C$21="Bc",IF(OR(E214&gt;=12,E214&lt;=0.1),0,IF(E214&lt;=3.4,1,ROUND('Reference Curves'!$K$278*E214+'Reference Curves'!$K$279,2))),  IF(OR('Quantification Tool'!$C$21="B",'Quantification Tool'!$C$21="Ba"),IF(OR(E214&gt;=7.5,E214&lt;=0.1),0,IF(E214&lt;=3,1,ROUND(IF(E214&gt;4,'Reference Curves'!$K$247*E214+'Reference Curves'!$K$248,'Reference Curves'!$L$247*E214+'Reference Curves'!$L$248),2))),  IF('Quantification Tool'!$C$21="Cb",IF(OR(E214&gt;=8.35,E214&lt;1.4),0,IF(AND(E214&gt;=3.7,E214&lt;=5),1,ROUND(IF(E214&lt;3.7,'Reference Curves'!$K$215*E214+'Reference Curves'!$K$216,'Reference Curves'!$L$215*E214+'Reference Curves'!$L$216),2))),  IF('Quantification Tool'!$C$21="C",IF(OR(E214&gt;=9.3,E214&lt;=3),0,IF(AND(E214&gt;=4,E214&lt;=6),1,ROUND(IF(E214&lt;4,'Reference Curves'!$K$181*E214+'Reference Curves'!$K$182,'Reference Curves'!$L$181*E214+'Reference Curves'!$L$182),2))),  IF('Quantification Tool'!$C$21="E",IF(OR(E214&gt;=8.3,E214&lt;1.85),0,IF(AND(E214&gt;=3.5,E214&lt;=5),1,ROUND(IF(E214&lt;3.5,'Reference Curves'!$K$311*E214+'Reference Curves'!$K$312,'Reference Curves'!$L$311*E214+'Reference Curves'!$L$312),2)))      ))))))</f>
        <v/>
      </c>
      <c r="G214" s="465" t="str">
        <f>IFERROR(AVERAGE(F214:F217),"")</f>
        <v/>
      </c>
      <c r="H214" s="504"/>
      <c r="I214" s="491"/>
    </row>
    <row r="215" spans="1:9" ht="15.75" x14ac:dyDescent="0.5">
      <c r="A215" s="560"/>
      <c r="B215" s="481"/>
      <c r="C215" s="198" t="s">
        <v>46</v>
      </c>
      <c r="D215" s="305"/>
      <c r="E215" s="71"/>
      <c r="F215" s="83" t="str">
        <f>IF(E215="","",IF(E215&lt;=1,0,IF(E215&gt;=3.2,1,IF(E215&gt;=2.2,ROUND('Reference Curves'!$L$343*E215+'Reference Curves'!$L$344,2),(ROUND('Reference Curves'!$K$343*E215+'Reference Curves'!$K$344,2))))))</f>
        <v/>
      </c>
      <c r="G215" s="466"/>
      <c r="H215" s="504"/>
      <c r="I215" s="491"/>
    </row>
    <row r="216" spans="1:9" ht="15.75" x14ac:dyDescent="0.5">
      <c r="A216" s="560"/>
      <c r="B216" s="481"/>
      <c r="C216" s="148" t="s">
        <v>195</v>
      </c>
      <c r="D216" s="305"/>
      <c r="E216" s="71"/>
      <c r="F216" s="360" t="str">
        <f>IF(E216="","", IF('Quantification Tool'!$C$15="","FALSE",IF('Quantification Tool'!$C$15&lt;3,IF( OR(E216&gt;=91,E216&lt;=13.5),0, IF(AND(E216&gt;49,E216&lt;61), 1, ROUND(IF(E216&lt;50,'Reference Curves'!$K$377*E216+'Reference Curves'!$K$378, IF(E216&gt;60,'Reference Curves'!$L$377*E216+'Reference Curves'!$L$378)),2))), IF('Quantification Tool'!$C$15&gt;=3,IF(OR(E216&gt;94.5,E216&lt;41.5),0, IF(AND(E216 &gt;=68, E216&lt;=78),1, ROUND(IF(E216&lt;68,'Reference Curves'!$K$411*E216+'Reference Curves'!$K$412,'Reference Curves'!$L$411*E216+'Reference Curves'!$L$412),2) ))))))</f>
        <v/>
      </c>
      <c r="G216" s="466"/>
      <c r="H216" s="504"/>
      <c r="I216" s="491"/>
    </row>
    <row r="217" spans="1:9" ht="15.75" x14ac:dyDescent="0.5">
      <c r="A217" s="560"/>
      <c r="B217" s="482"/>
      <c r="C217" s="201" t="s">
        <v>142</v>
      </c>
      <c r="D217" s="78"/>
      <c r="E217" s="73"/>
      <c r="F217" s="361" t="str">
        <f>IF(E217="","",IF(E217&gt;=1.6,0,IF(E217&lt;=1,1,ROUND('Reference Curves'!$K$442*E217^3+'Reference Curves'!$K$443*E217^2+'Reference Curves'!$K$444*E217+'Reference Curves'!$K$445,2))))</f>
        <v/>
      </c>
      <c r="G217" s="467"/>
      <c r="H217" s="504"/>
      <c r="I217" s="491"/>
    </row>
    <row r="218" spans="1:9" ht="15.75" x14ac:dyDescent="0.5">
      <c r="A218" s="560"/>
      <c r="B218" s="480" t="s">
        <v>43</v>
      </c>
      <c r="C218" s="148" t="s">
        <v>409</v>
      </c>
      <c r="D218" s="305"/>
      <c r="E218" s="72"/>
      <c r="F218" s="190" t="str">
        <f>IF( E218="","",
IF( 'Quantification Tool'!$C$20="Unconfined Alluvial", IF( E218&gt;=100,1,
ROUND('Reference Curves'!$K$479*E218+'Reference Curves'!$K$480,2) ),
IF( OR('Quantification Tool'!$C$20="Confined Alluvial", 'Quantification Tool'!$C$20="Colluvial/V-Shaped",'Quantification Tool'!$C$20="Bedrock"), ( IF(E218&gt;=100,1,
IF(E218&gt;=60, ROUND('Reference Curves'!$L$479*E218+'Reference Curves'!$L$480,2), ROUND('Reference Curves'!$M$479*E218+'Reference Curves'!$M$480,2) ) ) ) ) ) )</f>
        <v/>
      </c>
      <c r="G218" s="463" t="str">
        <f>IFERROR(AVERAGE(F218:F221),"")</f>
        <v/>
      </c>
      <c r="H218" s="504"/>
      <c r="I218" s="491"/>
    </row>
    <row r="219" spans="1:9" ht="15.75" x14ac:dyDescent="0.5">
      <c r="A219" s="560"/>
      <c r="B219" s="481"/>
      <c r="C219" s="148" t="s">
        <v>219</v>
      </c>
      <c r="D219" s="305"/>
      <c r="E219" s="71"/>
      <c r="F219" s="358" t="str">
        <f>IF( E219="","", IF('Quantification Tool'!$C$18&lt;&gt;"Woody","FALSE", IF( OR('Quantification Tool'!$C$12="Mountains",'Quantification Tool'!$C$12="Basins"),
IF(E219&lt;=0,0, IF(E219&gt;=122,1, IF(E219&lt;69, ROUND('Reference Curves'!$K$512*E219+'Reference Curves'!$K$513,2), ROUND('Reference Curves'!$L$512*E219+'Reference Curves'!$L$513,2) ) ) ),
IF('Quantification Tool'!$C$12="Plains",IF(OR(E219&lt;=0,E219&gt;111),0,IF(AND(E219&gt;=69,E219&lt;=76),1,IF(E219&lt;69,ROUND(E219*'Reference Curves'!$K$547+'Reference Curves'!$K$548,2),ROUND(E219*'Reference Curves'!$L$547+'Reference Curves'!$L$548,2))))))))</f>
        <v/>
      </c>
      <c r="G219" s="504"/>
      <c r="H219" s="504"/>
      <c r="I219" s="491"/>
    </row>
    <row r="220" spans="1:9" ht="15.75" x14ac:dyDescent="0.5">
      <c r="A220" s="560"/>
      <c r="B220" s="546"/>
      <c r="C220" s="148" t="s">
        <v>220</v>
      </c>
      <c r="D220" s="305"/>
      <c r="E220" s="71"/>
      <c r="F220" s="83" t="str">
        <f>IF(E220="","",IF('Quantification Tool'!$C$18="Herbaceous",IF(E220&lt;=34,0,IF(E220&gt;=120,1,IF(E220&gt;73,ROUND(E220*'Reference Curves'!$L$579+'Reference Curves'!$L$580,2),ROUND(E220*'Reference Curves'!$K$579+'Reference Curves'!$K$580,2))))))</f>
        <v/>
      </c>
      <c r="G220" s="466"/>
      <c r="H220" s="504"/>
      <c r="I220" s="491"/>
    </row>
    <row r="221" spans="1:9" ht="15.75" x14ac:dyDescent="0.5">
      <c r="A221" s="561"/>
      <c r="B221" s="482"/>
      <c r="C221" s="297" t="s">
        <v>229</v>
      </c>
      <c r="D221" s="308"/>
      <c r="E221" s="73"/>
      <c r="F221" s="209" t="str">
        <f>IF(E221="","",IF(E221&lt;=46,0,IF(E221&gt;=100,1,IF(AND(E221&lt;=100,E221&gt;91),ROUND(E221*'Reference Curves'!$L$611+'Reference Curves'!$L$612,2),ROUND(E221*'Reference Curves'!$K$611+'Reference Curves'!$K$612,2)))))</f>
        <v/>
      </c>
      <c r="G221" s="464"/>
      <c r="H221" s="464"/>
      <c r="I221" s="492"/>
    </row>
    <row r="222" spans="1:9" ht="15.75" x14ac:dyDescent="0.5">
      <c r="A222" s="550" t="s">
        <v>50</v>
      </c>
      <c r="B222" s="475" t="s">
        <v>71</v>
      </c>
      <c r="C222" s="207" t="s">
        <v>244</v>
      </c>
      <c r="D222" s="211"/>
      <c r="E222" s="72"/>
      <c r="F222" s="216" t="str">
        <f>IF(E222="","",IF('Quantification Tool'!$C$17="","Enter Stream Temperature",  IF('Quantification Tool'!$C$17="CS-I (MWF)",IF(E222&gt;=21.2,0,1),  IF('Quantification Tool'!$C$17="CS-I",IF(E222&gt;=21.7,0,1),  IF('Quantification Tool'!$C$17="CS-II",IF(E222&gt;=23.9,0,1),  IF('Quantification Tool'!$C$17="WS-I",IF(E222&gt;=29,0,1),  IF('Quantification Tool'!$C$17="WS-II",IF(E222&gt;=28.6,0,1), IF('Quantification Tool'!$C$17="WS-III",IF(E222&gt;=31.8,0,1)))))))))</f>
        <v/>
      </c>
      <c r="G222" s="483" t="str">
        <f>IFERROR(AVERAGE(F222:F223),"")</f>
        <v/>
      </c>
      <c r="H222" s="483" t="str">
        <f>IFERROR(ROUND(AVERAGE(G222:G225),2),"")</f>
        <v/>
      </c>
      <c r="I222" s="497" t="str">
        <f>IF(H222="","",IF(H222&gt;0.69,"Functioning",IF(H222&gt;0.29,"Functioning At Risk",IF(H222&gt;-1,"Not Functioning"))))</f>
        <v/>
      </c>
    </row>
    <row r="223" spans="1:9" ht="15.75" x14ac:dyDescent="0.5">
      <c r="A223" s="551"/>
      <c r="B223" s="477"/>
      <c r="C223" s="210" t="s">
        <v>188</v>
      </c>
      <c r="D223" s="212"/>
      <c r="E223" s="73"/>
      <c r="F223" s="181" t="str">
        <f>IF(E223="","",IF('Quantification Tool'!$C$17="","Enter Stream Temperature",  IF('Quantification Tool'!$C$17="CS-I (MWF)",IF(E223&gt;=18.3,0,IF(E223&lt;=13.8,1,ROUND(E223*'Reference Curves'!$S$20+'Reference Curves'!$S$21,2))),  IF('Quantification Tool'!$C$17="CS-I",IF(E223&gt;=17.6,0,IF(E223&lt;=15.7,1,ROUND(E223*'Reference Curves'!$T$20+'Reference Curves'!$T$21,2))),  IF('Quantification Tool'!$C$17="CS-II",IF(E223&gt;=19.1,0,IF(E223&lt;=16.6,1,ROUND(E223*'Reference Curves'!$U$20+'Reference Curves'!$U$21,2))),  IF('Quantification Tool'!$C$17="WS-I",IF(E223&gt;=25.7,0,IF(E223&lt;=20.9,1,ROUND(E223*'Reference Curves'!$V$20+'Reference Curves'!$V$21,2))),  IF('Quantification Tool'!$C$17="WS-II",IF(E223&gt;=29.7,0,IF(E223&lt;=22.5,1,ROUND(E223*'Reference Curves'!$W$20+'Reference Curves'!$W$21,2))), IF('Quantification Tool'!$C$17="WS-III",IF(E223&gt;=30,0,IF(E223&lt;=25.9,1,ROUND(E223*'Reference Curves'!$X$20+'Reference Curves'!$X$21,2)))    ))))))))</f>
        <v/>
      </c>
      <c r="G223" s="484"/>
      <c r="H223" s="506"/>
      <c r="I223" s="497"/>
    </row>
    <row r="224" spans="1:9" ht="15.75" x14ac:dyDescent="0.5">
      <c r="A224" s="551"/>
      <c r="B224" s="208" t="s">
        <v>242</v>
      </c>
      <c r="C224" s="316" t="s">
        <v>243</v>
      </c>
      <c r="D224" s="301"/>
      <c r="E224" s="71"/>
      <c r="F224" s="181" t="str">
        <f>IF(E224="","",ROUND( IF(E224&lt;=6,0, IF(E224&gt;=10.31,1,E224*'Reference Curves'!$S$52+'Reference Curves'!$S$53)),2))</f>
        <v/>
      </c>
      <c r="G224" s="86" t="str">
        <f>IFERROR(AVERAGE(F224),"")</f>
        <v/>
      </c>
      <c r="H224" s="506"/>
      <c r="I224" s="497"/>
    </row>
    <row r="225" spans="1:9" ht="15.75" x14ac:dyDescent="0.5">
      <c r="A225" s="552"/>
      <c r="B225" s="278" t="s">
        <v>158</v>
      </c>
      <c r="C225" s="24" t="s">
        <v>421</v>
      </c>
      <c r="D225" s="318"/>
      <c r="E225" s="54"/>
      <c r="F225" s="181" t="str">
        <f>IF(E225="","",IF(OR('Quantification Tool'!$C$13=3),IF(E225&gt;=150,0,IF(E225&lt;=16,1,ROUND('Reference Curves'!$S$87*LN(E225)+'Reference Curves'!$S$88,2))), IF(OR('Quantification Tool'!$C$13=1,'Quantification Tool'!$C$13=2),  IF(E225&gt;=97,0,IF(E225&lt;=12,1,ROUND('Reference Curves'!$T$87*LN(E225)+'Reference Curves'!$T$88,2))))))</f>
        <v/>
      </c>
      <c r="G225" s="86" t="str">
        <f>IFERROR(AVERAGE(F225),"")</f>
        <v/>
      </c>
      <c r="H225" s="484"/>
      <c r="I225" s="497"/>
    </row>
    <row r="226" spans="1:9" ht="15.75" x14ac:dyDescent="0.5">
      <c r="A226" s="553" t="s">
        <v>51</v>
      </c>
      <c r="B226" s="282" t="s">
        <v>132</v>
      </c>
      <c r="C226" s="317" t="s">
        <v>249</v>
      </c>
      <c r="D226" s="306"/>
      <c r="E226" s="72"/>
      <c r="F226" s="218" t="str">
        <f>IF(E226="","",IF('Quantification Tool'!$C$13="","Enter Biotype",IF('Quantification Tool'!$C$13=1,IF(E226&lt;=0,0,IF(E226&gt;=57,1,ROUND(IF(E226&lt;=34,'Reference Curves'!$AB$18*E226+'Reference Curves'!$AB$19,  IF(E226&lt;=45, 'Reference Curves'!$AC$18*E226+'Reference Curves'!$AC$19,  'Reference Curves'!$AD$18*E226+'Reference Curves'!$AD$19)),2))),   IF('Quantification Tool'!$C$13=2,IF(E226&lt;=0,0,IF(E226&gt;=63,1,ROUND(IF(E226&lt;=40,'Reference Curves'!$AE$18*E226+'Reference Curves'!$AE$19,  IF(E226&lt;=48,'Reference Curves'!$AF$18*E226+'Reference Curves'!$AF$19,  'Reference Curves'!$AG$18*E226+'Reference Curves'!$AG$19)),2))),   IF(OR('Quantification Tool'!$C$13=3),IF(E226&lt;=0,0,IF(E226&gt;=52,1,ROUND(IF(E226&lt;=29,'Reference Curves'!$AH$18*E226+'Reference Curves'!$AH$19, IF(E226&lt;=42, 'Reference Curves'!$AI$18*E226+'Reference Curves'!$AI$19,  'Reference Curves'!$AJ$18*E226+'Reference Curves'!$AJ$19)),2))))))))</f>
        <v/>
      </c>
      <c r="G226" s="89" t="str">
        <f>IFERROR(AVERAGE(F226),"")</f>
        <v/>
      </c>
      <c r="H226" s="505" t="str">
        <f>IFERROR(ROUND(AVERAGE(G226:G229),2),"")</f>
        <v/>
      </c>
      <c r="I226" s="497" t="str">
        <f>IF(H226="","",IF(H226&gt;0.69,"Functioning",IF(H226&gt;0.29,"Functioning At Risk",IF(H226&gt;-1,"Not Functioning"))))</f>
        <v/>
      </c>
    </row>
    <row r="227" spans="1:9" ht="15.75" x14ac:dyDescent="0.5">
      <c r="A227" s="554"/>
      <c r="B227" s="556" t="s">
        <v>66</v>
      </c>
      <c r="C227" s="40" t="s">
        <v>190</v>
      </c>
      <c r="D227" s="88"/>
      <c r="E227" s="72"/>
      <c r="F227" s="89" t="str">
        <f>IF(E227="","",IF(E227&lt;=0,0,IF(E227&gt;=100,1,ROUND(IF(E227&lt;80,E227*'Reference Curves'!$AB$53+'Reference Curves'!$AB$54,E227*'Reference Curves'!$AC$53+'Reference Curves'!$AC$54),2))))</f>
        <v/>
      </c>
      <c r="G227" s="460" t="str">
        <f>IFERROR(AVERAGE(F227:F229),"")</f>
        <v/>
      </c>
      <c r="H227" s="505"/>
      <c r="I227" s="497"/>
    </row>
    <row r="228" spans="1:9" ht="15.75" x14ac:dyDescent="0.5">
      <c r="A228" s="554"/>
      <c r="B228" s="557"/>
      <c r="C228" s="41" t="s">
        <v>191</v>
      </c>
      <c r="D228" s="306"/>
      <c r="E228" s="71"/>
      <c r="F228" s="89" t="str">
        <f>IF(E228="","",ROUND(IF(E228&gt;=3,0,IF(E228&gt;=2,0.3,IF(E228&gt;=1,0.69,1))),2))</f>
        <v/>
      </c>
      <c r="G228" s="461"/>
      <c r="H228" s="505"/>
      <c r="I228" s="497"/>
    </row>
    <row r="229" spans="1:9" ht="15.75" x14ac:dyDescent="0.5">
      <c r="A229" s="555"/>
      <c r="B229" s="558"/>
      <c r="C229" s="27" t="s">
        <v>268</v>
      </c>
      <c r="D229" s="319"/>
      <c r="E229" s="73"/>
      <c r="F229" s="87" t="str">
        <f>IF(E229="","",IF('Quantification Tool'!$C$19="","Enter Stream Producitvity Rating",IF('Quantification Tool'!$C$19="High",IF(E229&lt;5,0,IF(E229&gt;=40,1,ROUND(E229*'Reference Curves'!$AB$89+'Reference Curves'!$AB$90,2))),IF('Quantification Tool'!$C$19="Moderate",IF(E229&lt;10,0,IF(E229&gt;=80,1,ROUND(E229*'Reference Curves'!$AC$89+'Reference Curves'!$AC$90,2))),IF('Quantification Tool'!$C$19="Low",IF(E229&lt;15,0,IF(E229&gt;=119,1,ROUND(E229*'Reference Curves'!$AD$89+'Reference Curves'!$AD$90,2)))   )))))</f>
        <v/>
      </c>
      <c r="G229" s="462"/>
      <c r="H229" s="505"/>
      <c r="I229" s="497"/>
    </row>
    <row r="232" spans="1:9" ht="21" x14ac:dyDescent="0.65">
      <c r="A232" s="365" t="s">
        <v>114</v>
      </c>
      <c r="B232" s="185"/>
      <c r="C232" s="186" t="s">
        <v>212</v>
      </c>
      <c r="D232" s="542"/>
      <c r="E232" s="543"/>
      <c r="F232" s="544"/>
      <c r="G232" s="487" t="s">
        <v>334</v>
      </c>
      <c r="H232" s="488"/>
      <c r="I232" s="489"/>
    </row>
    <row r="233" spans="1:9" ht="15.75" x14ac:dyDescent="0.5">
      <c r="A233" s="290" t="s">
        <v>1</v>
      </c>
      <c r="B233" s="39" t="s">
        <v>2</v>
      </c>
      <c r="C233" s="173" t="s">
        <v>3</v>
      </c>
      <c r="D233" s="174"/>
      <c r="E233" s="39" t="s">
        <v>12</v>
      </c>
      <c r="F233" s="39" t="s">
        <v>13</v>
      </c>
      <c r="G233" s="39" t="s">
        <v>14</v>
      </c>
      <c r="H233" s="39" t="s">
        <v>15</v>
      </c>
      <c r="I233" s="290" t="s">
        <v>15</v>
      </c>
    </row>
    <row r="234" spans="1:9" ht="15.75" x14ac:dyDescent="0.5">
      <c r="A234" s="446" t="s">
        <v>186</v>
      </c>
      <c r="B234" s="545" t="s">
        <v>107</v>
      </c>
      <c r="C234" s="153" t="s">
        <v>185</v>
      </c>
      <c r="D234" s="154"/>
      <c r="E234" s="72"/>
      <c r="F234" s="234" t="str">
        <f>IF(E234="","",IF(E234&gt;=78,0,IF(E234&lt;=55,1,ROUND(E234*'Reference Curves'!$C$14+'Reference Curves'!$C$15,2))))</f>
        <v/>
      </c>
      <c r="G234" s="498" t="str">
        <f>IFERROR(AVERAGE(F234:F235),"")</f>
        <v/>
      </c>
      <c r="H234" s="498" t="str">
        <f>IFERROR(ROUND(AVERAGE(G234:G240),2),"")</f>
        <v/>
      </c>
      <c r="I234" s="493" t="str">
        <f>IF(H234="","",IF(H234:H240&gt;0.69,"Functioning",IF(H234&gt;0.29,"Functioning At Risk",IF(H234&gt;-1,"Not Functioning"))))</f>
        <v/>
      </c>
    </row>
    <row r="235" spans="1:9" ht="15.75" x14ac:dyDescent="0.5">
      <c r="A235" s="447"/>
      <c r="B235" s="540"/>
      <c r="C235" s="217" t="s">
        <v>303</v>
      </c>
      <c r="D235" s="74"/>
      <c r="E235" s="71"/>
      <c r="F235" s="235" t="str">
        <f>IF(E235="","",   IF(E235&gt;3.2,0, IF(E235&lt;0, "", ROUND('Reference Curves'!$C$44*E235+'Reference Curves'!$C$45,2))))</f>
        <v/>
      </c>
      <c r="G235" s="499"/>
      <c r="H235" s="499"/>
      <c r="I235" s="494"/>
    </row>
    <row r="236" spans="1:9" ht="15.75" x14ac:dyDescent="0.5">
      <c r="A236" s="447"/>
      <c r="B236" s="541" t="s">
        <v>250</v>
      </c>
      <c r="C236" s="230" t="s">
        <v>329</v>
      </c>
      <c r="D236" s="227"/>
      <c r="E236" s="228"/>
      <c r="F236" s="251" t="s">
        <v>253</v>
      </c>
      <c r="G236" s="498" t="str">
        <f>IFERROR(IF(AND(ISNUMBER(E236),E236&lt;1),0,AVERAGE(F236:F237)),"")</f>
        <v/>
      </c>
      <c r="H236" s="499"/>
      <c r="I236" s="494"/>
    </row>
    <row r="237" spans="1:9" ht="15.75" x14ac:dyDescent="0.5">
      <c r="A237" s="447"/>
      <c r="B237" s="539"/>
      <c r="C237" s="231" t="s">
        <v>251</v>
      </c>
      <c r="D237" s="226"/>
      <c r="E237" s="194"/>
      <c r="F237" s="245" t="str">
        <f>IF(E237="","", IF('Quantification Tool'!$C$17= "CS-II", ROUND(IF(E237&lt;=0.6,0, IF(E237&gt;=2.3,1,E237*'Reference Curves'!$E$78+'Reference Curves'!$E$79)),2),
IF(AND('Quantification Tool'!$C$14&lt;20,LEFT('Quantification Tool'!$C$17,2)="CS"),ROUND(IF(E237&lt;=0.2,0, IF(E237&gt;=1,1,E237*'Reference Curves'!$C$78+'Reference Curves'!$C$79)),2),
 IF(AND('Quantification Tool'!$C$14&gt;=20,LEFT('Quantification Tool'!$C$17,2)= "CS"), ROUND(IF(E237&lt;=0.4,0, IF(E237&gt;=1.5,1,E237*'Reference Curves'!$D$78+'Reference Curves'!$D$79)),2) ))))</f>
        <v/>
      </c>
      <c r="G237" s="500"/>
      <c r="H237" s="499"/>
      <c r="I237" s="494"/>
    </row>
    <row r="238" spans="1:9" ht="15.75" x14ac:dyDescent="0.5">
      <c r="A238" s="447"/>
      <c r="B238" s="538" t="s">
        <v>5</v>
      </c>
      <c r="C238" s="332" t="s">
        <v>6</v>
      </c>
      <c r="D238" s="154"/>
      <c r="E238" s="71"/>
      <c r="F238" s="196" t="str">
        <f>IF(E238="","",
IF(E238&gt;1.71,0,IF( E238&gt;1,ROUND(E238*'Reference Curves'!D$113+'Reference Curves'!D$114,2),
IF( 'Quantification Tool'!C$22="Transport", ROUND(IF( E238&lt;0.35,0, E238*'Reference Curves'!$C$113+'Reference Curves'!$C$114 ),2), 1 ))))</f>
        <v/>
      </c>
      <c r="G238" s="502" t="str">
        <f>IFERROR(AVERAGE(F238:F240),"")</f>
        <v/>
      </c>
      <c r="H238" s="499"/>
      <c r="I238" s="494"/>
    </row>
    <row r="239" spans="1:9" ht="15.75" x14ac:dyDescent="0.5">
      <c r="A239" s="447"/>
      <c r="B239" s="539"/>
      <c r="C239" s="155" t="s">
        <v>7</v>
      </c>
      <c r="D239" s="281"/>
      <c r="E239" s="71"/>
      <c r="F239" s="196" t="str">
        <f>IF(E239="","",IF(OR(LEFT( 'Quantification Tool'!C$21,1)="A",LEFT( 'Quantification Tool'!C$21,1)="B"),IF(E239&lt;1.05,0,IF(E239&gt;=2.2,1,ROUND(IF(E239&lt;1.4,E239*'Reference Curves'!$C$250+'Reference Curves'!$C$251,E239*'Reference Curves'!$D$250+'Reference Curves'!$D$251),2))),                                                                                                                                                                                      IF( 'Quantification Tool'!C$21="C",IF(E239&lt;1.7,0,IF(E239&gt;=4.2,1,ROUND(IF(E239&lt;2.4,E239*'Reference Curves'!$D$147+'Reference Curves'!$D$148,E239*'Reference Curves'!$C$147+'Reference Curves'!$C$148),2))),                                                                                                                                                                                                                    IF( 'Quantification Tool'!C$21="Cb",IF(E239&lt;1.7,0,IF(E239&gt;=3.9,1,ROUND(IF(E239&lt;2.4,E239*'Reference Curves'!$D$181+'Reference Curves'!$D$182,E239*'Reference Curves'!$C$181+'Reference Curves'!$C$182),2))),
IF(LEFT( 'Quantification Tool'!C$21,1)="E",IF(E239&lt;1.7,0,IF(E239&gt;=6.7,1,ROUND(IF(E239&lt;2.4,E239*'Reference Curves'!$D$215+'Reference Curves'!$D$216,E239*'Reference Curves'!$C$215+'Reference Curves'!$C$216),2))))))))</f>
        <v/>
      </c>
      <c r="G239" s="502"/>
      <c r="H239" s="499"/>
      <c r="I239" s="494"/>
    </row>
    <row r="240" spans="1:9" ht="15.6" customHeight="1" x14ac:dyDescent="0.5">
      <c r="A240" s="448"/>
      <c r="B240" s="540"/>
      <c r="C240" s="252" t="s">
        <v>283</v>
      </c>
      <c r="D240" s="75"/>
      <c r="E240" s="73"/>
      <c r="F240" s="195" t="str">
        <f>IF(E240="","",IF('Quantification Tool'!$C$20="Unconfined Alluvial",IF(E240&lt;=0,0, IF(E240&gt;=100,1, ROUND(IF(E240&lt;10,E240*'Reference Curves'!$C$285+'Reference Curves'!$C$286, IF(E240&lt;50,E240*'Reference Curves'!$D$285+'Reference Curves'!$D$286,E240*'Reference Curves'!$E$285+'Reference Curves'!$E$286)),2))), IF('Quantification Tool'!$C$20="Confined Alluvial",IF(E240&lt;=0,0,IF(E240&gt;=50,1,ROUND(IF(E240&lt;5,E240*'Reference Curves'!$F$285+'Reference Curves'!$F$286,IF(E240&lt;25,E240*'Reference Curves'!$G$285+'Reference Curves'!$G$286,E240*'Reference Curves'!$H$285+'Reference Curves'!$H$286)),2))))))</f>
        <v/>
      </c>
      <c r="G240" s="503"/>
      <c r="H240" s="500"/>
      <c r="I240" s="495"/>
    </row>
    <row r="241" spans="1:9" ht="15.75" x14ac:dyDescent="0.5">
      <c r="A241" s="559" t="s">
        <v>19</v>
      </c>
      <c r="B241" s="480" t="s">
        <v>20</v>
      </c>
      <c r="C241" s="23" t="s">
        <v>18</v>
      </c>
      <c r="D241" s="76"/>
      <c r="E241" s="72"/>
      <c r="F241" s="178" t="str">
        <f>IF(E241="","",IF(E241&gt;=660,1,IF(E241&lt;=430,ROUND('Reference Curves'!$K$15*E241+'Reference Curves'!$K$16,2),ROUND('Reference Curves'!$L$15*E241+'Reference Curves'!$L$16,2))))</f>
        <v/>
      </c>
      <c r="G241" s="463" t="str">
        <f>IFERROR(AVERAGE(F241:F242),"")</f>
        <v/>
      </c>
      <c r="H241" s="463" t="str">
        <f>IFERROR(ROUND(AVERAGE(G241:G254),2),"")</f>
        <v/>
      </c>
      <c r="I241" s="490" t="str">
        <f>IF(H241="","",IF(H241&gt;0.69,"Functioning",IF(H241&gt;0.29,"Functioning At Risk",IF(H241&gt;-1,"Not Functioning"))))</f>
        <v/>
      </c>
    </row>
    <row r="242" spans="1:9" ht="15.75" x14ac:dyDescent="0.5">
      <c r="A242" s="560"/>
      <c r="B242" s="482"/>
      <c r="C242" s="148" t="s">
        <v>187</v>
      </c>
      <c r="D242" s="79"/>
      <c r="E242" s="71"/>
      <c r="F242" s="177" t="str">
        <f>IF(E242="","",IF(E242&gt;=28,1,ROUND(IF(E242&lt;=13,'Reference Curves'!$K$48*E242,'Reference Curves'!$L$48*E242+'Reference Curves'!$L$49),2)))</f>
        <v/>
      </c>
      <c r="G242" s="464"/>
      <c r="H242" s="504"/>
      <c r="I242" s="491"/>
    </row>
    <row r="243" spans="1:9" ht="15.75" x14ac:dyDescent="0.5">
      <c r="A243" s="560"/>
      <c r="B243" s="547" t="s">
        <v>231</v>
      </c>
      <c r="C243" s="197" t="s">
        <v>159</v>
      </c>
      <c r="D243" s="146"/>
      <c r="E243" s="72"/>
      <c r="F243" s="178" t="str">
        <f>IF(E243="","",ROUND(IF(E243&lt;=2,0,IF(E243&gt;=9,1,IF(E243&gt;=5,E243^2*'Reference Curves'!$K$83+E243*'Reference Curves'!$K$84+'Reference Curves'!$K$85, E243*'Reference Curves'!$L$84+'Reference Curves'!$L$85))),2))</f>
        <v/>
      </c>
      <c r="G243" s="463" t="str">
        <f>IFERROR(IF(E246&gt;=50,0,AVERAGE(F243:F246)),"")</f>
        <v/>
      </c>
      <c r="H243" s="504"/>
      <c r="I243" s="491"/>
    </row>
    <row r="244" spans="1:9" ht="15.75" x14ac:dyDescent="0.5">
      <c r="A244" s="560"/>
      <c r="B244" s="481"/>
      <c r="C244" s="198" t="s">
        <v>42</v>
      </c>
      <c r="D244" s="305"/>
      <c r="E244" s="71"/>
      <c r="F244" s="179" t="str">
        <f>IF(E244="","",IF(OR(E244="Ex/Ex",E244="Ex/VH",E244="Ex/H",E244="Ex/M",E244="VH/Ex",E244="VH/VH", E244="H/Ex",E244="H/VH"),0, IF(OR(E244="M/Ex"),0.1,IF(OR(E244="VH/H",E244="VH/M",E244="H/H",E244="H/M", E244="M/VH"),0.2, IF(OR(E244="Ex/VL",E244="Ex/L", E244="M/H"),0.3, IF(OR(E244="VH/L",E244="H/L"),0.4, IF(OR(E244="VH/VL",E244="H/VL",E244="M/M"),0.5, IF(OR(E244="M/L",E244="L/Ex"),0.6, IF(OR(E244="M/VL",E244="L/VH", E244="L/H",E244="L/M",E244="L/L",E244="L/VL", LEFT(E244,2)="VL"),1)))))))))</f>
        <v/>
      </c>
      <c r="G244" s="504"/>
      <c r="H244" s="504"/>
      <c r="I244" s="491"/>
    </row>
    <row r="245" spans="1:9" ht="15.75" x14ac:dyDescent="0.5">
      <c r="A245" s="560"/>
      <c r="B245" s="481"/>
      <c r="C245" s="199" t="s">
        <v>76</v>
      </c>
      <c r="D245" s="307"/>
      <c r="E245" s="71"/>
      <c r="F245" s="179" t="str">
        <f>IF(E245="","",ROUND(IF(E245&gt;=75,0,IF(E245&lt;=5,1,IF(E245&gt;10,E245*'Reference Curves'!K$116+'Reference Curves'!K$117,'Reference Curves'!$L$116*E245+'Reference Curves'!$L$117))),2))</f>
        <v/>
      </c>
      <c r="G245" s="466"/>
      <c r="H245" s="504"/>
      <c r="I245" s="491"/>
    </row>
    <row r="246" spans="1:9" ht="15.75" x14ac:dyDescent="0.5">
      <c r="A246" s="560"/>
      <c r="B246" s="482"/>
      <c r="C246" s="200" t="s">
        <v>230</v>
      </c>
      <c r="D246" s="147"/>
      <c r="E246" s="73"/>
      <c r="F246" s="180" t="str">
        <f>IF(E246="","",IF(E246&gt;=30,0,ROUND(E246*'Reference Curves'!$K$148+'Reference Curves'!$K$149,2)))</f>
        <v/>
      </c>
      <c r="G246" s="464"/>
      <c r="H246" s="504"/>
      <c r="I246" s="491"/>
    </row>
    <row r="247" spans="1:9" ht="15.75" x14ac:dyDescent="0.5">
      <c r="A247" s="560"/>
      <c r="B247" s="480" t="s">
        <v>44</v>
      </c>
      <c r="C247" s="197" t="s">
        <v>45</v>
      </c>
      <c r="D247" s="76"/>
      <c r="E247" s="72"/>
      <c r="F247" s="82" t="str">
        <f>IF(E247="","",IF('Quantification Tool'!$C$21="Bc",IF(OR(E247&gt;=12,E247&lt;=0.1),0,IF(E247&lt;=3.4,1,ROUND('Reference Curves'!$K$278*E247+'Reference Curves'!$K$279,2))),  IF(OR('Quantification Tool'!$C$21="B",'Quantification Tool'!$C$21="Ba"),IF(OR(E247&gt;=7.5,E247&lt;=0.1),0,IF(E247&lt;=3,1,ROUND(IF(E247&gt;4,'Reference Curves'!$K$247*E247+'Reference Curves'!$K$248,'Reference Curves'!$L$247*E247+'Reference Curves'!$L$248),2))),  IF('Quantification Tool'!$C$21="Cb",IF(OR(E247&gt;=8.35,E247&lt;1.4),0,IF(AND(E247&gt;=3.7,E247&lt;=5),1,ROUND(IF(E247&lt;3.7,'Reference Curves'!$K$215*E247+'Reference Curves'!$K$216,'Reference Curves'!$L$215*E247+'Reference Curves'!$L$216),2))),  IF('Quantification Tool'!$C$21="C",IF(OR(E247&gt;=9.3,E247&lt;=3),0,IF(AND(E247&gt;=4,E247&lt;=6),1,ROUND(IF(E247&lt;4,'Reference Curves'!$K$181*E247+'Reference Curves'!$K$182,'Reference Curves'!$L$181*E247+'Reference Curves'!$L$182),2))),  IF('Quantification Tool'!$C$21="E",IF(OR(E247&gt;=8.3,E247&lt;1.85),0,IF(AND(E247&gt;=3.5,E247&lt;=5),1,ROUND(IF(E247&lt;3.5,'Reference Curves'!$K$311*E247+'Reference Curves'!$K$312,'Reference Curves'!$L$311*E247+'Reference Curves'!$L$312),2)))      ))))))</f>
        <v/>
      </c>
      <c r="G247" s="465" t="str">
        <f>IFERROR(AVERAGE(F247:F250),"")</f>
        <v/>
      </c>
      <c r="H247" s="504"/>
      <c r="I247" s="491"/>
    </row>
    <row r="248" spans="1:9" ht="15.75" x14ac:dyDescent="0.5">
      <c r="A248" s="560"/>
      <c r="B248" s="481"/>
      <c r="C248" s="198" t="s">
        <v>46</v>
      </c>
      <c r="D248" s="305"/>
      <c r="E248" s="71"/>
      <c r="F248" s="83" t="str">
        <f>IF(E248="","",IF(E248&lt;=1,0,IF(E248&gt;=3.2,1,IF(E248&gt;=2.2,ROUND('Reference Curves'!$L$343*E248+'Reference Curves'!$L$344,2),(ROUND('Reference Curves'!$K$343*E248+'Reference Curves'!$K$344,2))))))</f>
        <v/>
      </c>
      <c r="G248" s="466"/>
      <c r="H248" s="504"/>
      <c r="I248" s="491"/>
    </row>
    <row r="249" spans="1:9" ht="15.75" x14ac:dyDescent="0.5">
      <c r="A249" s="560"/>
      <c r="B249" s="481"/>
      <c r="C249" s="148" t="s">
        <v>195</v>
      </c>
      <c r="D249" s="305"/>
      <c r="E249" s="71"/>
      <c r="F249" s="360" t="str">
        <f>IF(E249="","", IF('Quantification Tool'!$C$15="","FALSE",IF('Quantification Tool'!$C$15&lt;3,IF( OR(E249&gt;=91,E249&lt;=13.5),0, IF(AND(E249&gt;49,E249&lt;61), 1, ROUND(IF(E249&lt;50,'Reference Curves'!$K$377*E249+'Reference Curves'!$K$378, IF(E249&gt;60,'Reference Curves'!$L$377*E249+'Reference Curves'!$L$378)),2))), IF('Quantification Tool'!$C$15&gt;=3,IF(OR(E249&gt;94.5,E249&lt;41.5),0, IF(AND(E249 &gt;=68, E249&lt;=78),1, ROUND(IF(E249&lt;68,'Reference Curves'!$K$411*E249+'Reference Curves'!$K$412,'Reference Curves'!$L$411*E249+'Reference Curves'!$L$412),2) ))))))</f>
        <v/>
      </c>
      <c r="G249" s="466"/>
      <c r="H249" s="504"/>
      <c r="I249" s="491"/>
    </row>
    <row r="250" spans="1:9" ht="15.75" x14ac:dyDescent="0.5">
      <c r="A250" s="560"/>
      <c r="B250" s="482"/>
      <c r="C250" s="201" t="s">
        <v>142</v>
      </c>
      <c r="D250" s="78"/>
      <c r="E250" s="73"/>
      <c r="F250" s="361" t="str">
        <f>IF(E250="","",IF(E250&gt;=1.6,0,IF(E250&lt;=1,1,ROUND('Reference Curves'!$K$442*E250^3+'Reference Curves'!$K$443*E250^2+'Reference Curves'!$K$444*E250+'Reference Curves'!$K$445,2))))</f>
        <v/>
      </c>
      <c r="G250" s="467"/>
      <c r="H250" s="504"/>
      <c r="I250" s="491"/>
    </row>
    <row r="251" spans="1:9" ht="15.75" x14ac:dyDescent="0.5">
      <c r="A251" s="560"/>
      <c r="B251" s="480" t="s">
        <v>43</v>
      </c>
      <c r="C251" s="148" t="s">
        <v>409</v>
      </c>
      <c r="D251" s="305"/>
      <c r="E251" s="72"/>
      <c r="F251" s="190" t="str">
        <f>IF( E251="","",
IF( 'Quantification Tool'!$C$20="Unconfined Alluvial", IF( E251&gt;=100,1,
ROUND('Reference Curves'!$K$479*E251+'Reference Curves'!$K$480,2) ),
IF( OR('Quantification Tool'!$C$20="Confined Alluvial", 'Quantification Tool'!$C$20="Colluvial/V-Shaped",'Quantification Tool'!$C$20="Bedrock"), ( IF(E251&gt;=100,1,
IF(E251&gt;=60, ROUND('Reference Curves'!$L$479*E251+'Reference Curves'!$L$480,2), ROUND('Reference Curves'!$M$479*E251+'Reference Curves'!$M$480,2) ) ) ) ) ) )</f>
        <v/>
      </c>
      <c r="G251" s="463" t="str">
        <f>IFERROR(AVERAGE(F251:F254),"")</f>
        <v/>
      </c>
      <c r="H251" s="504"/>
      <c r="I251" s="491"/>
    </row>
    <row r="252" spans="1:9" ht="15.75" x14ac:dyDescent="0.5">
      <c r="A252" s="560"/>
      <c r="B252" s="481"/>
      <c r="C252" s="148" t="s">
        <v>219</v>
      </c>
      <c r="D252" s="305"/>
      <c r="E252" s="71"/>
      <c r="F252" s="358" t="str">
        <f>IF( E252="","", IF('Quantification Tool'!$C$18&lt;&gt;"Woody","FALSE", IF( OR('Quantification Tool'!$C$12="Mountains",'Quantification Tool'!$C$12="Basins"),
IF(E252&lt;=0,0, IF(E252&gt;=122,1, IF(E252&lt;69, ROUND('Reference Curves'!$K$512*E252+'Reference Curves'!$K$513,2), ROUND('Reference Curves'!$L$512*E252+'Reference Curves'!$L$513,2) ) ) ),
IF('Quantification Tool'!$C$12="Plains",IF(OR(E252&lt;=0,E252&gt;111),0,IF(AND(E252&gt;=69,E252&lt;=76),1,IF(E252&lt;69,ROUND(E252*'Reference Curves'!$K$547+'Reference Curves'!$K$548,2),ROUND(E252*'Reference Curves'!$L$547+'Reference Curves'!$L$548,2))))))))</f>
        <v/>
      </c>
      <c r="G252" s="504"/>
      <c r="H252" s="504"/>
      <c r="I252" s="491"/>
    </row>
    <row r="253" spans="1:9" ht="15.75" x14ac:dyDescent="0.5">
      <c r="A253" s="560"/>
      <c r="B253" s="546"/>
      <c r="C253" s="148" t="s">
        <v>220</v>
      </c>
      <c r="D253" s="305"/>
      <c r="E253" s="71"/>
      <c r="F253" s="83" t="str">
        <f>IF(E253="","",IF('Quantification Tool'!$C$18="Herbaceous",IF(E253&lt;=34,0,IF(E253&gt;=120,1,IF(E253&gt;73,ROUND(E253*'Reference Curves'!$L$579+'Reference Curves'!$L$580,2),ROUND(E253*'Reference Curves'!$K$579+'Reference Curves'!$K$580,2))))))</f>
        <v/>
      </c>
      <c r="G253" s="466"/>
      <c r="H253" s="504"/>
      <c r="I253" s="491"/>
    </row>
    <row r="254" spans="1:9" ht="15.75" x14ac:dyDescent="0.5">
      <c r="A254" s="561"/>
      <c r="B254" s="482"/>
      <c r="C254" s="297" t="s">
        <v>229</v>
      </c>
      <c r="D254" s="308"/>
      <c r="E254" s="73"/>
      <c r="F254" s="209" t="str">
        <f>IF(E254="","",IF(E254&lt;=46,0,IF(E254&gt;=100,1,IF(AND(E254&lt;=100,E254&gt;91),ROUND(E254*'Reference Curves'!$L$611+'Reference Curves'!$L$612,2),ROUND(E254*'Reference Curves'!$K$611+'Reference Curves'!$K$612,2)))))</f>
        <v/>
      </c>
      <c r="G254" s="464"/>
      <c r="H254" s="464"/>
      <c r="I254" s="492"/>
    </row>
    <row r="255" spans="1:9" ht="15.75" x14ac:dyDescent="0.5">
      <c r="A255" s="550" t="s">
        <v>50</v>
      </c>
      <c r="B255" s="475" t="s">
        <v>71</v>
      </c>
      <c r="C255" s="207" t="s">
        <v>244</v>
      </c>
      <c r="D255" s="211"/>
      <c r="E255" s="72"/>
      <c r="F255" s="216" t="str">
        <f>IF(E255="","",IF('Quantification Tool'!$C$17="","Enter Stream Temperature",  IF('Quantification Tool'!$C$17="CS-I (MWF)",IF(E255&gt;=21.2,0,1),  IF('Quantification Tool'!$C$17="CS-I",IF(E255&gt;=21.7,0,1),  IF('Quantification Tool'!$C$17="CS-II",IF(E255&gt;=23.9,0,1),  IF('Quantification Tool'!$C$17="WS-I",IF(E255&gt;=29,0,1),  IF('Quantification Tool'!$C$17="WS-II",IF(E255&gt;=28.6,0,1), IF('Quantification Tool'!$C$17="WS-III",IF(E255&gt;=31.8,0,1)))))))))</f>
        <v/>
      </c>
      <c r="G255" s="483" t="str">
        <f>IFERROR(AVERAGE(F255:F256),"")</f>
        <v/>
      </c>
      <c r="H255" s="483" t="str">
        <f>IFERROR(ROUND(AVERAGE(G255:G258),2),"")</f>
        <v/>
      </c>
      <c r="I255" s="497" t="str">
        <f>IF(H255="","",IF(H255&gt;0.69,"Functioning",IF(H255&gt;0.29,"Functioning At Risk",IF(H255&gt;-1,"Not Functioning"))))</f>
        <v/>
      </c>
    </row>
    <row r="256" spans="1:9" ht="15.75" x14ac:dyDescent="0.5">
      <c r="A256" s="551"/>
      <c r="B256" s="477"/>
      <c r="C256" s="210" t="s">
        <v>188</v>
      </c>
      <c r="D256" s="212"/>
      <c r="E256" s="73"/>
      <c r="F256" s="181" t="str">
        <f>IF(E256="","",IF('Quantification Tool'!$C$17="","Enter Stream Temperature",  IF('Quantification Tool'!$C$17="CS-I (MWF)",IF(E256&gt;=18.3,0,IF(E256&lt;=13.8,1,ROUND(E256*'Reference Curves'!$S$20+'Reference Curves'!$S$21,2))),  IF('Quantification Tool'!$C$17="CS-I",IF(E256&gt;=17.6,0,IF(E256&lt;=15.7,1,ROUND(E256*'Reference Curves'!$T$20+'Reference Curves'!$T$21,2))),  IF('Quantification Tool'!$C$17="CS-II",IF(E256&gt;=19.1,0,IF(E256&lt;=16.6,1,ROUND(E256*'Reference Curves'!$U$20+'Reference Curves'!$U$21,2))),  IF('Quantification Tool'!$C$17="WS-I",IF(E256&gt;=25.7,0,IF(E256&lt;=20.9,1,ROUND(E256*'Reference Curves'!$V$20+'Reference Curves'!$V$21,2))),  IF('Quantification Tool'!$C$17="WS-II",IF(E256&gt;=29.7,0,IF(E256&lt;=22.5,1,ROUND(E256*'Reference Curves'!$W$20+'Reference Curves'!$W$21,2))), IF('Quantification Tool'!$C$17="WS-III",IF(E256&gt;=30,0,IF(E256&lt;=25.9,1,ROUND(E256*'Reference Curves'!$X$20+'Reference Curves'!$X$21,2)))    ))))))))</f>
        <v/>
      </c>
      <c r="G256" s="484"/>
      <c r="H256" s="506"/>
      <c r="I256" s="497"/>
    </row>
    <row r="257" spans="1:9" ht="15.75" x14ac:dyDescent="0.5">
      <c r="A257" s="551"/>
      <c r="B257" s="208" t="s">
        <v>242</v>
      </c>
      <c r="C257" s="316" t="s">
        <v>243</v>
      </c>
      <c r="D257" s="301"/>
      <c r="E257" s="71"/>
      <c r="F257" s="181" t="str">
        <f>IF(E257="","",ROUND( IF(E257&lt;=6,0, IF(E257&gt;=10.31,1,E257*'Reference Curves'!$S$52+'Reference Curves'!$S$53)),2))</f>
        <v/>
      </c>
      <c r="G257" s="86" t="str">
        <f>IFERROR(AVERAGE(F257),"")</f>
        <v/>
      </c>
      <c r="H257" s="506"/>
      <c r="I257" s="497"/>
    </row>
    <row r="258" spans="1:9" ht="15.75" x14ac:dyDescent="0.5">
      <c r="A258" s="552"/>
      <c r="B258" s="278" t="s">
        <v>158</v>
      </c>
      <c r="C258" s="24" t="s">
        <v>421</v>
      </c>
      <c r="D258" s="318"/>
      <c r="E258" s="54"/>
      <c r="F258" s="181" t="str">
        <f>IF(E258="","",IF(OR('Quantification Tool'!$C$13=3),IF(E258&gt;=150,0,IF(E258&lt;=16,1,ROUND('Reference Curves'!$S$87*LN(E258)+'Reference Curves'!$S$88,2))), IF(OR('Quantification Tool'!$C$13=1,'Quantification Tool'!$C$13=2),  IF(E258&gt;=97,0,IF(E258&lt;=12,1,ROUND('Reference Curves'!$T$87*LN(E258)+'Reference Curves'!$T$88,2))))))</f>
        <v/>
      </c>
      <c r="G258" s="86" t="str">
        <f>IFERROR(AVERAGE(F258),"")</f>
        <v/>
      </c>
      <c r="H258" s="484"/>
      <c r="I258" s="497"/>
    </row>
    <row r="259" spans="1:9" ht="15.75" x14ac:dyDescent="0.5">
      <c r="A259" s="553" t="s">
        <v>51</v>
      </c>
      <c r="B259" s="282" t="s">
        <v>132</v>
      </c>
      <c r="C259" s="317" t="s">
        <v>249</v>
      </c>
      <c r="D259" s="306"/>
      <c r="E259" s="72"/>
      <c r="F259" s="218" t="str">
        <f>IF(E259="","",IF('Quantification Tool'!$C$13="","Enter Biotype",IF('Quantification Tool'!$C$13=1,IF(E259&lt;=0,0,IF(E259&gt;=57,1,ROUND(IF(E259&lt;=34,'Reference Curves'!$AB$18*E259+'Reference Curves'!$AB$19,  IF(E259&lt;=45, 'Reference Curves'!$AC$18*E259+'Reference Curves'!$AC$19,  'Reference Curves'!$AD$18*E259+'Reference Curves'!$AD$19)),2))),   IF('Quantification Tool'!$C$13=2,IF(E259&lt;=0,0,IF(E259&gt;=63,1,ROUND(IF(E259&lt;=40,'Reference Curves'!$AE$18*E259+'Reference Curves'!$AE$19,  IF(E259&lt;=48,'Reference Curves'!$AF$18*E259+'Reference Curves'!$AF$19,  'Reference Curves'!$AG$18*E259+'Reference Curves'!$AG$19)),2))),   IF(OR('Quantification Tool'!$C$13=3),IF(E259&lt;=0,0,IF(E259&gt;=52,1,ROUND(IF(E259&lt;=29,'Reference Curves'!$AH$18*E259+'Reference Curves'!$AH$19, IF(E259&lt;=42, 'Reference Curves'!$AI$18*E259+'Reference Curves'!$AI$19,  'Reference Curves'!$AJ$18*E259+'Reference Curves'!$AJ$19)),2))))))))</f>
        <v/>
      </c>
      <c r="G259" s="89" t="str">
        <f>IFERROR(AVERAGE(F259),"")</f>
        <v/>
      </c>
      <c r="H259" s="505" t="str">
        <f>IFERROR(ROUND(AVERAGE(G259:G262),2),"")</f>
        <v/>
      </c>
      <c r="I259" s="497" t="str">
        <f>IF(H259="","",IF(H259&gt;0.69,"Functioning",IF(H259&gt;0.29,"Functioning At Risk",IF(H259&gt;-1,"Not Functioning"))))</f>
        <v/>
      </c>
    </row>
    <row r="260" spans="1:9" ht="15.75" x14ac:dyDescent="0.5">
      <c r="A260" s="554"/>
      <c r="B260" s="556" t="s">
        <v>66</v>
      </c>
      <c r="C260" s="40" t="s">
        <v>190</v>
      </c>
      <c r="D260" s="88"/>
      <c r="E260" s="72"/>
      <c r="F260" s="89" t="str">
        <f>IF(E260="","",IF(E260&lt;=0,0,IF(E260&gt;=100,1,ROUND(IF(E260&lt;80,E260*'Reference Curves'!$AB$53+'Reference Curves'!$AB$54,E260*'Reference Curves'!$AC$53+'Reference Curves'!$AC$54),2))))</f>
        <v/>
      </c>
      <c r="G260" s="460" t="str">
        <f>IFERROR(AVERAGE(F260:F262),"")</f>
        <v/>
      </c>
      <c r="H260" s="505"/>
      <c r="I260" s="497"/>
    </row>
    <row r="261" spans="1:9" ht="15.75" x14ac:dyDescent="0.5">
      <c r="A261" s="554"/>
      <c r="B261" s="557"/>
      <c r="C261" s="41" t="s">
        <v>191</v>
      </c>
      <c r="D261" s="306"/>
      <c r="E261" s="71"/>
      <c r="F261" s="89" t="str">
        <f>IF(E261="","",ROUND(IF(E261&gt;=3,0,IF(E261&gt;=2,0.3,IF(E261&gt;=1,0.69,1))),2))</f>
        <v/>
      </c>
      <c r="G261" s="461"/>
      <c r="H261" s="505"/>
      <c r="I261" s="497"/>
    </row>
    <row r="262" spans="1:9" ht="15.75" x14ac:dyDescent="0.5">
      <c r="A262" s="555"/>
      <c r="B262" s="558"/>
      <c r="C262" s="27" t="s">
        <v>268</v>
      </c>
      <c r="D262" s="319"/>
      <c r="E262" s="73"/>
      <c r="F262" s="87" t="str">
        <f>IF(E262="","",IF('Quantification Tool'!$C$19="","Enter Stream Producitvity Rating",IF('Quantification Tool'!$C$19="High",IF(E262&lt;5,0,IF(E262&gt;=40,1,ROUND(E262*'Reference Curves'!$AB$89+'Reference Curves'!$AB$90,2))),IF('Quantification Tool'!$C$19="Moderate",IF(E262&lt;10,0,IF(E262&gt;=80,1,ROUND(E262*'Reference Curves'!$AC$89+'Reference Curves'!$AC$90,2))),IF('Quantification Tool'!$C$19="Low",IF(E262&lt;15,0,IF(E262&gt;=119,1,ROUND(E262*'Reference Curves'!$AD$89+'Reference Curves'!$AD$90,2)))   )))))</f>
        <v/>
      </c>
      <c r="G262" s="462"/>
      <c r="H262" s="505"/>
      <c r="I262" s="497"/>
    </row>
    <row r="265" spans="1:9" ht="21" x14ac:dyDescent="0.65">
      <c r="A265" s="365" t="s">
        <v>114</v>
      </c>
      <c r="B265" s="185"/>
      <c r="C265" s="186" t="s">
        <v>212</v>
      </c>
      <c r="D265" s="542"/>
      <c r="E265" s="543"/>
      <c r="F265" s="544"/>
      <c r="G265" s="487" t="s">
        <v>334</v>
      </c>
      <c r="H265" s="488"/>
      <c r="I265" s="489"/>
    </row>
    <row r="266" spans="1:9" ht="15.75" x14ac:dyDescent="0.5">
      <c r="A266" s="290" t="s">
        <v>1</v>
      </c>
      <c r="B266" s="39" t="s">
        <v>2</v>
      </c>
      <c r="C266" s="173" t="s">
        <v>3</v>
      </c>
      <c r="D266" s="174"/>
      <c r="E266" s="39" t="s">
        <v>12</v>
      </c>
      <c r="F266" s="39" t="s">
        <v>13</v>
      </c>
      <c r="G266" s="39" t="s">
        <v>14</v>
      </c>
      <c r="H266" s="39" t="s">
        <v>15</v>
      </c>
      <c r="I266" s="290" t="s">
        <v>15</v>
      </c>
    </row>
    <row r="267" spans="1:9" ht="15.75" x14ac:dyDescent="0.5">
      <c r="A267" s="446" t="s">
        <v>186</v>
      </c>
      <c r="B267" s="545" t="s">
        <v>107</v>
      </c>
      <c r="C267" s="153" t="s">
        <v>185</v>
      </c>
      <c r="D267" s="154"/>
      <c r="E267" s="72"/>
      <c r="F267" s="234" t="str">
        <f>IF(E267="","",IF(E267&gt;=78,0,IF(E267&lt;=55,1,ROUND(E267*'Reference Curves'!$C$14+'Reference Curves'!$C$15,2))))</f>
        <v/>
      </c>
      <c r="G267" s="498" t="str">
        <f>IFERROR(AVERAGE(F267:F268),"")</f>
        <v/>
      </c>
      <c r="H267" s="498" t="str">
        <f>IFERROR(ROUND(AVERAGE(G267:G273),2),"")</f>
        <v/>
      </c>
      <c r="I267" s="493" t="str">
        <f>IF(H267="","",IF(H267:H273&gt;0.69,"Functioning",IF(H267&gt;0.29,"Functioning At Risk",IF(H267&gt;-1,"Not Functioning"))))</f>
        <v/>
      </c>
    </row>
    <row r="268" spans="1:9" ht="15.75" x14ac:dyDescent="0.5">
      <c r="A268" s="447"/>
      <c r="B268" s="540"/>
      <c r="C268" s="217" t="s">
        <v>303</v>
      </c>
      <c r="D268" s="74"/>
      <c r="E268" s="71"/>
      <c r="F268" s="235" t="str">
        <f>IF(E268="","",   IF(E268&gt;3.2,0, IF(E268&lt;0, "", ROUND('Reference Curves'!$C$44*E268+'Reference Curves'!$C$45,2))))</f>
        <v/>
      </c>
      <c r="G268" s="499"/>
      <c r="H268" s="499"/>
      <c r="I268" s="494"/>
    </row>
    <row r="269" spans="1:9" ht="15.75" x14ac:dyDescent="0.5">
      <c r="A269" s="447"/>
      <c r="B269" s="541" t="s">
        <v>250</v>
      </c>
      <c r="C269" s="230" t="s">
        <v>329</v>
      </c>
      <c r="D269" s="227"/>
      <c r="E269" s="228"/>
      <c r="F269" s="251" t="s">
        <v>253</v>
      </c>
      <c r="G269" s="498" t="str">
        <f>IFERROR(IF(AND(ISNUMBER(E269),E269&lt;1),0,AVERAGE(F269:F270)),"")</f>
        <v/>
      </c>
      <c r="H269" s="499"/>
      <c r="I269" s="494"/>
    </row>
    <row r="270" spans="1:9" ht="15.75" x14ac:dyDescent="0.5">
      <c r="A270" s="447"/>
      <c r="B270" s="539"/>
      <c r="C270" s="231" t="s">
        <v>251</v>
      </c>
      <c r="D270" s="226"/>
      <c r="E270" s="194"/>
      <c r="F270" s="245" t="str">
        <f>IF(E270="","", IF('Quantification Tool'!$C$17= "CS-II", ROUND(IF(E270&lt;=0.6,0, IF(E270&gt;=2.3,1,E270*'Reference Curves'!$E$78+'Reference Curves'!$E$79)),2),
IF(AND('Quantification Tool'!$C$14&lt;20,LEFT('Quantification Tool'!$C$17,2)="CS"),ROUND(IF(E270&lt;=0.2,0, IF(E270&gt;=1,1,E270*'Reference Curves'!$C$78+'Reference Curves'!$C$79)),2),
 IF(AND('Quantification Tool'!$C$14&gt;=20,LEFT('Quantification Tool'!$C$17,2)= "CS"), ROUND(IF(E270&lt;=0.4,0, IF(E270&gt;=1.5,1,E270*'Reference Curves'!$D$78+'Reference Curves'!$D$79)),2) ))))</f>
        <v/>
      </c>
      <c r="G270" s="500"/>
      <c r="H270" s="499"/>
      <c r="I270" s="494"/>
    </row>
    <row r="271" spans="1:9" ht="15.75" x14ac:dyDescent="0.5">
      <c r="A271" s="447"/>
      <c r="B271" s="538" t="s">
        <v>5</v>
      </c>
      <c r="C271" s="332" t="s">
        <v>6</v>
      </c>
      <c r="D271" s="154"/>
      <c r="E271" s="71"/>
      <c r="F271" s="196" t="str">
        <f>IF(E271="","",
IF(E271&gt;1.71,0,IF( E271&gt;1,ROUND(E271*'Reference Curves'!D$113+'Reference Curves'!D$114,2),
IF( 'Quantification Tool'!C$22="Transport", ROUND(IF( E271&lt;0.35,0, E271*'Reference Curves'!$C$113+'Reference Curves'!$C$114 ),2), 1 ))))</f>
        <v/>
      </c>
      <c r="G271" s="502" t="str">
        <f>IFERROR(AVERAGE(F271:F273),"")</f>
        <v/>
      </c>
      <c r="H271" s="499"/>
      <c r="I271" s="494"/>
    </row>
    <row r="272" spans="1:9" ht="15.75" x14ac:dyDescent="0.5">
      <c r="A272" s="447"/>
      <c r="B272" s="539"/>
      <c r="C272" s="155" t="s">
        <v>7</v>
      </c>
      <c r="D272" s="281"/>
      <c r="E272" s="71"/>
      <c r="F272" s="196" t="str">
        <f>IF(E272="","",IF(OR(LEFT( 'Quantification Tool'!C$21,1)="A",LEFT( 'Quantification Tool'!C$21,1)="B"),IF(E272&lt;1.05,0,IF(E272&gt;=2.2,1,ROUND(IF(E272&lt;1.4,E272*'Reference Curves'!$C$250+'Reference Curves'!$C$251,E272*'Reference Curves'!$D$250+'Reference Curves'!$D$251),2))),                                                                                                                                                                                      IF( 'Quantification Tool'!C$21="C",IF(E272&lt;1.7,0,IF(E272&gt;=4.2,1,ROUND(IF(E272&lt;2.4,E272*'Reference Curves'!$D$147+'Reference Curves'!$D$148,E272*'Reference Curves'!$C$147+'Reference Curves'!$C$148),2))),                                                                                                                                                                                                                    IF( 'Quantification Tool'!C$21="Cb",IF(E272&lt;1.7,0,IF(E272&gt;=3.9,1,ROUND(IF(E272&lt;2.4,E272*'Reference Curves'!$D$181+'Reference Curves'!$D$182,E272*'Reference Curves'!$C$181+'Reference Curves'!$C$182),2))),
IF(LEFT( 'Quantification Tool'!C$21,1)="E",IF(E272&lt;1.7,0,IF(E272&gt;=6.7,1,ROUND(IF(E272&lt;2.4,E272*'Reference Curves'!$D$215+'Reference Curves'!$D$216,E272*'Reference Curves'!$C$215+'Reference Curves'!$C$216),2))))))))</f>
        <v/>
      </c>
      <c r="G272" s="502"/>
      <c r="H272" s="499"/>
      <c r="I272" s="494"/>
    </row>
    <row r="273" spans="1:9" ht="15.6" customHeight="1" x14ac:dyDescent="0.5">
      <c r="A273" s="448"/>
      <c r="B273" s="540"/>
      <c r="C273" s="252" t="s">
        <v>283</v>
      </c>
      <c r="D273" s="75"/>
      <c r="E273" s="73"/>
      <c r="F273" s="195" t="str">
        <f>IF(E273="","",IF('Quantification Tool'!$C$20="Unconfined Alluvial",IF(E273&lt;=0,0, IF(E273&gt;=100,1, ROUND(IF(E273&lt;10,E273*'Reference Curves'!$C$285+'Reference Curves'!$C$286, IF(E273&lt;50,E273*'Reference Curves'!$D$285+'Reference Curves'!$D$286,E273*'Reference Curves'!$E$285+'Reference Curves'!$E$286)),2))), IF('Quantification Tool'!$C$20="Confined Alluvial",IF(E273&lt;=0,0,IF(E273&gt;=50,1,ROUND(IF(E273&lt;5,E273*'Reference Curves'!$F$285+'Reference Curves'!$F$286,IF(E273&lt;25,E273*'Reference Curves'!$G$285+'Reference Curves'!$G$286,E273*'Reference Curves'!$H$285+'Reference Curves'!$H$286)),2))))))</f>
        <v/>
      </c>
      <c r="G273" s="503"/>
      <c r="H273" s="500"/>
      <c r="I273" s="495"/>
    </row>
    <row r="274" spans="1:9" ht="15.75" x14ac:dyDescent="0.5">
      <c r="A274" s="559" t="s">
        <v>19</v>
      </c>
      <c r="B274" s="480" t="s">
        <v>20</v>
      </c>
      <c r="C274" s="23" t="s">
        <v>18</v>
      </c>
      <c r="D274" s="76"/>
      <c r="E274" s="72"/>
      <c r="F274" s="178" t="str">
        <f>IF(E274="","",IF(E274&gt;=660,1,IF(E274&lt;=430,ROUND('Reference Curves'!$K$15*E274+'Reference Curves'!$K$16,2),ROUND('Reference Curves'!$L$15*E274+'Reference Curves'!$L$16,2))))</f>
        <v/>
      </c>
      <c r="G274" s="463" t="str">
        <f>IFERROR(AVERAGE(F274:F275),"")</f>
        <v/>
      </c>
      <c r="H274" s="463" t="str">
        <f>IFERROR(ROUND(AVERAGE(G274:G287),2),"")</f>
        <v/>
      </c>
      <c r="I274" s="490" t="str">
        <f>IF(H274="","",IF(H274&gt;0.69,"Functioning",IF(H274&gt;0.29,"Functioning At Risk",IF(H274&gt;-1,"Not Functioning"))))</f>
        <v/>
      </c>
    </row>
    <row r="275" spans="1:9" ht="15.75" x14ac:dyDescent="0.5">
      <c r="A275" s="560"/>
      <c r="B275" s="482"/>
      <c r="C275" s="148" t="s">
        <v>187</v>
      </c>
      <c r="D275" s="79"/>
      <c r="E275" s="71"/>
      <c r="F275" s="177" t="str">
        <f>IF(E275="","",IF(E275&gt;=28,1,ROUND(IF(E275&lt;=13,'Reference Curves'!$K$48*E275,'Reference Curves'!$L$48*E275+'Reference Curves'!$L$49),2)))</f>
        <v/>
      </c>
      <c r="G275" s="464"/>
      <c r="H275" s="504"/>
      <c r="I275" s="491"/>
    </row>
    <row r="276" spans="1:9" ht="15.75" x14ac:dyDescent="0.5">
      <c r="A276" s="560"/>
      <c r="B276" s="547" t="s">
        <v>231</v>
      </c>
      <c r="C276" s="197" t="s">
        <v>159</v>
      </c>
      <c r="D276" s="146"/>
      <c r="E276" s="72"/>
      <c r="F276" s="178" t="str">
        <f>IF(E276="","",ROUND(IF(E276&lt;=2,0,IF(E276&gt;=9,1,IF(E276&gt;=5,E276^2*'Reference Curves'!$K$83+E276*'Reference Curves'!$K$84+'Reference Curves'!$K$85, E276*'Reference Curves'!$L$84+'Reference Curves'!$L$85))),2))</f>
        <v/>
      </c>
      <c r="G276" s="463" t="str">
        <f>IFERROR(IF(E279&gt;=50,0,AVERAGE(F276:F279)),"")</f>
        <v/>
      </c>
      <c r="H276" s="504"/>
      <c r="I276" s="491"/>
    </row>
    <row r="277" spans="1:9" ht="15.75" x14ac:dyDescent="0.5">
      <c r="A277" s="560"/>
      <c r="B277" s="481"/>
      <c r="C277" s="198" t="s">
        <v>42</v>
      </c>
      <c r="D277" s="305"/>
      <c r="E277" s="71"/>
      <c r="F277" s="179" t="str">
        <f>IF(E277="","",IF(OR(E277="Ex/Ex",E277="Ex/VH",E277="Ex/H",E277="Ex/M",E277="VH/Ex",E277="VH/VH", E277="H/Ex",E277="H/VH"),0, IF(OR(E277="M/Ex"),0.1,IF(OR(E277="VH/H",E277="VH/M",E277="H/H",E277="H/M", E277="M/VH"),0.2, IF(OR(E277="Ex/VL",E277="Ex/L", E277="M/H"),0.3, IF(OR(E277="VH/L",E277="H/L"),0.4, IF(OR(E277="VH/VL",E277="H/VL",E277="M/M"),0.5, IF(OR(E277="M/L",E277="L/Ex"),0.6, IF(OR(E277="M/VL",E277="L/VH", E277="L/H",E277="L/M",E277="L/L",E277="L/VL", LEFT(E277,2)="VL"),1)))))))))</f>
        <v/>
      </c>
      <c r="G277" s="504"/>
      <c r="H277" s="504"/>
      <c r="I277" s="491"/>
    </row>
    <row r="278" spans="1:9" ht="15.75" x14ac:dyDescent="0.5">
      <c r="A278" s="560"/>
      <c r="B278" s="481"/>
      <c r="C278" s="199" t="s">
        <v>76</v>
      </c>
      <c r="D278" s="307"/>
      <c r="E278" s="71"/>
      <c r="F278" s="179" t="str">
        <f>IF(E278="","",ROUND(IF(E278&gt;=75,0,IF(E278&lt;=5,1,IF(E278&gt;10,E278*'Reference Curves'!K$116+'Reference Curves'!K$117,'Reference Curves'!$L$116*E278+'Reference Curves'!$L$117))),2))</f>
        <v/>
      </c>
      <c r="G278" s="466"/>
      <c r="H278" s="504"/>
      <c r="I278" s="491"/>
    </row>
    <row r="279" spans="1:9" ht="15.75" x14ac:dyDescent="0.5">
      <c r="A279" s="560"/>
      <c r="B279" s="482"/>
      <c r="C279" s="200" t="s">
        <v>230</v>
      </c>
      <c r="D279" s="147"/>
      <c r="E279" s="73"/>
      <c r="F279" s="180" t="str">
        <f>IF(E279="","",IF(E279&gt;=30,0,ROUND(E279*'Reference Curves'!$K$148+'Reference Curves'!$K$149,2)))</f>
        <v/>
      </c>
      <c r="G279" s="464"/>
      <c r="H279" s="504"/>
      <c r="I279" s="491"/>
    </row>
    <row r="280" spans="1:9" ht="15.75" x14ac:dyDescent="0.5">
      <c r="A280" s="560"/>
      <c r="B280" s="480" t="s">
        <v>44</v>
      </c>
      <c r="C280" s="197" t="s">
        <v>45</v>
      </c>
      <c r="D280" s="76"/>
      <c r="E280" s="72"/>
      <c r="F280" s="82" t="str">
        <f>IF(E280="","",IF('Quantification Tool'!$C$21="Bc",IF(OR(E280&gt;=12,E280&lt;=0.1),0,IF(E280&lt;=3.4,1,ROUND('Reference Curves'!$K$278*E280+'Reference Curves'!$K$279,2))),  IF(OR('Quantification Tool'!$C$21="B",'Quantification Tool'!$C$21="Ba"),IF(OR(E280&gt;=7.5,E280&lt;=0.1),0,IF(E280&lt;=3,1,ROUND(IF(E280&gt;4,'Reference Curves'!$K$247*E280+'Reference Curves'!$K$248,'Reference Curves'!$L$247*E280+'Reference Curves'!$L$248),2))),  IF('Quantification Tool'!$C$21="Cb",IF(OR(E280&gt;=8.35,E280&lt;1.4),0,IF(AND(E280&gt;=3.7,E280&lt;=5),1,ROUND(IF(E280&lt;3.7,'Reference Curves'!$K$215*E280+'Reference Curves'!$K$216,'Reference Curves'!$L$215*E280+'Reference Curves'!$L$216),2))),  IF('Quantification Tool'!$C$21="C",IF(OR(E280&gt;=9.3,E280&lt;=3),0,IF(AND(E280&gt;=4,E280&lt;=6),1,ROUND(IF(E280&lt;4,'Reference Curves'!$K$181*E280+'Reference Curves'!$K$182,'Reference Curves'!$L$181*E280+'Reference Curves'!$L$182),2))),  IF('Quantification Tool'!$C$21="E",IF(OR(E280&gt;=8.3,E280&lt;1.85),0,IF(AND(E280&gt;=3.5,E280&lt;=5),1,ROUND(IF(E280&lt;3.5,'Reference Curves'!$K$311*E280+'Reference Curves'!$K$312,'Reference Curves'!$L$311*E280+'Reference Curves'!$L$312),2)))      ))))))</f>
        <v/>
      </c>
      <c r="G280" s="465" t="str">
        <f>IFERROR(AVERAGE(F280:F283),"")</f>
        <v/>
      </c>
      <c r="H280" s="504"/>
      <c r="I280" s="491"/>
    </row>
    <row r="281" spans="1:9" ht="15.75" x14ac:dyDescent="0.5">
      <c r="A281" s="560"/>
      <c r="B281" s="481"/>
      <c r="C281" s="198" t="s">
        <v>46</v>
      </c>
      <c r="D281" s="305"/>
      <c r="E281" s="71"/>
      <c r="F281" s="83" t="str">
        <f>IF(E281="","",IF(E281&lt;=1,0,IF(E281&gt;=3.2,1,IF(E281&gt;=2.2,ROUND('Reference Curves'!$L$343*E281+'Reference Curves'!$L$344,2),(ROUND('Reference Curves'!$K$343*E281+'Reference Curves'!$K$344,2))))))</f>
        <v/>
      </c>
      <c r="G281" s="466"/>
      <c r="H281" s="504"/>
      <c r="I281" s="491"/>
    </row>
    <row r="282" spans="1:9" ht="15.75" x14ac:dyDescent="0.5">
      <c r="A282" s="560"/>
      <c r="B282" s="481"/>
      <c r="C282" s="148" t="s">
        <v>195</v>
      </c>
      <c r="D282" s="305"/>
      <c r="E282" s="71"/>
      <c r="F282" s="360" t="str">
        <f>IF(E282="","", IF('Quantification Tool'!$C$15="","FALSE",IF('Quantification Tool'!$C$15&lt;3,IF( OR(E282&gt;=91,E282&lt;=13.5),0, IF(AND(E282&gt;49,E282&lt;61), 1, ROUND(IF(E282&lt;50,'Reference Curves'!$K$377*E282+'Reference Curves'!$K$378, IF(E282&gt;60,'Reference Curves'!$L$377*E282+'Reference Curves'!$L$378)),2))), IF('Quantification Tool'!$C$15&gt;=3,IF(OR(E282&gt;94.5,E282&lt;41.5),0, IF(AND(E282 &gt;=68, E282&lt;=78),1, ROUND(IF(E282&lt;68,'Reference Curves'!$K$411*E282+'Reference Curves'!$K$412,'Reference Curves'!$L$411*E282+'Reference Curves'!$L$412),2) ))))))</f>
        <v/>
      </c>
      <c r="G282" s="466"/>
      <c r="H282" s="504"/>
      <c r="I282" s="491"/>
    </row>
    <row r="283" spans="1:9" ht="15.75" x14ac:dyDescent="0.5">
      <c r="A283" s="560"/>
      <c r="B283" s="482"/>
      <c r="C283" s="201" t="s">
        <v>142</v>
      </c>
      <c r="D283" s="78"/>
      <c r="E283" s="73"/>
      <c r="F283" s="361" t="str">
        <f>IF(E283="","",IF(E283&gt;=1.6,0,IF(E283&lt;=1,1,ROUND('Reference Curves'!$K$442*E283^3+'Reference Curves'!$K$443*E283^2+'Reference Curves'!$K$444*E283+'Reference Curves'!$K$445,2))))</f>
        <v/>
      </c>
      <c r="G283" s="467"/>
      <c r="H283" s="504"/>
      <c r="I283" s="491"/>
    </row>
    <row r="284" spans="1:9" ht="15.75" x14ac:dyDescent="0.5">
      <c r="A284" s="560"/>
      <c r="B284" s="480" t="s">
        <v>43</v>
      </c>
      <c r="C284" s="148" t="s">
        <v>409</v>
      </c>
      <c r="D284" s="305"/>
      <c r="E284" s="72"/>
      <c r="F284" s="190" t="str">
        <f>IF( E284="","",
IF( 'Quantification Tool'!$C$20="Unconfined Alluvial", IF( E284&gt;=100,1,
ROUND('Reference Curves'!$K$479*E284+'Reference Curves'!$K$480,2) ),
IF( OR('Quantification Tool'!$C$20="Confined Alluvial", 'Quantification Tool'!$C$20="Colluvial/V-Shaped",'Quantification Tool'!$C$20="Bedrock"), ( IF(E284&gt;=100,1,
IF(E284&gt;=60, ROUND('Reference Curves'!$L$479*E284+'Reference Curves'!$L$480,2), ROUND('Reference Curves'!$M$479*E284+'Reference Curves'!$M$480,2) ) ) ) ) ) )</f>
        <v/>
      </c>
      <c r="G284" s="463" t="str">
        <f>IFERROR(AVERAGE(F284:F287),"")</f>
        <v/>
      </c>
      <c r="H284" s="504"/>
      <c r="I284" s="491"/>
    </row>
    <row r="285" spans="1:9" ht="15.75" x14ac:dyDescent="0.5">
      <c r="A285" s="560"/>
      <c r="B285" s="481"/>
      <c r="C285" s="148" t="s">
        <v>219</v>
      </c>
      <c r="D285" s="305"/>
      <c r="E285" s="71"/>
      <c r="F285" s="358" t="str">
        <f>IF( E285="","", IF('Quantification Tool'!$C$18&lt;&gt;"Woody","FALSE", IF( OR('Quantification Tool'!$C$12="Mountains",'Quantification Tool'!$C$12="Basins"),
IF(E285&lt;=0,0, IF(E285&gt;=122,1, IF(E285&lt;69, ROUND('Reference Curves'!$K$512*E285+'Reference Curves'!$K$513,2), ROUND('Reference Curves'!$L$512*E285+'Reference Curves'!$L$513,2) ) ) ),
IF('Quantification Tool'!$C$12="Plains",IF(OR(E285&lt;=0,E285&gt;111),0,IF(AND(E285&gt;=69,E285&lt;=76),1,IF(E285&lt;69,ROUND(E285*'Reference Curves'!$K$547+'Reference Curves'!$K$548,2),ROUND(E285*'Reference Curves'!$L$547+'Reference Curves'!$L$548,2))))))))</f>
        <v/>
      </c>
      <c r="G285" s="504"/>
      <c r="H285" s="504"/>
      <c r="I285" s="491"/>
    </row>
    <row r="286" spans="1:9" ht="15.75" x14ac:dyDescent="0.5">
      <c r="A286" s="560"/>
      <c r="B286" s="546"/>
      <c r="C286" s="148" t="s">
        <v>220</v>
      </c>
      <c r="D286" s="305"/>
      <c r="E286" s="71"/>
      <c r="F286" s="83" t="str">
        <f>IF(E286="","",IF('Quantification Tool'!$C$18="Herbaceous",IF(E286&lt;=34,0,IF(E286&gt;=120,1,IF(E286&gt;73,ROUND(E286*'Reference Curves'!$L$579+'Reference Curves'!$L$580,2),ROUND(E286*'Reference Curves'!$K$579+'Reference Curves'!$K$580,2))))))</f>
        <v/>
      </c>
      <c r="G286" s="466"/>
      <c r="H286" s="504"/>
      <c r="I286" s="491"/>
    </row>
    <row r="287" spans="1:9" ht="15.75" x14ac:dyDescent="0.5">
      <c r="A287" s="561"/>
      <c r="B287" s="482"/>
      <c r="C287" s="297" t="s">
        <v>229</v>
      </c>
      <c r="D287" s="308"/>
      <c r="E287" s="73"/>
      <c r="F287" s="209" t="str">
        <f>IF(E287="","",IF(E287&lt;=46,0,IF(E287&gt;=100,1,IF(AND(E287&lt;=100,E287&gt;91),ROUND(E287*'Reference Curves'!$L$611+'Reference Curves'!$L$612,2),ROUND(E287*'Reference Curves'!$K$611+'Reference Curves'!$K$612,2)))))</f>
        <v/>
      </c>
      <c r="G287" s="464"/>
      <c r="H287" s="464"/>
      <c r="I287" s="492"/>
    </row>
    <row r="288" spans="1:9" ht="15.75" x14ac:dyDescent="0.5">
      <c r="A288" s="550" t="s">
        <v>50</v>
      </c>
      <c r="B288" s="475" t="s">
        <v>71</v>
      </c>
      <c r="C288" s="207" t="s">
        <v>244</v>
      </c>
      <c r="D288" s="211"/>
      <c r="E288" s="72"/>
      <c r="F288" s="216" t="str">
        <f>IF(E288="","",IF('Quantification Tool'!$C$17="","Enter Stream Temperature",  IF('Quantification Tool'!$C$17="CS-I (MWF)",IF(E288&gt;=21.2,0,1),  IF('Quantification Tool'!$C$17="CS-I",IF(E288&gt;=21.7,0,1),  IF('Quantification Tool'!$C$17="CS-II",IF(E288&gt;=23.9,0,1),  IF('Quantification Tool'!$C$17="WS-I",IF(E288&gt;=29,0,1),  IF('Quantification Tool'!$C$17="WS-II",IF(E288&gt;=28.6,0,1), IF('Quantification Tool'!$C$17="WS-III",IF(E288&gt;=31.8,0,1)))))))))</f>
        <v/>
      </c>
      <c r="G288" s="483" t="str">
        <f>IFERROR(AVERAGE(F288:F289),"")</f>
        <v/>
      </c>
      <c r="H288" s="483" t="str">
        <f>IFERROR(ROUND(AVERAGE(G288:G291),2),"")</f>
        <v/>
      </c>
      <c r="I288" s="497" t="str">
        <f>IF(H288="","",IF(H288&gt;0.69,"Functioning",IF(H288&gt;0.29,"Functioning At Risk",IF(H288&gt;-1,"Not Functioning"))))</f>
        <v/>
      </c>
    </row>
    <row r="289" spans="1:9" ht="15.75" x14ac:dyDescent="0.5">
      <c r="A289" s="551"/>
      <c r="B289" s="477"/>
      <c r="C289" s="210" t="s">
        <v>188</v>
      </c>
      <c r="D289" s="212"/>
      <c r="E289" s="73"/>
      <c r="F289" s="181" t="str">
        <f>IF(E289="","",IF('Quantification Tool'!$C$17="","Enter Stream Temperature",  IF('Quantification Tool'!$C$17="CS-I (MWF)",IF(E289&gt;=18.3,0,IF(E289&lt;=13.8,1,ROUND(E289*'Reference Curves'!$S$20+'Reference Curves'!$S$21,2))),  IF('Quantification Tool'!$C$17="CS-I",IF(E289&gt;=17.6,0,IF(E289&lt;=15.7,1,ROUND(E289*'Reference Curves'!$T$20+'Reference Curves'!$T$21,2))),  IF('Quantification Tool'!$C$17="CS-II",IF(E289&gt;=19.1,0,IF(E289&lt;=16.6,1,ROUND(E289*'Reference Curves'!$U$20+'Reference Curves'!$U$21,2))),  IF('Quantification Tool'!$C$17="WS-I",IF(E289&gt;=25.7,0,IF(E289&lt;=20.9,1,ROUND(E289*'Reference Curves'!$V$20+'Reference Curves'!$V$21,2))),  IF('Quantification Tool'!$C$17="WS-II",IF(E289&gt;=29.7,0,IF(E289&lt;=22.5,1,ROUND(E289*'Reference Curves'!$W$20+'Reference Curves'!$W$21,2))), IF('Quantification Tool'!$C$17="WS-III",IF(E289&gt;=30,0,IF(E289&lt;=25.9,1,ROUND(E289*'Reference Curves'!$X$20+'Reference Curves'!$X$21,2)))    ))))))))</f>
        <v/>
      </c>
      <c r="G289" s="484"/>
      <c r="H289" s="506"/>
      <c r="I289" s="497"/>
    </row>
    <row r="290" spans="1:9" ht="15.75" x14ac:dyDescent="0.5">
      <c r="A290" s="551"/>
      <c r="B290" s="208" t="s">
        <v>242</v>
      </c>
      <c r="C290" s="316" t="s">
        <v>243</v>
      </c>
      <c r="D290" s="301"/>
      <c r="E290" s="71"/>
      <c r="F290" s="181" t="str">
        <f>IF(E290="","",ROUND( IF(E290&lt;=6,0, IF(E290&gt;=10.31,1,E290*'Reference Curves'!$S$52+'Reference Curves'!$S$53)),2))</f>
        <v/>
      </c>
      <c r="G290" s="86" t="str">
        <f>IFERROR(AVERAGE(F290),"")</f>
        <v/>
      </c>
      <c r="H290" s="506"/>
      <c r="I290" s="497"/>
    </row>
    <row r="291" spans="1:9" ht="15.75" x14ac:dyDescent="0.5">
      <c r="A291" s="552"/>
      <c r="B291" s="278" t="s">
        <v>158</v>
      </c>
      <c r="C291" s="24" t="s">
        <v>421</v>
      </c>
      <c r="D291" s="318"/>
      <c r="E291" s="54"/>
      <c r="F291" s="181" t="str">
        <f>IF(E291="","",IF(OR('Quantification Tool'!$C$13=3),IF(E291&gt;=150,0,IF(E291&lt;=16,1,ROUND('Reference Curves'!$S$87*LN(E291)+'Reference Curves'!$S$88,2))), IF(OR('Quantification Tool'!$C$13=1,'Quantification Tool'!$C$13=2),  IF(E291&gt;=97,0,IF(E291&lt;=12,1,ROUND('Reference Curves'!$T$87*LN(E291)+'Reference Curves'!$T$88,2))))))</f>
        <v/>
      </c>
      <c r="G291" s="86" t="str">
        <f>IFERROR(AVERAGE(F291),"")</f>
        <v/>
      </c>
      <c r="H291" s="484"/>
      <c r="I291" s="497"/>
    </row>
    <row r="292" spans="1:9" ht="15.75" x14ac:dyDescent="0.5">
      <c r="A292" s="553" t="s">
        <v>51</v>
      </c>
      <c r="B292" s="282" t="s">
        <v>132</v>
      </c>
      <c r="C292" s="317" t="s">
        <v>249</v>
      </c>
      <c r="D292" s="306"/>
      <c r="E292" s="72"/>
      <c r="F292" s="218" t="str">
        <f>IF(E292="","",IF('Quantification Tool'!$C$13="","Enter Biotype",IF('Quantification Tool'!$C$13=1,IF(E292&lt;=0,0,IF(E292&gt;=57,1,ROUND(IF(E292&lt;=34,'Reference Curves'!$AB$18*E292+'Reference Curves'!$AB$19,  IF(E292&lt;=45, 'Reference Curves'!$AC$18*E292+'Reference Curves'!$AC$19,  'Reference Curves'!$AD$18*E292+'Reference Curves'!$AD$19)),2))),   IF('Quantification Tool'!$C$13=2,IF(E292&lt;=0,0,IF(E292&gt;=63,1,ROUND(IF(E292&lt;=40,'Reference Curves'!$AE$18*E292+'Reference Curves'!$AE$19,  IF(E292&lt;=48,'Reference Curves'!$AF$18*E292+'Reference Curves'!$AF$19,  'Reference Curves'!$AG$18*E292+'Reference Curves'!$AG$19)),2))),   IF(OR('Quantification Tool'!$C$13=3),IF(E292&lt;=0,0,IF(E292&gt;=52,1,ROUND(IF(E292&lt;=29,'Reference Curves'!$AH$18*E292+'Reference Curves'!$AH$19, IF(E292&lt;=42, 'Reference Curves'!$AI$18*E292+'Reference Curves'!$AI$19,  'Reference Curves'!$AJ$18*E292+'Reference Curves'!$AJ$19)),2))))))))</f>
        <v/>
      </c>
      <c r="G292" s="89" t="str">
        <f>IFERROR(AVERAGE(F292),"")</f>
        <v/>
      </c>
      <c r="H292" s="505" t="str">
        <f>IFERROR(ROUND(AVERAGE(G292:G295),2),"")</f>
        <v/>
      </c>
      <c r="I292" s="497" t="str">
        <f>IF(H292="","",IF(H292&gt;0.69,"Functioning",IF(H292&gt;0.29,"Functioning At Risk",IF(H292&gt;-1,"Not Functioning"))))</f>
        <v/>
      </c>
    </row>
    <row r="293" spans="1:9" ht="15.75" x14ac:dyDescent="0.5">
      <c r="A293" s="554"/>
      <c r="B293" s="556" t="s">
        <v>66</v>
      </c>
      <c r="C293" s="40" t="s">
        <v>190</v>
      </c>
      <c r="D293" s="88"/>
      <c r="E293" s="72"/>
      <c r="F293" s="89" t="str">
        <f>IF(E293="","",IF(E293&lt;=0,0,IF(E293&gt;=100,1,ROUND(IF(E293&lt;80,E293*'Reference Curves'!$AB$53+'Reference Curves'!$AB$54,E293*'Reference Curves'!$AC$53+'Reference Curves'!$AC$54),2))))</f>
        <v/>
      </c>
      <c r="G293" s="460" t="str">
        <f>IFERROR(AVERAGE(F293:F295),"")</f>
        <v/>
      </c>
      <c r="H293" s="505"/>
      <c r="I293" s="497"/>
    </row>
    <row r="294" spans="1:9" ht="15.75" x14ac:dyDescent="0.5">
      <c r="A294" s="554"/>
      <c r="B294" s="557"/>
      <c r="C294" s="41" t="s">
        <v>191</v>
      </c>
      <c r="D294" s="306"/>
      <c r="E294" s="71"/>
      <c r="F294" s="89" t="str">
        <f>IF(E294="","",ROUND(IF(E294&gt;=3,0,IF(E294&gt;=2,0.3,IF(E294&gt;=1,0.69,1))),2))</f>
        <v/>
      </c>
      <c r="G294" s="461"/>
      <c r="H294" s="505"/>
      <c r="I294" s="497"/>
    </row>
    <row r="295" spans="1:9" ht="15.75" x14ac:dyDescent="0.5">
      <c r="A295" s="555"/>
      <c r="B295" s="558"/>
      <c r="C295" s="27" t="s">
        <v>268</v>
      </c>
      <c r="D295" s="319"/>
      <c r="E295" s="73"/>
      <c r="F295" s="87" t="str">
        <f>IF(E295="","",IF('Quantification Tool'!$C$19="","Enter Stream Producitvity Rating",IF('Quantification Tool'!$C$19="High",IF(E295&lt;5,0,IF(E295&gt;=40,1,ROUND(E295*'Reference Curves'!$AB$89+'Reference Curves'!$AB$90,2))),IF('Quantification Tool'!$C$19="Moderate",IF(E295&lt;10,0,IF(E295&gt;=80,1,ROUND(E295*'Reference Curves'!$AC$89+'Reference Curves'!$AC$90,2))),IF('Quantification Tool'!$C$19="Low",IF(E295&lt;15,0,IF(E295&gt;=119,1,ROUND(E295*'Reference Curves'!$AD$89+'Reference Curves'!$AD$90,2)))   )))))</f>
        <v/>
      </c>
      <c r="G295" s="462"/>
      <c r="H295" s="505"/>
      <c r="I295" s="497"/>
    </row>
    <row r="298" spans="1:9" ht="21" x14ac:dyDescent="0.65">
      <c r="A298" s="365" t="s">
        <v>114</v>
      </c>
      <c r="B298" s="185"/>
      <c r="C298" s="186" t="s">
        <v>212</v>
      </c>
      <c r="D298" s="542"/>
      <c r="E298" s="543"/>
      <c r="F298" s="544"/>
      <c r="G298" s="487" t="s">
        <v>334</v>
      </c>
      <c r="H298" s="488"/>
      <c r="I298" s="489"/>
    </row>
    <row r="299" spans="1:9" ht="16.5" customHeight="1" x14ac:dyDescent="0.5">
      <c r="A299" s="290" t="s">
        <v>1</v>
      </c>
      <c r="B299" s="39" t="s">
        <v>2</v>
      </c>
      <c r="C299" s="173" t="s">
        <v>3</v>
      </c>
      <c r="D299" s="174"/>
      <c r="E299" s="39" t="s">
        <v>12</v>
      </c>
      <c r="F299" s="39" t="s">
        <v>13</v>
      </c>
      <c r="G299" s="39" t="s">
        <v>14</v>
      </c>
      <c r="H299" s="39" t="s">
        <v>15</v>
      </c>
      <c r="I299" s="290" t="s">
        <v>15</v>
      </c>
    </row>
    <row r="300" spans="1:9" ht="15.75" customHeight="1" x14ac:dyDescent="0.5">
      <c r="A300" s="446" t="s">
        <v>186</v>
      </c>
      <c r="B300" s="545" t="s">
        <v>107</v>
      </c>
      <c r="C300" s="153" t="s">
        <v>185</v>
      </c>
      <c r="D300" s="154"/>
      <c r="E300" s="72"/>
      <c r="F300" s="234" t="str">
        <f>IF(E300="","",IF(E300&gt;=78,0,IF(E300&lt;=55,1,ROUND(E300*'Reference Curves'!$C$14+'Reference Curves'!$C$15,2))))</f>
        <v/>
      </c>
      <c r="G300" s="498" t="str">
        <f>IFERROR(AVERAGE(F300:F301),"")</f>
        <v/>
      </c>
      <c r="H300" s="498" t="str">
        <f>IFERROR(ROUND(AVERAGE(G300:G306),2),"")</f>
        <v/>
      </c>
      <c r="I300" s="493" t="str">
        <f>IF(H300="","",IF(H300:H306&gt;0.69,"Functioning",IF(H300&gt;0.29,"Functioning At Risk",IF(H300&gt;-1,"Not Functioning"))))</f>
        <v/>
      </c>
    </row>
    <row r="301" spans="1:9" ht="15.75" customHeight="1" x14ac:dyDescent="0.5">
      <c r="A301" s="447"/>
      <c r="B301" s="540"/>
      <c r="C301" s="217" t="s">
        <v>303</v>
      </c>
      <c r="D301" s="74"/>
      <c r="E301" s="71"/>
      <c r="F301" s="235" t="str">
        <f>IF(E301="","",   IF(E301&gt;3.2,0, IF(E301&lt;0, "", ROUND('Reference Curves'!$C$44*E301+'Reference Curves'!$C$45,2))))</f>
        <v/>
      </c>
      <c r="G301" s="499"/>
      <c r="H301" s="499"/>
      <c r="I301" s="494"/>
    </row>
    <row r="302" spans="1:9" ht="15.75" customHeight="1" x14ac:dyDescent="0.5">
      <c r="A302" s="447"/>
      <c r="B302" s="541" t="s">
        <v>250</v>
      </c>
      <c r="C302" s="230" t="s">
        <v>329</v>
      </c>
      <c r="D302" s="227"/>
      <c r="E302" s="228"/>
      <c r="F302" s="251" t="s">
        <v>253</v>
      </c>
      <c r="G302" s="498" t="str">
        <f>IFERROR(IF(AND(ISNUMBER(E302),E302&lt;1),0,AVERAGE(F302:F303)),"")</f>
        <v/>
      </c>
      <c r="H302" s="499"/>
      <c r="I302" s="494"/>
    </row>
    <row r="303" spans="1:9" ht="15.75" customHeight="1" x14ac:dyDescent="0.5">
      <c r="A303" s="447"/>
      <c r="B303" s="539"/>
      <c r="C303" s="231" t="s">
        <v>251</v>
      </c>
      <c r="D303" s="226"/>
      <c r="E303" s="194"/>
      <c r="F303" s="245" t="str">
        <f>IF(E303="","", IF('Quantification Tool'!$C$17= "CS-II", ROUND(IF(E303&lt;=0.6,0, IF(E303&gt;=2.3,1,E303*'Reference Curves'!$E$78+'Reference Curves'!$E$79)),2),
IF(AND('Quantification Tool'!$C$14&lt;20,LEFT('Quantification Tool'!$C$17,2)="CS"),ROUND(IF(E303&lt;=0.2,0, IF(E303&gt;=1,1,E303*'Reference Curves'!$C$78+'Reference Curves'!$C$79)),2),
 IF(AND('Quantification Tool'!$C$14&gt;=20,LEFT('Quantification Tool'!$C$17,2)= "CS"), ROUND(IF(E303&lt;=0.4,0, IF(E303&gt;=1.5,1,E303*'Reference Curves'!$D$78+'Reference Curves'!$D$79)),2) ))))</f>
        <v/>
      </c>
      <c r="G303" s="500"/>
      <c r="H303" s="499"/>
      <c r="I303" s="494"/>
    </row>
    <row r="304" spans="1:9" ht="15.75" customHeight="1" x14ac:dyDescent="0.5">
      <c r="A304" s="447"/>
      <c r="B304" s="538" t="s">
        <v>5</v>
      </c>
      <c r="C304" s="332" t="s">
        <v>6</v>
      </c>
      <c r="D304" s="154"/>
      <c r="E304" s="71"/>
      <c r="F304" s="196" t="str">
        <f>IF(E304="","",
IF(E304&gt;1.71,0,IF( E304&gt;1,ROUND(E304*'Reference Curves'!D$113+'Reference Curves'!D$114,2),
IF( 'Quantification Tool'!C$22="Transport", ROUND(IF( E304&lt;0.35,0, E304*'Reference Curves'!$C$113+'Reference Curves'!$C$114 ),2), 1 ))))</f>
        <v/>
      </c>
      <c r="G304" s="502" t="str">
        <f>IFERROR(AVERAGE(F304:F306),"")</f>
        <v/>
      </c>
      <c r="H304" s="499"/>
      <c r="I304" s="494"/>
    </row>
    <row r="305" spans="1:9" ht="15.75" customHeight="1" x14ac:dyDescent="0.5">
      <c r="A305" s="447"/>
      <c r="B305" s="539"/>
      <c r="C305" s="155" t="s">
        <v>7</v>
      </c>
      <c r="D305" s="281"/>
      <c r="E305" s="71"/>
      <c r="F305" s="196" t="str">
        <f>IF(E305="","",IF(OR(LEFT( 'Quantification Tool'!C$21,1)="A",LEFT( 'Quantification Tool'!C$21,1)="B"),IF(E305&lt;1.05,0,IF(E305&gt;=2.2,1,ROUND(IF(E305&lt;1.4,E305*'Reference Curves'!$C$250+'Reference Curves'!$C$251,E305*'Reference Curves'!$D$250+'Reference Curves'!$D$251),2))),                                                                                                                                                                                      IF( 'Quantification Tool'!C$21="C",IF(E305&lt;1.7,0,IF(E305&gt;=4.2,1,ROUND(IF(E305&lt;2.4,E305*'Reference Curves'!$D$147+'Reference Curves'!$D$148,E305*'Reference Curves'!$C$147+'Reference Curves'!$C$148),2))),                                                                                                                                                                                                                    IF( 'Quantification Tool'!C$21="Cb",IF(E305&lt;1.7,0,IF(E305&gt;=3.9,1,ROUND(IF(E305&lt;2.4,E305*'Reference Curves'!$D$181+'Reference Curves'!$D$182,E305*'Reference Curves'!$C$181+'Reference Curves'!$C$182),2))),
IF(LEFT( 'Quantification Tool'!C$21,1)="E",IF(E305&lt;1.7,0,IF(E305&gt;=6.7,1,ROUND(IF(E305&lt;2.4,E305*'Reference Curves'!$D$215+'Reference Curves'!$D$216,E305*'Reference Curves'!$C$215+'Reference Curves'!$C$216),2))))))))</f>
        <v/>
      </c>
      <c r="G305" s="502"/>
      <c r="H305" s="499"/>
      <c r="I305" s="494"/>
    </row>
    <row r="306" spans="1:9" ht="15" customHeight="1" x14ac:dyDescent="0.5">
      <c r="A306" s="448"/>
      <c r="B306" s="540"/>
      <c r="C306" s="252" t="s">
        <v>283</v>
      </c>
      <c r="D306" s="75"/>
      <c r="E306" s="73"/>
      <c r="F306" s="195" t="str">
        <f>IF(E306="","",IF('Quantification Tool'!$C$20="Unconfined Alluvial",IF(E306&lt;=0,0, IF(E306&gt;=100,1, ROUND(IF(E306&lt;10,E306*'Reference Curves'!$C$285+'Reference Curves'!$C$286, IF(E306&lt;50,E306*'Reference Curves'!$D$285+'Reference Curves'!$D$286,E306*'Reference Curves'!$E$285+'Reference Curves'!$E$286)),2))), IF('Quantification Tool'!$C$20="Confined Alluvial",IF(E306&lt;=0,0,IF(E306&gt;=50,1,ROUND(IF(E306&lt;5,E306*'Reference Curves'!$F$285+'Reference Curves'!$F$286,IF(E306&lt;25,E306*'Reference Curves'!$G$285+'Reference Curves'!$G$286,E306*'Reference Curves'!$H$285+'Reference Curves'!$H$286)),2))))))</f>
        <v/>
      </c>
      <c r="G306" s="503"/>
      <c r="H306" s="500"/>
      <c r="I306" s="495"/>
    </row>
    <row r="307" spans="1:9" ht="15" customHeight="1" x14ac:dyDescent="0.5">
      <c r="A307" s="559" t="s">
        <v>19</v>
      </c>
      <c r="B307" s="480" t="s">
        <v>20</v>
      </c>
      <c r="C307" s="23" t="s">
        <v>18</v>
      </c>
      <c r="D307" s="76"/>
      <c r="E307" s="72"/>
      <c r="F307" s="178" t="str">
        <f>IF(E307="","",IF(E307&gt;=660,1,IF(E307&lt;=430,ROUND('Reference Curves'!$K$15*E307+'Reference Curves'!$K$16,2),ROUND('Reference Curves'!$L$15*E307+'Reference Curves'!$L$16,2))))</f>
        <v/>
      </c>
      <c r="G307" s="463" t="str">
        <f>IFERROR(AVERAGE(F307:F308),"")</f>
        <v/>
      </c>
      <c r="H307" s="463" t="str">
        <f>IFERROR(ROUND(AVERAGE(G307:G320),2),"")</f>
        <v/>
      </c>
      <c r="I307" s="490" t="str">
        <f>IF(H307="","",IF(H307&gt;0.69,"Functioning",IF(H307&gt;0.29,"Functioning At Risk",IF(H307&gt;-1,"Not Functioning"))))</f>
        <v/>
      </c>
    </row>
    <row r="308" spans="1:9" ht="15" customHeight="1" x14ac:dyDescent="0.5">
      <c r="A308" s="560"/>
      <c r="B308" s="482"/>
      <c r="C308" s="148" t="s">
        <v>187</v>
      </c>
      <c r="D308" s="79"/>
      <c r="E308" s="71"/>
      <c r="F308" s="177" t="str">
        <f>IF(E308="","",IF(E308&gt;=28,1,ROUND(IF(E308&lt;=13,'Reference Curves'!$K$48*E308,'Reference Curves'!$L$48*E308+'Reference Curves'!$L$49),2)))</f>
        <v/>
      </c>
      <c r="G308" s="464"/>
      <c r="H308" s="504"/>
      <c r="I308" s="491"/>
    </row>
    <row r="309" spans="1:9" ht="15.75" x14ac:dyDescent="0.5">
      <c r="A309" s="560"/>
      <c r="B309" s="547" t="s">
        <v>231</v>
      </c>
      <c r="C309" s="197" t="s">
        <v>159</v>
      </c>
      <c r="D309" s="146"/>
      <c r="E309" s="72"/>
      <c r="F309" s="178" t="str">
        <f>IF(E309="","",ROUND(IF(E309&lt;=2,0,IF(E309&gt;=9,1,IF(E309&gt;=5,E309^2*'Reference Curves'!$K$83+E309*'Reference Curves'!$K$84+'Reference Curves'!$K$85, E309*'Reference Curves'!$L$84+'Reference Curves'!$L$85))),2))</f>
        <v/>
      </c>
      <c r="G309" s="463" t="str">
        <f>IFERROR(IF(E312&gt;=50,0,AVERAGE(F309:F312)),"")</f>
        <v/>
      </c>
      <c r="H309" s="504"/>
      <c r="I309" s="491"/>
    </row>
    <row r="310" spans="1:9" ht="15.75" x14ac:dyDescent="0.5">
      <c r="A310" s="560"/>
      <c r="B310" s="481"/>
      <c r="C310" s="198" t="s">
        <v>42</v>
      </c>
      <c r="D310" s="305"/>
      <c r="E310" s="71"/>
      <c r="F310" s="179" t="str">
        <f>IF(E310="","",IF(OR(E310="Ex/Ex",E310="Ex/VH",E310="Ex/H",E310="Ex/M",E310="VH/Ex",E310="VH/VH", E310="H/Ex",E310="H/VH"),0, IF(OR(E310="M/Ex"),0.1,IF(OR(E310="VH/H",E310="VH/M",E310="H/H",E310="H/M", E310="M/VH"),0.2, IF(OR(E310="Ex/VL",E310="Ex/L", E310="M/H"),0.3, IF(OR(E310="VH/L",E310="H/L"),0.4, IF(OR(E310="VH/VL",E310="H/VL",E310="M/M"),0.5, IF(OR(E310="M/L",E310="L/Ex"),0.6, IF(OR(E310="M/VL",E310="L/VH", E310="L/H",E310="L/M",E310="L/L",E310="L/VL", LEFT(E310,2)="VL"),1)))))))))</f>
        <v/>
      </c>
      <c r="G310" s="504"/>
      <c r="H310" s="504"/>
      <c r="I310" s="491"/>
    </row>
    <row r="311" spans="1:9" ht="15.75" x14ac:dyDescent="0.5">
      <c r="A311" s="560"/>
      <c r="B311" s="481"/>
      <c r="C311" s="199" t="s">
        <v>76</v>
      </c>
      <c r="D311" s="307"/>
      <c r="E311" s="71"/>
      <c r="F311" s="179" t="str">
        <f>IF(E311="","",ROUND(IF(E311&gt;=75,0,IF(E311&lt;=5,1,IF(E311&gt;10,E311*'Reference Curves'!K$116+'Reference Curves'!K$117,'Reference Curves'!$L$116*E311+'Reference Curves'!$L$117))),2))</f>
        <v/>
      </c>
      <c r="G311" s="466"/>
      <c r="H311" s="504"/>
      <c r="I311" s="491"/>
    </row>
    <row r="312" spans="1:9" ht="15.75" x14ac:dyDescent="0.5">
      <c r="A312" s="560"/>
      <c r="B312" s="482"/>
      <c r="C312" s="200" t="s">
        <v>230</v>
      </c>
      <c r="D312" s="147"/>
      <c r="E312" s="73"/>
      <c r="F312" s="180" t="str">
        <f>IF(E312="","",IF(E312&gt;=30,0,ROUND(E312*'Reference Curves'!$K$148+'Reference Curves'!$K$149,2)))</f>
        <v/>
      </c>
      <c r="G312" s="464"/>
      <c r="H312" s="504"/>
      <c r="I312" s="491"/>
    </row>
    <row r="313" spans="1:9" ht="15.75" x14ac:dyDescent="0.5">
      <c r="A313" s="560"/>
      <c r="B313" s="480" t="s">
        <v>44</v>
      </c>
      <c r="C313" s="197" t="s">
        <v>45</v>
      </c>
      <c r="D313" s="76"/>
      <c r="E313" s="72"/>
      <c r="F313" s="82" t="str">
        <f>IF(E313="","",IF('Quantification Tool'!$C$21="Bc",IF(OR(E313&gt;=12,E313&lt;=0.1),0,IF(E313&lt;=3.4,1,ROUND('Reference Curves'!$K$278*E313+'Reference Curves'!$K$279,2))),  IF(OR('Quantification Tool'!$C$21="B",'Quantification Tool'!$C$21="Ba"),IF(OR(E313&gt;=7.5,E313&lt;=0.1),0,IF(E313&lt;=3,1,ROUND(IF(E313&gt;4,'Reference Curves'!$K$247*E313+'Reference Curves'!$K$248,'Reference Curves'!$L$247*E313+'Reference Curves'!$L$248),2))),  IF('Quantification Tool'!$C$21="Cb",IF(OR(E313&gt;=8.35,E313&lt;1.4),0,IF(AND(E313&gt;=3.7,E313&lt;=5),1,ROUND(IF(E313&lt;3.7,'Reference Curves'!$K$215*E313+'Reference Curves'!$K$216,'Reference Curves'!$L$215*E313+'Reference Curves'!$L$216),2))),  IF('Quantification Tool'!$C$21="C",IF(OR(E313&gt;=9.3,E313&lt;=3),0,IF(AND(E313&gt;=4,E313&lt;=6),1,ROUND(IF(E313&lt;4,'Reference Curves'!$K$181*E313+'Reference Curves'!$K$182,'Reference Curves'!$L$181*E313+'Reference Curves'!$L$182),2))),  IF('Quantification Tool'!$C$21="E",IF(OR(E313&gt;=8.3,E313&lt;1.85),0,IF(AND(E313&gt;=3.5,E313&lt;=5),1,ROUND(IF(E313&lt;3.5,'Reference Curves'!$K$311*E313+'Reference Curves'!$K$312,'Reference Curves'!$L$311*E313+'Reference Curves'!$L$312),2)))      ))))))</f>
        <v/>
      </c>
      <c r="G313" s="465" t="str">
        <f>IFERROR(AVERAGE(F313:F316),"")</f>
        <v/>
      </c>
      <c r="H313" s="504"/>
      <c r="I313" s="491"/>
    </row>
    <row r="314" spans="1:9" ht="15.75" x14ac:dyDescent="0.5">
      <c r="A314" s="560"/>
      <c r="B314" s="481"/>
      <c r="C314" s="198" t="s">
        <v>46</v>
      </c>
      <c r="D314" s="305"/>
      <c r="E314" s="71"/>
      <c r="F314" s="83" t="str">
        <f>IF(E314="","",IF(E314&lt;=1,0,IF(E314&gt;=3.2,1,IF(E314&gt;=2.2,ROUND('Reference Curves'!$L$343*E314+'Reference Curves'!$L$344,2),(ROUND('Reference Curves'!$K$343*E314+'Reference Curves'!$K$344,2))))))</f>
        <v/>
      </c>
      <c r="G314" s="466"/>
      <c r="H314" s="504"/>
      <c r="I314" s="491"/>
    </row>
    <row r="315" spans="1:9" ht="15.75" x14ac:dyDescent="0.5">
      <c r="A315" s="560"/>
      <c r="B315" s="481"/>
      <c r="C315" s="148" t="s">
        <v>195</v>
      </c>
      <c r="D315" s="305"/>
      <c r="E315" s="71"/>
      <c r="F315" s="360" t="str">
        <f>IF(E315="","", IF('Quantification Tool'!$C$15="","FALSE",IF('Quantification Tool'!$C$15&lt;3,IF( OR(E315&gt;=91,E315&lt;=13.5),0, IF(AND(E315&gt;49,E315&lt;61), 1, ROUND(IF(E315&lt;50,'Reference Curves'!$K$377*E315+'Reference Curves'!$K$378, IF(E315&gt;60,'Reference Curves'!$L$377*E315+'Reference Curves'!$L$378)),2))), IF('Quantification Tool'!$C$15&gt;=3,IF(OR(E315&gt;94.5,E315&lt;41.5),0, IF(AND(E315 &gt;=68, E315&lt;=78),1, ROUND(IF(E315&lt;68,'Reference Curves'!$K$411*E315+'Reference Curves'!$K$412,'Reference Curves'!$L$411*E315+'Reference Curves'!$L$412),2) ))))))</f>
        <v/>
      </c>
      <c r="G315" s="466"/>
      <c r="H315" s="504"/>
      <c r="I315" s="491"/>
    </row>
    <row r="316" spans="1:9" ht="15.75" x14ac:dyDescent="0.5">
      <c r="A316" s="560"/>
      <c r="B316" s="482"/>
      <c r="C316" s="201" t="s">
        <v>142</v>
      </c>
      <c r="D316" s="78"/>
      <c r="E316" s="73"/>
      <c r="F316" s="361" t="str">
        <f>IF(E316="","",IF(E316&gt;=1.6,0,IF(E316&lt;=1,1,ROUND('Reference Curves'!$K$442*E316^3+'Reference Curves'!$K$443*E316^2+'Reference Curves'!$K$444*E316+'Reference Curves'!$K$445,2))))</f>
        <v/>
      </c>
      <c r="G316" s="467"/>
      <c r="H316" s="504"/>
      <c r="I316" s="491"/>
    </row>
    <row r="317" spans="1:9" ht="15.75" x14ac:dyDescent="0.5">
      <c r="A317" s="560"/>
      <c r="B317" s="480" t="s">
        <v>43</v>
      </c>
      <c r="C317" s="148" t="s">
        <v>409</v>
      </c>
      <c r="D317" s="305"/>
      <c r="E317" s="72"/>
      <c r="F317" s="190" t="str">
        <f>IF( E317="","",
IF( 'Quantification Tool'!$C$20="Unconfined Alluvial", IF( E317&gt;=100,1,
ROUND('Reference Curves'!$K$479*E317+'Reference Curves'!$K$480,2) ),
IF( OR('Quantification Tool'!$C$20="Confined Alluvial", 'Quantification Tool'!$C$20="Colluvial/V-Shaped",'Quantification Tool'!$C$20="Bedrock"), ( IF(E317&gt;=100,1,
IF(E317&gt;=60, ROUND('Reference Curves'!$L$479*E317+'Reference Curves'!$L$480,2), ROUND('Reference Curves'!$M$479*E317+'Reference Curves'!$M$480,2) ) ) ) ) ) )</f>
        <v/>
      </c>
      <c r="G317" s="463" t="str">
        <f>IFERROR(AVERAGE(F317:F320),"")</f>
        <v/>
      </c>
      <c r="H317" s="504"/>
      <c r="I317" s="491"/>
    </row>
    <row r="318" spans="1:9" ht="15.75" x14ac:dyDescent="0.5">
      <c r="A318" s="560"/>
      <c r="B318" s="481"/>
      <c r="C318" s="148" t="s">
        <v>219</v>
      </c>
      <c r="D318" s="305"/>
      <c r="E318" s="71"/>
      <c r="F318" s="358" t="str">
        <f>IF( E318="","", IF('Quantification Tool'!$C$18&lt;&gt;"Woody","FALSE", IF( OR('Quantification Tool'!$C$12="Mountains",'Quantification Tool'!$C$12="Basins"),
IF(E318&lt;=0,0, IF(E318&gt;=122,1, IF(E318&lt;69, ROUND('Reference Curves'!$K$512*E318+'Reference Curves'!$K$513,2), ROUND('Reference Curves'!$L$512*E318+'Reference Curves'!$L$513,2) ) ) ),
IF('Quantification Tool'!$C$12="Plains",IF(OR(E318&lt;=0,E318&gt;111),0,IF(AND(E318&gt;=69,E318&lt;=76),1,IF(E318&lt;69,ROUND(E318*'Reference Curves'!$K$547+'Reference Curves'!$K$548,2),ROUND(E318*'Reference Curves'!$L$547+'Reference Curves'!$L$548,2))))))))</f>
        <v/>
      </c>
      <c r="G318" s="504"/>
      <c r="H318" s="504"/>
      <c r="I318" s="491"/>
    </row>
    <row r="319" spans="1:9" ht="15.75" x14ac:dyDescent="0.5">
      <c r="A319" s="560"/>
      <c r="B319" s="546"/>
      <c r="C319" s="148" t="s">
        <v>220</v>
      </c>
      <c r="D319" s="305"/>
      <c r="E319" s="71"/>
      <c r="F319" s="83" t="str">
        <f>IF(E319="","",IF('Quantification Tool'!$C$18="Herbaceous",IF(E319&lt;=34,0,IF(E319&gt;=120,1,IF(E319&gt;73,ROUND(E319*'Reference Curves'!$L$579+'Reference Curves'!$L$580,2),ROUND(E319*'Reference Curves'!$K$579+'Reference Curves'!$K$580,2))))))</f>
        <v/>
      </c>
      <c r="G319" s="466"/>
      <c r="H319" s="504"/>
      <c r="I319" s="491"/>
    </row>
    <row r="320" spans="1:9" ht="15.75" x14ac:dyDescent="0.5">
      <c r="A320" s="561"/>
      <c r="B320" s="482"/>
      <c r="C320" s="297" t="s">
        <v>229</v>
      </c>
      <c r="D320" s="308"/>
      <c r="E320" s="73"/>
      <c r="F320" s="209" t="str">
        <f>IF(E320="","",IF(E320&lt;=46,0,IF(E320&gt;=100,1,IF(AND(E320&lt;=100,E320&gt;91),ROUND(E320*'Reference Curves'!$L$611+'Reference Curves'!$L$612,2),ROUND(E320*'Reference Curves'!$K$611+'Reference Curves'!$K$612,2)))))</f>
        <v/>
      </c>
      <c r="G320" s="464"/>
      <c r="H320" s="464"/>
      <c r="I320" s="492"/>
    </row>
    <row r="321" spans="1:9" ht="15.75" x14ac:dyDescent="0.5">
      <c r="A321" s="550" t="s">
        <v>50</v>
      </c>
      <c r="B321" s="475" t="s">
        <v>71</v>
      </c>
      <c r="C321" s="207" t="s">
        <v>244</v>
      </c>
      <c r="D321" s="211"/>
      <c r="E321" s="72"/>
      <c r="F321" s="216" t="str">
        <f>IF(E321="","",IF('Quantification Tool'!$C$17="","Enter Stream Temperature",  IF('Quantification Tool'!$C$17="CS-I (MWF)",IF(E321&gt;=21.2,0,1),  IF('Quantification Tool'!$C$17="CS-I",IF(E321&gt;=21.7,0,1),  IF('Quantification Tool'!$C$17="CS-II",IF(E321&gt;=23.9,0,1),  IF('Quantification Tool'!$C$17="WS-I",IF(E321&gt;=29,0,1),  IF('Quantification Tool'!$C$17="WS-II",IF(E321&gt;=28.6,0,1), IF('Quantification Tool'!$C$17="WS-III",IF(E321&gt;=31.8,0,1)))))))))</f>
        <v/>
      </c>
      <c r="G321" s="483" t="str">
        <f>IFERROR(AVERAGE(F321:F322),"")</f>
        <v/>
      </c>
      <c r="H321" s="483" t="str">
        <f>IFERROR(ROUND(AVERAGE(G321:G324),2),"")</f>
        <v/>
      </c>
      <c r="I321" s="497" t="str">
        <f>IF(H321="","",IF(H321&gt;0.69,"Functioning",IF(H321&gt;0.29,"Functioning At Risk",IF(H321&gt;-1,"Not Functioning"))))</f>
        <v/>
      </c>
    </row>
    <row r="322" spans="1:9" ht="15.75" x14ac:dyDescent="0.5">
      <c r="A322" s="551"/>
      <c r="B322" s="477"/>
      <c r="C322" s="210" t="s">
        <v>188</v>
      </c>
      <c r="D322" s="212"/>
      <c r="E322" s="73"/>
      <c r="F322" s="181" t="str">
        <f>IF(E322="","",IF('Quantification Tool'!$C$17="","Enter Stream Temperature",  IF('Quantification Tool'!$C$17="CS-I (MWF)",IF(E322&gt;=18.3,0,IF(E322&lt;=13.8,1,ROUND(E322*'Reference Curves'!$S$20+'Reference Curves'!$S$21,2))),  IF('Quantification Tool'!$C$17="CS-I",IF(E322&gt;=17.6,0,IF(E322&lt;=15.7,1,ROUND(E322*'Reference Curves'!$T$20+'Reference Curves'!$T$21,2))),  IF('Quantification Tool'!$C$17="CS-II",IF(E322&gt;=19.1,0,IF(E322&lt;=16.6,1,ROUND(E322*'Reference Curves'!$U$20+'Reference Curves'!$U$21,2))),  IF('Quantification Tool'!$C$17="WS-I",IF(E322&gt;=25.7,0,IF(E322&lt;=20.9,1,ROUND(E322*'Reference Curves'!$V$20+'Reference Curves'!$V$21,2))),  IF('Quantification Tool'!$C$17="WS-II",IF(E322&gt;=29.7,0,IF(E322&lt;=22.5,1,ROUND(E322*'Reference Curves'!$W$20+'Reference Curves'!$W$21,2))), IF('Quantification Tool'!$C$17="WS-III",IF(E322&gt;=30,0,IF(E322&lt;=25.9,1,ROUND(E322*'Reference Curves'!$X$20+'Reference Curves'!$X$21,2)))    ))))))))</f>
        <v/>
      </c>
      <c r="G322" s="484"/>
      <c r="H322" s="506"/>
      <c r="I322" s="497"/>
    </row>
    <row r="323" spans="1:9" ht="15.75" x14ac:dyDescent="0.5">
      <c r="A323" s="551"/>
      <c r="B323" s="208" t="s">
        <v>242</v>
      </c>
      <c r="C323" s="316" t="s">
        <v>243</v>
      </c>
      <c r="D323" s="301"/>
      <c r="E323" s="71"/>
      <c r="F323" s="181" t="str">
        <f>IF(E323="","",ROUND( IF(E323&lt;=6,0, IF(E323&gt;=10.31,1,E323*'Reference Curves'!$S$52+'Reference Curves'!$S$53)),2))</f>
        <v/>
      </c>
      <c r="G323" s="86" t="str">
        <f>IFERROR(AVERAGE(F323),"")</f>
        <v/>
      </c>
      <c r="H323" s="506"/>
      <c r="I323" s="497"/>
    </row>
    <row r="324" spans="1:9" ht="15.75" x14ac:dyDescent="0.5">
      <c r="A324" s="552"/>
      <c r="B324" s="278" t="s">
        <v>158</v>
      </c>
      <c r="C324" s="24" t="s">
        <v>421</v>
      </c>
      <c r="D324" s="318"/>
      <c r="E324" s="54"/>
      <c r="F324" s="181" t="str">
        <f>IF(E324="","",IF(OR('Quantification Tool'!$C$13=3),IF(E324&gt;=150,0,IF(E324&lt;=16,1,ROUND('Reference Curves'!$S$87*LN(E324)+'Reference Curves'!$S$88,2))), IF(OR('Quantification Tool'!$C$13=1,'Quantification Tool'!$C$13=2),  IF(E324&gt;=97,0,IF(E324&lt;=12,1,ROUND('Reference Curves'!$T$87*LN(E324)+'Reference Curves'!$T$88,2))))))</f>
        <v/>
      </c>
      <c r="G324" s="86" t="str">
        <f>IFERROR(AVERAGE(F324),"")</f>
        <v/>
      </c>
      <c r="H324" s="484"/>
      <c r="I324" s="497"/>
    </row>
    <row r="325" spans="1:9" ht="15.75" x14ac:dyDescent="0.5">
      <c r="A325" s="553" t="s">
        <v>51</v>
      </c>
      <c r="B325" s="282" t="s">
        <v>132</v>
      </c>
      <c r="C325" s="317" t="s">
        <v>249</v>
      </c>
      <c r="D325" s="306"/>
      <c r="E325" s="72"/>
      <c r="F325" s="218" t="str">
        <f>IF(E325="","",IF('Quantification Tool'!$C$13="","Enter Biotype",IF('Quantification Tool'!$C$13=1,IF(E325&lt;=0,0,IF(E325&gt;=57,1,ROUND(IF(E325&lt;=34,'Reference Curves'!$AB$18*E325+'Reference Curves'!$AB$19,  IF(E325&lt;=45, 'Reference Curves'!$AC$18*E325+'Reference Curves'!$AC$19,  'Reference Curves'!$AD$18*E325+'Reference Curves'!$AD$19)),2))),   IF('Quantification Tool'!$C$13=2,IF(E325&lt;=0,0,IF(E325&gt;=63,1,ROUND(IF(E325&lt;=40,'Reference Curves'!$AE$18*E325+'Reference Curves'!$AE$19,  IF(E325&lt;=48,'Reference Curves'!$AF$18*E325+'Reference Curves'!$AF$19,  'Reference Curves'!$AG$18*E325+'Reference Curves'!$AG$19)),2))),   IF(OR('Quantification Tool'!$C$13=3),IF(E325&lt;=0,0,IF(E325&gt;=52,1,ROUND(IF(E325&lt;=29,'Reference Curves'!$AH$18*E325+'Reference Curves'!$AH$19, IF(E325&lt;=42, 'Reference Curves'!$AI$18*E325+'Reference Curves'!$AI$19,  'Reference Curves'!$AJ$18*E325+'Reference Curves'!$AJ$19)),2))))))))</f>
        <v/>
      </c>
      <c r="G325" s="89" t="str">
        <f>IFERROR(AVERAGE(F325),"")</f>
        <v/>
      </c>
      <c r="H325" s="505" t="str">
        <f>IFERROR(ROUND(AVERAGE(G325:G328),2),"")</f>
        <v/>
      </c>
      <c r="I325" s="497" t="str">
        <f>IF(H325="","",IF(H325&gt;0.69,"Functioning",IF(H325&gt;0.29,"Functioning At Risk",IF(H325&gt;-1,"Not Functioning"))))</f>
        <v/>
      </c>
    </row>
    <row r="326" spans="1:9" ht="15.75" x14ac:dyDescent="0.5">
      <c r="A326" s="554"/>
      <c r="B326" s="556" t="s">
        <v>66</v>
      </c>
      <c r="C326" s="40" t="s">
        <v>190</v>
      </c>
      <c r="D326" s="88"/>
      <c r="E326" s="72"/>
      <c r="F326" s="89" t="str">
        <f>IF(E326="","",IF(E326&lt;=0,0,IF(E326&gt;=100,1,ROUND(IF(E326&lt;80,E326*'Reference Curves'!$AB$53+'Reference Curves'!$AB$54,E326*'Reference Curves'!$AC$53+'Reference Curves'!$AC$54),2))))</f>
        <v/>
      </c>
      <c r="G326" s="460" t="str">
        <f>IFERROR(AVERAGE(F326:F328),"")</f>
        <v/>
      </c>
      <c r="H326" s="505"/>
      <c r="I326" s="497"/>
    </row>
    <row r="327" spans="1:9" ht="15.75" x14ac:dyDescent="0.5">
      <c r="A327" s="554"/>
      <c r="B327" s="557"/>
      <c r="C327" s="41" t="s">
        <v>191</v>
      </c>
      <c r="D327" s="306"/>
      <c r="E327" s="71"/>
      <c r="F327" s="89" t="str">
        <f>IF(E327="","",ROUND(IF(E327&gt;=3,0,IF(E327&gt;=2,0.3,IF(E327&gt;=1,0.69,1))),2))</f>
        <v/>
      </c>
      <c r="G327" s="461"/>
      <c r="H327" s="505"/>
      <c r="I327" s="497"/>
    </row>
    <row r="328" spans="1:9" ht="15.75" x14ac:dyDescent="0.5">
      <c r="A328" s="555"/>
      <c r="B328" s="558"/>
      <c r="C328" s="27" t="s">
        <v>268</v>
      </c>
      <c r="D328" s="319"/>
      <c r="E328" s="73"/>
      <c r="F328" s="87" t="str">
        <f>IF(E328="","",IF('Quantification Tool'!$C$19="","Enter Stream Producitvity Rating",IF('Quantification Tool'!$C$19="High",IF(E328&lt;5,0,IF(E328&gt;=40,1,ROUND(E328*'Reference Curves'!$AB$89+'Reference Curves'!$AB$90,2))),IF('Quantification Tool'!$C$19="Moderate",IF(E328&lt;10,0,IF(E328&gt;=80,1,ROUND(E328*'Reference Curves'!$AC$89+'Reference Curves'!$AC$90,2))),IF('Quantification Tool'!$C$19="Low",IF(E328&lt;15,0,IF(E328&gt;=119,1,ROUND(E328*'Reference Curves'!$AD$89+'Reference Curves'!$AD$90,2)))   )))))</f>
        <v/>
      </c>
      <c r="G328" s="462"/>
      <c r="H328" s="505"/>
      <c r="I328" s="497"/>
    </row>
    <row r="331" spans="1:9" ht="21" x14ac:dyDescent="0.65">
      <c r="A331" s="365" t="s">
        <v>114</v>
      </c>
      <c r="B331" s="185"/>
      <c r="C331" s="186" t="s">
        <v>212</v>
      </c>
      <c r="D331" s="542"/>
      <c r="E331" s="543"/>
      <c r="F331" s="544"/>
      <c r="G331" s="487" t="s">
        <v>334</v>
      </c>
      <c r="H331" s="488"/>
      <c r="I331" s="489"/>
    </row>
    <row r="332" spans="1:9" ht="16.5" customHeight="1" x14ac:dyDescent="0.5">
      <c r="A332" s="290" t="s">
        <v>1</v>
      </c>
      <c r="B332" s="39" t="s">
        <v>2</v>
      </c>
      <c r="C332" s="173" t="s">
        <v>3</v>
      </c>
      <c r="D332" s="174"/>
      <c r="E332" s="39" t="s">
        <v>12</v>
      </c>
      <c r="F332" s="39" t="s">
        <v>13</v>
      </c>
      <c r="G332" s="39" t="s">
        <v>14</v>
      </c>
      <c r="H332" s="39" t="s">
        <v>15</v>
      </c>
      <c r="I332" s="290" t="s">
        <v>15</v>
      </c>
    </row>
    <row r="333" spans="1:9" ht="15.75" customHeight="1" x14ac:dyDescent="0.5">
      <c r="A333" s="446" t="s">
        <v>186</v>
      </c>
      <c r="B333" s="545" t="s">
        <v>107</v>
      </c>
      <c r="C333" s="153" t="s">
        <v>185</v>
      </c>
      <c r="D333" s="154"/>
      <c r="E333" s="72"/>
      <c r="F333" s="234" t="str">
        <f>IF(E333="","",IF(E333&gt;=78,0,IF(E333&lt;=55,1,ROUND(E333*'Reference Curves'!$C$14+'Reference Curves'!$C$15,2))))</f>
        <v/>
      </c>
      <c r="G333" s="498" t="str">
        <f>IFERROR(AVERAGE(F333:F334),"")</f>
        <v/>
      </c>
      <c r="H333" s="498" t="str">
        <f>IFERROR(ROUND(AVERAGE(G333:G339),2),"")</f>
        <v/>
      </c>
      <c r="I333" s="493" t="str">
        <f>IF(H333="","",IF(H333:H339&gt;0.69,"Functioning",IF(H333&gt;0.29,"Functioning At Risk",IF(H333&gt;-1,"Not Functioning"))))</f>
        <v/>
      </c>
    </row>
    <row r="334" spans="1:9" ht="15.75" customHeight="1" x14ac:dyDescent="0.5">
      <c r="A334" s="447"/>
      <c r="B334" s="540"/>
      <c r="C334" s="217" t="s">
        <v>303</v>
      </c>
      <c r="D334" s="74"/>
      <c r="E334" s="71"/>
      <c r="F334" s="235" t="str">
        <f>IF(E334="","",   IF(E334&gt;3.2,0, IF(E334&lt;0, "", ROUND('Reference Curves'!$C$44*E334+'Reference Curves'!$C$45,2))))</f>
        <v/>
      </c>
      <c r="G334" s="499"/>
      <c r="H334" s="499"/>
      <c r="I334" s="494"/>
    </row>
    <row r="335" spans="1:9" ht="15.75" customHeight="1" x14ac:dyDescent="0.5">
      <c r="A335" s="447"/>
      <c r="B335" s="541" t="s">
        <v>250</v>
      </c>
      <c r="C335" s="230" t="s">
        <v>329</v>
      </c>
      <c r="D335" s="227"/>
      <c r="E335" s="228"/>
      <c r="F335" s="251" t="s">
        <v>253</v>
      </c>
      <c r="G335" s="498" t="str">
        <f>IFERROR(IF(AND(ISNUMBER(E335),E335&lt;1),0,AVERAGE(F335:F336)),"")</f>
        <v/>
      </c>
      <c r="H335" s="499"/>
      <c r="I335" s="494"/>
    </row>
    <row r="336" spans="1:9" ht="15.75" customHeight="1" x14ac:dyDescent="0.5">
      <c r="A336" s="447"/>
      <c r="B336" s="539"/>
      <c r="C336" s="231" t="s">
        <v>251</v>
      </c>
      <c r="D336" s="226"/>
      <c r="E336" s="194"/>
      <c r="F336" s="245" t="str">
        <f>IF(E336="","", IF('Quantification Tool'!$C$17= "CS-II", ROUND(IF(E336&lt;=0.6,0, IF(E336&gt;=2.3,1,E336*'Reference Curves'!$E$78+'Reference Curves'!$E$79)),2),
IF(AND('Quantification Tool'!$C$14&lt;20,LEFT('Quantification Tool'!$C$17,2)="CS"),ROUND(IF(E336&lt;=0.2,0, IF(E336&gt;=1,1,E336*'Reference Curves'!$C$78+'Reference Curves'!$C$79)),2),
 IF(AND('Quantification Tool'!$C$14&gt;=20,LEFT('Quantification Tool'!$C$17,2)= "CS"), ROUND(IF(E336&lt;=0.4,0, IF(E336&gt;=1.5,1,E336*'Reference Curves'!$D$78+'Reference Curves'!$D$79)),2) ))))</f>
        <v/>
      </c>
      <c r="G336" s="500"/>
      <c r="H336" s="499"/>
      <c r="I336" s="494"/>
    </row>
    <row r="337" spans="1:9" ht="15.75" customHeight="1" x14ac:dyDescent="0.5">
      <c r="A337" s="447"/>
      <c r="B337" s="538" t="s">
        <v>5</v>
      </c>
      <c r="C337" s="332" t="s">
        <v>6</v>
      </c>
      <c r="D337" s="154"/>
      <c r="E337" s="71"/>
      <c r="F337" s="196" t="str">
        <f>IF(E337="","",
IF(E337&gt;1.71,0,IF( E337&gt;1,ROUND(E337*'Reference Curves'!D$113+'Reference Curves'!D$114,2),
IF( 'Quantification Tool'!C$22="Transport", ROUND(IF( E337&lt;0.35,0, E337*'Reference Curves'!$C$113+'Reference Curves'!$C$114 ),2), 1 ))))</f>
        <v/>
      </c>
      <c r="G337" s="502" t="str">
        <f>IFERROR(AVERAGE(F337:F339),"")</f>
        <v/>
      </c>
      <c r="H337" s="499"/>
      <c r="I337" s="494"/>
    </row>
    <row r="338" spans="1:9" ht="15.75" customHeight="1" x14ac:dyDescent="0.5">
      <c r="A338" s="447"/>
      <c r="B338" s="539"/>
      <c r="C338" s="155" t="s">
        <v>7</v>
      </c>
      <c r="D338" s="281"/>
      <c r="E338" s="71"/>
      <c r="F338" s="196" t="str">
        <f>IF(E338="","",IF(OR(LEFT( 'Quantification Tool'!C$21,1)="A",LEFT( 'Quantification Tool'!C$21,1)="B"),IF(E338&lt;1.05,0,IF(E338&gt;=2.2,1,ROUND(IF(E338&lt;1.4,E338*'Reference Curves'!$C$250+'Reference Curves'!$C$251,E338*'Reference Curves'!$D$250+'Reference Curves'!$D$251),2))),                                                                                                                                                                                      IF( 'Quantification Tool'!C$21="C",IF(E338&lt;1.7,0,IF(E338&gt;=4.2,1,ROUND(IF(E338&lt;2.4,E338*'Reference Curves'!$D$147+'Reference Curves'!$D$148,E338*'Reference Curves'!$C$147+'Reference Curves'!$C$148),2))),                                                                                                                                                                                                                    IF( 'Quantification Tool'!C$21="Cb",IF(E338&lt;1.7,0,IF(E338&gt;=3.9,1,ROUND(IF(E338&lt;2.4,E338*'Reference Curves'!$D$181+'Reference Curves'!$D$182,E338*'Reference Curves'!$C$181+'Reference Curves'!$C$182),2))),
IF(LEFT( 'Quantification Tool'!C$21,1)="E",IF(E338&lt;1.7,0,IF(E338&gt;=6.7,1,ROUND(IF(E338&lt;2.4,E338*'Reference Curves'!$D$215+'Reference Curves'!$D$216,E338*'Reference Curves'!$C$215+'Reference Curves'!$C$216),2))))))))</f>
        <v/>
      </c>
      <c r="G338" s="502"/>
      <c r="H338" s="499"/>
      <c r="I338" s="494"/>
    </row>
    <row r="339" spans="1:9" ht="15" customHeight="1" x14ac:dyDescent="0.5">
      <c r="A339" s="448"/>
      <c r="B339" s="540"/>
      <c r="C339" s="252" t="s">
        <v>283</v>
      </c>
      <c r="D339" s="75"/>
      <c r="E339" s="73"/>
      <c r="F339" s="195" t="str">
        <f>IF(E339="","",IF('Quantification Tool'!$C$20="Unconfined Alluvial",IF(E339&lt;=0,0, IF(E339&gt;=100,1, ROUND(IF(E339&lt;10,E339*'Reference Curves'!$C$285+'Reference Curves'!$C$286, IF(E339&lt;50,E339*'Reference Curves'!$D$285+'Reference Curves'!$D$286,E339*'Reference Curves'!$E$285+'Reference Curves'!$E$286)),2))), IF('Quantification Tool'!$C$20="Confined Alluvial",IF(E339&lt;=0,0,IF(E339&gt;=50,1,ROUND(IF(E339&lt;5,E339*'Reference Curves'!$F$285+'Reference Curves'!$F$286,IF(E339&lt;25,E339*'Reference Curves'!$G$285+'Reference Curves'!$G$286,E339*'Reference Curves'!$H$285+'Reference Curves'!$H$286)),2))))))</f>
        <v/>
      </c>
      <c r="G339" s="503"/>
      <c r="H339" s="500"/>
      <c r="I339" s="495"/>
    </row>
    <row r="340" spans="1:9" ht="15" customHeight="1" x14ac:dyDescent="0.5">
      <c r="A340" s="559" t="s">
        <v>19</v>
      </c>
      <c r="B340" s="480" t="s">
        <v>20</v>
      </c>
      <c r="C340" s="23" t="s">
        <v>18</v>
      </c>
      <c r="D340" s="76"/>
      <c r="E340" s="72"/>
      <c r="F340" s="178" t="str">
        <f>IF(E340="","",IF(E340&gt;=660,1,IF(E340&lt;=430,ROUND('Reference Curves'!$K$15*E340+'Reference Curves'!$K$16,2),ROUND('Reference Curves'!$L$15*E340+'Reference Curves'!$L$16,2))))</f>
        <v/>
      </c>
      <c r="G340" s="463" t="str">
        <f>IFERROR(AVERAGE(F340:F341),"")</f>
        <v/>
      </c>
      <c r="H340" s="463" t="str">
        <f>IFERROR(ROUND(AVERAGE(G340:G353),2),"")</f>
        <v/>
      </c>
      <c r="I340" s="490" t="str">
        <f>IF(H340="","",IF(H340&gt;0.69,"Functioning",IF(H340&gt;0.29,"Functioning At Risk",IF(H340&gt;-1,"Not Functioning"))))</f>
        <v/>
      </c>
    </row>
    <row r="341" spans="1:9" ht="15" customHeight="1" x14ac:dyDescent="0.5">
      <c r="A341" s="560"/>
      <c r="B341" s="482"/>
      <c r="C341" s="148" t="s">
        <v>187</v>
      </c>
      <c r="D341" s="79"/>
      <c r="E341" s="71"/>
      <c r="F341" s="177" t="str">
        <f>IF(E341="","",IF(E341&gt;=28,1,ROUND(IF(E341&lt;=13,'Reference Curves'!$K$48*E341,'Reference Curves'!$L$48*E341+'Reference Curves'!$L$49),2)))</f>
        <v/>
      </c>
      <c r="G341" s="464"/>
      <c r="H341" s="504"/>
      <c r="I341" s="491"/>
    </row>
    <row r="342" spans="1:9" ht="15.75" x14ac:dyDescent="0.5">
      <c r="A342" s="560"/>
      <c r="B342" s="547" t="s">
        <v>231</v>
      </c>
      <c r="C342" s="197" t="s">
        <v>159</v>
      </c>
      <c r="D342" s="146"/>
      <c r="E342" s="72"/>
      <c r="F342" s="178" t="str">
        <f>IF(E342="","",ROUND(IF(E342&lt;=2,0,IF(E342&gt;=9,1,IF(E342&gt;=5,E342^2*'Reference Curves'!$K$83+E342*'Reference Curves'!$K$84+'Reference Curves'!$K$85, E342*'Reference Curves'!$L$84+'Reference Curves'!$L$85))),2))</f>
        <v/>
      </c>
      <c r="G342" s="463" t="str">
        <f>IFERROR(IF(E345&gt;=50,0,AVERAGE(F342:F345)),"")</f>
        <v/>
      </c>
      <c r="H342" s="504"/>
      <c r="I342" s="491"/>
    </row>
    <row r="343" spans="1:9" ht="15.75" x14ac:dyDescent="0.5">
      <c r="A343" s="560"/>
      <c r="B343" s="481"/>
      <c r="C343" s="198" t="s">
        <v>42</v>
      </c>
      <c r="D343" s="305"/>
      <c r="E343" s="71"/>
      <c r="F343" s="179" t="str">
        <f>IF(E343="","",IF(OR(E343="Ex/Ex",E343="Ex/VH",E343="Ex/H",E343="Ex/M",E343="VH/Ex",E343="VH/VH", E343="H/Ex",E343="H/VH"),0, IF(OR(E343="M/Ex"),0.1,IF(OR(E343="VH/H",E343="VH/M",E343="H/H",E343="H/M", E343="M/VH"),0.2, IF(OR(E343="Ex/VL",E343="Ex/L", E343="M/H"),0.3, IF(OR(E343="VH/L",E343="H/L"),0.4, IF(OR(E343="VH/VL",E343="H/VL",E343="M/M"),0.5, IF(OR(E343="M/L",E343="L/Ex"),0.6, IF(OR(E343="M/VL",E343="L/VH", E343="L/H",E343="L/M",E343="L/L",E343="L/VL", LEFT(E343,2)="VL"),1)))))))))</f>
        <v/>
      </c>
      <c r="G343" s="504"/>
      <c r="H343" s="504"/>
      <c r="I343" s="491"/>
    </row>
    <row r="344" spans="1:9" ht="15.75" x14ac:dyDescent="0.5">
      <c r="A344" s="560"/>
      <c r="B344" s="481"/>
      <c r="C344" s="199" t="s">
        <v>76</v>
      </c>
      <c r="D344" s="307"/>
      <c r="E344" s="71"/>
      <c r="F344" s="179" t="str">
        <f>IF(E344="","",ROUND(IF(E344&gt;=75,0,IF(E344&lt;=5,1,IF(E344&gt;10,E344*'Reference Curves'!K$116+'Reference Curves'!K$117,'Reference Curves'!$L$116*E344+'Reference Curves'!$L$117))),2))</f>
        <v/>
      </c>
      <c r="G344" s="466"/>
      <c r="H344" s="504"/>
      <c r="I344" s="491"/>
    </row>
    <row r="345" spans="1:9" ht="15.75" x14ac:dyDescent="0.5">
      <c r="A345" s="560"/>
      <c r="B345" s="482"/>
      <c r="C345" s="200" t="s">
        <v>230</v>
      </c>
      <c r="D345" s="147"/>
      <c r="E345" s="73"/>
      <c r="F345" s="180" t="str">
        <f>IF(E345="","",IF(E345&gt;=30,0,ROUND(E345*'Reference Curves'!$K$148+'Reference Curves'!$K$149,2)))</f>
        <v/>
      </c>
      <c r="G345" s="464"/>
      <c r="H345" s="504"/>
      <c r="I345" s="491"/>
    </row>
    <row r="346" spans="1:9" ht="15.75" x14ac:dyDescent="0.5">
      <c r="A346" s="560"/>
      <c r="B346" s="480" t="s">
        <v>44</v>
      </c>
      <c r="C346" s="197" t="s">
        <v>45</v>
      </c>
      <c r="D346" s="76"/>
      <c r="E346" s="72"/>
      <c r="F346" s="82" t="str">
        <f>IF(E346="","",IF('Quantification Tool'!$C$21="Bc",IF(OR(E346&gt;=12,E346&lt;=0.1),0,IF(E346&lt;=3.4,1,ROUND('Reference Curves'!$K$278*E346+'Reference Curves'!$K$279,2))),  IF(OR('Quantification Tool'!$C$21="B",'Quantification Tool'!$C$21="Ba"),IF(OR(E346&gt;=7.5,E346&lt;=0.1),0,IF(E346&lt;=3,1,ROUND(IF(E346&gt;4,'Reference Curves'!$K$247*E346+'Reference Curves'!$K$248,'Reference Curves'!$L$247*E346+'Reference Curves'!$L$248),2))),  IF('Quantification Tool'!$C$21="Cb",IF(OR(E346&gt;=8.35,E346&lt;1.4),0,IF(AND(E346&gt;=3.7,E346&lt;=5),1,ROUND(IF(E346&lt;3.7,'Reference Curves'!$K$215*E346+'Reference Curves'!$K$216,'Reference Curves'!$L$215*E346+'Reference Curves'!$L$216),2))),  IF('Quantification Tool'!$C$21="C",IF(OR(E346&gt;=9.3,E346&lt;=3),0,IF(AND(E346&gt;=4,E346&lt;=6),1,ROUND(IF(E346&lt;4,'Reference Curves'!$K$181*E346+'Reference Curves'!$K$182,'Reference Curves'!$L$181*E346+'Reference Curves'!$L$182),2))),  IF('Quantification Tool'!$C$21="E",IF(OR(E346&gt;=8.3,E346&lt;1.85),0,IF(AND(E346&gt;=3.5,E346&lt;=5),1,ROUND(IF(E346&lt;3.5,'Reference Curves'!$K$311*E346+'Reference Curves'!$K$312,'Reference Curves'!$L$311*E346+'Reference Curves'!$L$312),2)))      ))))))</f>
        <v/>
      </c>
      <c r="G346" s="465" t="str">
        <f>IFERROR(AVERAGE(F346:F349),"")</f>
        <v/>
      </c>
      <c r="H346" s="504"/>
      <c r="I346" s="491"/>
    </row>
    <row r="347" spans="1:9" ht="15.75" x14ac:dyDescent="0.5">
      <c r="A347" s="560"/>
      <c r="B347" s="481"/>
      <c r="C347" s="198" t="s">
        <v>46</v>
      </c>
      <c r="D347" s="305"/>
      <c r="E347" s="71"/>
      <c r="F347" s="83" t="str">
        <f>IF(E347="","",IF(E347&lt;=1,0,IF(E347&gt;=3.2,1,IF(E347&gt;=2.2,ROUND('Reference Curves'!$L$343*E347+'Reference Curves'!$L$344,2),(ROUND('Reference Curves'!$K$343*E347+'Reference Curves'!$K$344,2))))))</f>
        <v/>
      </c>
      <c r="G347" s="466"/>
      <c r="H347" s="504"/>
      <c r="I347" s="491"/>
    </row>
    <row r="348" spans="1:9" ht="15.75" x14ac:dyDescent="0.5">
      <c r="A348" s="560"/>
      <c r="B348" s="481"/>
      <c r="C348" s="148" t="s">
        <v>195</v>
      </c>
      <c r="D348" s="305"/>
      <c r="E348" s="71"/>
      <c r="F348" s="360" t="str">
        <f>IF(E348="","", IF('Quantification Tool'!$C$15="","FALSE",IF('Quantification Tool'!$C$15&lt;3,IF( OR(E348&gt;=91,E348&lt;=13.5),0, IF(AND(E348&gt;49,E348&lt;61), 1, ROUND(IF(E348&lt;50,'Reference Curves'!$K$377*E348+'Reference Curves'!$K$378, IF(E348&gt;60,'Reference Curves'!$L$377*E348+'Reference Curves'!$L$378)),2))), IF('Quantification Tool'!$C$15&gt;=3,IF(OR(E348&gt;94.5,E348&lt;41.5),0, IF(AND(E348 &gt;=68, E348&lt;=78),1, ROUND(IF(E348&lt;68,'Reference Curves'!$K$411*E348+'Reference Curves'!$K$412,'Reference Curves'!$L$411*E348+'Reference Curves'!$L$412),2) ))))))</f>
        <v/>
      </c>
      <c r="G348" s="466"/>
      <c r="H348" s="504"/>
      <c r="I348" s="491"/>
    </row>
    <row r="349" spans="1:9" ht="15.75" x14ac:dyDescent="0.5">
      <c r="A349" s="560"/>
      <c r="B349" s="482"/>
      <c r="C349" s="201" t="s">
        <v>142</v>
      </c>
      <c r="D349" s="78"/>
      <c r="E349" s="73"/>
      <c r="F349" s="361" t="str">
        <f>IF(E349="","",IF(E349&gt;=1.6,0,IF(E349&lt;=1,1,ROUND('Reference Curves'!$K$442*E349^3+'Reference Curves'!$K$443*E349^2+'Reference Curves'!$K$444*E349+'Reference Curves'!$K$445,2))))</f>
        <v/>
      </c>
      <c r="G349" s="467"/>
      <c r="H349" s="504"/>
      <c r="I349" s="491"/>
    </row>
    <row r="350" spans="1:9" ht="15.75" x14ac:dyDescent="0.5">
      <c r="A350" s="560"/>
      <c r="B350" s="480" t="s">
        <v>43</v>
      </c>
      <c r="C350" s="148" t="s">
        <v>409</v>
      </c>
      <c r="D350" s="305"/>
      <c r="E350" s="72"/>
      <c r="F350" s="190" t="str">
        <f>IF( E350="","",
IF( 'Quantification Tool'!$C$20="Unconfined Alluvial", IF( E350&gt;=100,1,
ROUND('Reference Curves'!$K$479*E350+'Reference Curves'!$K$480,2) ),
IF( OR('Quantification Tool'!$C$20="Confined Alluvial", 'Quantification Tool'!$C$20="Colluvial/V-Shaped",'Quantification Tool'!$C$20="Bedrock"), ( IF(E350&gt;=100,1,
IF(E350&gt;=60, ROUND('Reference Curves'!$L$479*E350+'Reference Curves'!$L$480,2), ROUND('Reference Curves'!$M$479*E350+'Reference Curves'!$M$480,2) ) ) ) ) ) )</f>
        <v/>
      </c>
      <c r="G350" s="463" t="str">
        <f>IFERROR(AVERAGE(F350:F353),"")</f>
        <v/>
      </c>
      <c r="H350" s="504"/>
      <c r="I350" s="491"/>
    </row>
    <row r="351" spans="1:9" ht="15.75" x14ac:dyDescent="0.5">
      <c r="A351" s="560"/>
      <c r="B351" s="481"/>
      <c r="C351" s="148" t="s">
        <v>219</v>
      </c>
      <c r="D351" s="305"/>
      <c r="E351" s="71"/>
      <c r="F351" s="358" t="str">
        <f>IF( E351="","", IF('Quantification Tool'!$C$18&lt;&gt;"Woody","FALSE", IF( OR('Quantification Tool'!$C$12="Mountains",'Quantification Tool'!$C$12="Basins"),
IF(E351&lt;=0,0, IF(E351&gt;=122,1, IF(E351&lt;69, ROUND('Reference Curves'!$K$512*E351+'Reference Curves'!$K$513,2), ROUND('Reference Curves'!$L$512*E351+'Reference Curves'!$L$513,2) ) ) ),
IF('Quantification Tool'!$C$12="Plains",IF(OR(E351&lt;=0,E351&gt;111),0,IF(AND(E351&gt;=69,E351&lt;=76),1,IF(E351&lt;69,ROUND(E351*'Reference Curves'!$K$547+'Reference Curves'!$K$548,2),ROUND(E351*'Reference Curves'!$L$547+'Reference Curves'!$L$548,2))))))))</f>
        <v/>
      </c>
      <c r="G351" s="504"/>
      <c r="H351" s="504"/>
      <c r="I351" s="491"/>
    </row>
    <row r="352" spans="1:9" ht="15.75" x14ac:dyDescent="0.5">
      <c r="A352" s="560"/>
      <c r="B352" s="546"/>
      <c r="C352" s="148" t="s">
        <v>220</v>
      </c>
      <c r="D352" s="305"/>
      <c r="E352" s="71"/>
      <c r="F352" s="83" t="str">
        <f>IF(E352="","",IF('Quantification Tool'!$C$18="Herbaceous",IF(E352&lt;=34,0,IF(E352&gt;=120,1,IF(E352&gt;73,ROUND(E352*'Reference Curves'!$L$579+'Reference Curves'!$L$580,2),ROUND(E352*'Reference Curves'!$K$579+'Reference Curves'!$K$580,2))))))</f>
        <v/>
      </c>
      <c r="G352" s="466"/>
      <c r="H352" s="504"/>
      <c r="I352" s="491"/>
    </row>
    <row r="353" spans="1:9" ht="15.75" x14ac:dyDescent="0.5">
      <c r="A353" s="561"/>
      <c r="B353" s="482"/>
      <c r="C353" s="297" t="s">
        <v>229</v>
      </c>
      <c r="D353" s="308"/>
      <c r="E353" s="73"/>
      <c r="F353" s="209" t="str">
        <f>IF(E353="","",IF(E353&lt;=46,0,IF(E353&gt;=100,1,IF(AND(E353&lt;=100,E353&gt;91),ROUND(E353*'Reference Curves'!$L$611+'Reference Curves'!$L$612,2),ROUND(E353*'Reference Curves'!$K$611+'Reference Curves'!$K$612,2)))))</f>
        <v/>
      </c>
      <c r="G353" s="464"/>
      <c r="H353" s="464"/>
      <c r="I353" s="492"/>
    </row>
    <row r="354" spans="1:9" ht="15.75" x14ac:dyDescent="0.5">
      <c r="A354" s="550" t="s">
        <v>50</v>
      </c>
      <c r="B354" s="475" t="s">
        <v>71</v>
      </c>
      <c r="C354" s="207" t="s">
        <v>244</v>
      </c>
      <c r="D354" s="211"/>
      <c r="E354" s="72"/>
      <c r="F354" s="216" t="str">
        <f>IF(E354="","",IF('Quantification Tool'!$C$17="","Enter Stream Temperature",  IF('Quantification Tool'!$C$17="CS-I (MWF)",IF(E354&gt;=21.2,0,1),  IF('Quantification Tool'!$C$17="CS-I",IF(E354&gt;=21.7,0,1),  IF('Quantification Tool'!$C$17="CS-II",IF(E354&gt;=23.9,0,1),  IF('Quantification Tool'!$C$17="WS-I",IF(E354&gt;=29,0,1),  IF('Quantification Tool'!$C$17="WS-II",IF(E354&gt;=28.6,0,1), IF('Quantification Tool'!$C$17="WS-III",IF(E354&gt;=31.8,0,1)))))))))</f>
        <v/>
      </c>
      <c r="G354" s="483" t="str">
        <f>IFERROR(AVERAGE(F354:F355),"")</f>
        <v/>
      </c>
      <c r="H354" s="483" t="str">
        <f>IFERROR(ROUND(AVERAGE(G354:G357),2),"")</f>
        <v/>
      </c>
      <c r="I354" s="497" t="str">
        <f>IF(H354="","",IF(H354&gt;0.69,"Functioning",IF(H354&gt;0.29,"Functioning At Risk",IF(H354&gt;-1,"Not Functioning"))))</f>
        <v/>
      </c>
    </row>
    <row r="355" spans="1:9" ht="15.75" x14ac:dyDescent="0.5">
      <c r="A355" s="551"/>
      <c r="B355" s="477"/>
      <c r="C355" s="210" t="s">
        <v>188</v>
      </c>
      <c r="D355" s="212"/>
      <c r="E355" s="73"/>
      <c r="F355" s="181" t="str">
        <f>IF(E355="","",IF('Quantification Tool'!$C$17="","Enter Stream Temperature",  IF('Quantification Tool'!$C$17="CS-I (MWF)",IF(E355&gt;=18.3,0,IF(E355&lt;=13.8,1,ROUND(E355*'Reference Curves'!$S$20+'Reference Curves'!$S$21,2))),  IF('Quantification Tool'!$C$17="CS-I",IF(E355&gt;=17.6,0,IF(E355&lt;=15.7,1,ROUND(E355*'Reference Curves'!$T$20+'Reference Curves'!$T$21,2))),  IF('Quantification Tool'!$C$17="CS-II",IF(E355&gt;=19.1,0,IF(E355&lt;=16.6,1,ROUND(E355*'Reference Curves'!$U$20+'Reference Curves'!$U$21,2))),  IF('Quantification Tool'!$C$17="WS-I",IF(E355&gt;=25.7,0,IF(E355&lt;=20.9,1,ROUND(E355*'Reference Curves'!$V$20+'Reference Curves'!$V$21,2))),  IF('Quantification Tool'!$C$17="WS-II",IF(E355&gt;=29.7,0,IF(E355&lt;=22.5,1,ROUND(E355*'Reference Curves'!$W$20+'Reference Curves'!$W$21,2))), IF('Quantification Tool'!$C$17="WS-III",IF(E355&gt;=30,0,IF(E355&lt;=25.9,1,ROUND(E355*'Reference Curves'!$X$20+'Reference Curves'!$X$21,2)))    ))))))))</f>
        <v/>
      </c>
      <c r="G355" s="484"/>
      <c r="H355" s="506"/>
      <c r="I355" s="497"/>
    </row>
    <row r="356" spans="1:9" ht="15.75" x14ac:dyDescent="0.5">
      <c r="A356" s="551"/>
      <c r="B356" s="208" t="s">
        <v>242</v>
      </c>
      <c r="C356" s="316" t="s">
        <v>243</v>
      </c>
      <c r="D356" s="301"/>
      <c r="E356" s="71"/>
      <c r="F356" s="181" t="str">
        <f>IF(E356="","",ROUND( IF(E356&lt;=6,0, IF(E356&gt;=10.31,1,E356*'Reference Curves'!$S$52+'Reference Curves'!$S$53)),2))</f>
        <v/>
      </c>
      <c r="G356" s="86" t="str">
        <f>IFERROR(AVERAGE(F356),"")</f>
        <v/>
      </c>
      <c r="H356" s="506"/>
      <c r="I356" s="497"/>
    </row>
    <row r="357" spans="1:9" ht="15.75" x14ac:dyDescent="0.5">
      <c r="A357" s="552"/>
      <c r="B357" s="278" t="s">
        <v>158</v>
      </c>
      <c r="C357" s="24" t="s">
        <v>421</v>
      </c>
      <c r="D357" s="318"/>
      <c r="E357" s="54"/>
      <c r="F357" s="181" t="str">
        <f>IF(E357="","",IF(OR('Quantification Tool'!$C$13=3),IF(E357&gt;=150,0,IF(E357&lt;=16,1,ROUND('Reference Curves'!$S$87*LN(E357)+'Reference Curves'!$S$88,2))), IF(OR('Quantification Tool'!$C$13=1,'Quantification Tool'!$C$13=2),  IF(E357&gt;=97,0,IF(E357&lt;=12,1,ROUND('Reference Curves'!$T$87*LN(E357)+'Reference Curves'!$T$88,2))))))</f>
        <v/>
      </c>
      <c r="G357" s="86" t="str">
        <f>IFERROR(AVERAGE(F357),"")</f>
        <v/>
      </c>
      <c r="H357" s="484"/>
      <c r="I357" s="497"/>
    </row>
    <row r="358" spans="1:9" ht="15.75" x14ac:dyDescent="0.5">
      <c r="A358" s="553" t="s">
        <v>51</v>
      </c>
      <c r="B358" s="282" t="s">
        <v>132</v>
      </c>
      <c r="C358" s="317" t="s">
        <v>249</v>
      </c>
      <c r="D358" s="306"/>
      <c r="E358" s="72"/>
      <c r="F358" s="218" t="str">
        <f>IF(E358="","",IF('Quantification Tool'!$C$13="","Enter Biotype",IF('Quantification Tool'!$C$13=1,IF(E358&lt;=0,0,IF(E358&gt;=57,1,ROUND(IF(E358&lt;=34,'Reference Curves'!$AB$18*E358+'Reference Curves'!$AB$19,  IF(E358&lt;=45, 'Reference Curves'!$AC$18*E358+'Reference Curves'!$AC$19,  'Reference Curves'!$AD$18*E358+'Reference Curves'!$AD$19)),2))),   IF('Quantification Tool'!$C$13=2,IF(E358&lt;=0,0,IF(E358&gt;=63,1,ROUND(IF(E358&lt;=40,'Reference Curves'!$AE$18*E358+'Reference Curves'!$AE$19,  IF(E358&lt;=48,'Reference Curves'!$AF$18*E358+'Reference Curves'!$AF$19,  'Reference Curves'!$AG$18*E358+'Reference Curves'!$AG$19)),2))),   IF(OR('Quantification Tool'!$C$13=3),IF(E358&lt;=0,0,IF(E358&gt;=52,1,ROUND(IF(E358&lt;=29,'Reference Curves'!$AH$18*E358+'Reference Curves'!$AH$19, IF(E358&lt;=42, 'Reference Curves'!$AI$18*E358+'Reference Curves'!$AI$19,  'Reference Curves'!$AJ$18*E358+'Reference Curves'!$AJ$19)),2))))))))</f>
        <v/>
      </c>
      <c r="G358" s="89" t="str">
        <f>IFERROR(AVERAGE(F358),"")</f>
        <v/>
      </c>
      <c r="H358" s="505" t="str">
        <f>IFERROR(ROUND(AVERAGE(G358:G361),2),"")</f>
        <v/>
      </c>
      <c r="I358" s="497" t="str">
        <f>IF(H358="","",IF(H358&gt;0.69,"Functioning",IF(H358&gt;0.29,"Functioning At Risk",IF(H358&gt;-1,"Not Functioning"))))</f>
        <v/>
      </c>
    </row>
    <row r="359" spans="1:9" ht="15.75" x14ac:dyDescent="0.5">
      <c r="A359" s="554"/>
      <c r="B359" s="556" t="s">
        <v>66</v>
      </c>
      <c r="C359" s="40" t="s">
        <v>190</v>
      </c>
      <c r="D359" s="88"/>
      <c r="E359" s="72"/>
      <c r="F359" s="89" t="str">
        <f>IF(E359="","",IF(E359&lt;=0,0,IF(E359&gt;=100,1,ROUND(IF(E359&lt;80,E359*'Reference Curves'!$AB$53+'Reference Curves'!$AB$54,E359*'Reference Curves'!$AC$53+'Reference Curves'!$AC$54),2))))</f>
        <v/>
      </c>
      <c r="G359" s="460" t="str">
        <f>IFERROR(AVERAGE(F359:F361),"")</f>
        <v/>
      </c>
      <c r="H359" s="505"/>
      <c r="I359" s="497"/>
    </row>
    <row r="360" spans="1:9" ht="15.75" x14ac:dyDescent="0.5">
      <c r="A360" s="554"/>
      <c r="B360" s="557"/>
      <c r="C360" s="41" t="s">
        <v>191</v>
      </c>
      <c r="D360" s="306"/>
      <c r="E360" s="71"/>
      <c r="F360" s="89" t="str">
        <f>IF(E360="","",ROUND(IF(E360&gt;=3,0,IF(E360&gt;=2,0.3,IF(E360&gt;=1,0.69,1))),2))</f>
        <v/>
      </c>
      <c r="G360" s="461"/>
      <c r="H360" s="505"/>
      <c r="I360" s="497"/>
    </row>
    <row r="361" spans="1:9" ht="15.75" x14ac:dyDescent="0.5">
      <c r="A361" s="555"/>
      <c r="B361" s="558"/>
      <c r="C361" s="27" t="s">
        <v>268</v>
      </c>
      <c r="D361" s="319"/>
      <c r="E361" s="73"/>
      <c r="F361" s="87" t="str">
        <f>IF(E361="","",IF('Quantification Tool'!$C$19="","Enter Stream Producitvity Rating",IF('Quantification Tool'!$C$19="High",IF(E361&lt;5,0,IF(E361&gt;=40,1,ROUND(E361*'Reference Curves'!$AB$89+'Reference Curves'!$AB$90,2))),IF('Quantification Tool'!$C$19="Moderate",IF(E361&lt;10,0,IF(E361&gt;=80,1,ROUND(E361*'Reference Curves'!$AC$89+'Reference Curves'!$AC$90,2))),IF('Quantification Tool'!$C$19="Low",IF(E361&lt;15,0,IF(E361&gt;=119,1,ROUND(E361*'Reference Curves'!$AD$89+'Reference Curves'!$AD$90,2)))   )))))</f>
        <v/>
      </c>
      <c r="G361" s="462"/>
      <c r="H361" s="505"/>
      <c r="I361" s="497"/>
    </row>
  </sheetData>
  <sheetProtection algorithmName="SHA-512" hashValue="kd7nNER2MMHgkXYnQUOFQjRmUUwwf74kPNZ3CAhhZfAa214b8jsThWVephqMxkt5AnUlek2xR3Xq/F7KOP4TSQ==" saltValue="VNbHC5Eq8AlfiITw6NyIfQ==" spinCount="100000" sheet="1" formatColumns="0"/>
  <dataConsolidate link="1"/>
  <mergeCells count="353">
    <mergeCell ref="D298:F298"/>
    <mergeCell ref="G267:G268"/>
    <mergeCell ref="A325:A328"/>
    <mergeCell ref="A307:A320"/>
    <mergeCell ref="I307:I320"/>
    <mergeCell ref="B309:B312"/>
    <mergeCell ref="G309:G312"/>
    <mergeCell ref="B317:B320"/>
    <mergeCell ref="G317:G320"/>
    <mergeCell ref="A267:A273"/>
    <mergeCell ref="B267:B268"/>
    <mergeCell ref="H325:H328"/>
    <mergeCell ref="I325:I328"/>
    <mergeCell ref="B326:B328"/>
    <mergeCell ref="G326:G328"/>
    <mergeCell ref="B293:B295"/>
    <mergeCell ref="G293:G295"/>
    <mergeCell ref="G280:G283"/>
    <mergeCell ref="G304:G306"/>
    <mergeCell ref="G298:I298"/>
    <mergeCell ref="A274:A287"/>
    <mergeCell ref="H274:H287"/>
    <mergeCell ref="I274:I287"/>
    <mergeCell ref="B276:B279"/>
    <mergeCell ref="A24:A27"/>
    <mergeCell ref="A28:A31"/>
    <mergeCell ref="B43:B44"/>
    <mergeCell ref="G43:G44"/>
    <mergeCell ref="B49:B52"/>
    <mergeCell ref="A76:A89"/>
    <mergeCell ref="H76:H89"/>
    <mergeCell ref="I76:I89"/>
    <mergeCell ref="B78:B81"/>
    <mergeCell ref="G78:G81"/>
    <mergeCell ref="B86:B89"/>
    <mergeCell ref="G86:G89"/>
    <mergeCell ref="B53:B56"/>
    <mergeCell ref="G53:G56"/>
    <mergeCell ref="H24:H27"/>
    <mergeCell ref="I24:I27"/>
    <mergeCell ref="A69:A75"/>
    <mergeCell ref="A43:A56"/>
    <mergeCell ref="H43:H56"/>
    <mergeCell ref="I43:I56"/>
    <mergeCell ref="B45:B48"/>
    <mergeCell ref="G45:G48"/>
    <mergeCell ref="I57:I60"/>
    <mergeCell ref="A61:A64"/>
    <mergeCell ref="D133:F133"/>
    <mergeCell ref="G133:I133"/>
    <mergeCell ref="G100:I100"/>
    <mergeCell ref="B73:B75"/>
    <mergeCell ref="G73:G75"/>
    <mergeCell ref="G67:I67"/>
    <mergeCell ref="B76:B77"/>
    <mergeCell ref="G76:G77"/>
    <mergeCell ref="B82:B85"/>
    <mergeCell ref="G82:G85"/>
    <mergeCell ref="B69:B70"/>
    <mergeCell ref="G69:G70"/>
    <mergeCell ref="H69:H75"/>
    <mergeCell ref="I69:I75"/>
    <mergeCell ref="B102:B103"/>
    <mergeCell ref="G102:G103"/>
    <mergeCell ref="H109:H122"/>
    <mergeCell ref="I109:I122"/>
    <mergeCell ref="B111:B114"/>
    <mergeCell ref="G111:G114"/>
    <mergeCell ref="B119:B122"/>
    <mergeCell ref="G119:G122"/>
    <mergeCell ref="B109:B110"/>
    <mergeCell ref="G106:G108"/>
    <mergeCell ref="G276:G279"/>
    <mergeCell ref="B284:B287"/>
    <mergeCell ref="B241:B242"/>
    <mergeCell ref="G241:G242"/>
    <mergeCell ref="G265:I265"/>
    <mergeCell ref="B247:B250"/>
    <mergeCell ref="G247:G250"/>
    <mergeCell ref="H255:H258"/>
    <mergeCell ref="I255:I258"/>
    <mergeCell ref="H259:H262"/>
    <mergeCell ref="G284:G287"/>
    <mergeCell ref="D265:F265"/>
    <mergeCell ref="I259:I262"/>
    <mergeCell ref="B260:B262"/>
    <mergeCell ref="G260:G262"/>
    <mergeCell ref="B243:B246"/>
    <mergeCell ref="G243:G246"/>
    <mergeCell ref="B251:B254"/>
    <mergeCell ref="G251:G254"/>
    <mergeCell ref="A358:A361"/>
    <mergeCell ref="H358:H361"/>
    <mergeCell ref="I358:I361"/>
    <mergeCell ref="B359:B361"/>
    <mergeCell ref="G359:G361"/>
    <mergeCell ref="B346:B349"/>
    <mergeCell ref="G346:G349"/>
    <mergeCell ref="A354:A357"/>
    <mergeCell ref="H354:H357"/>
    <mergeCell ref="I354:I357"/>
    <mergeCell ref="A340:A353"/>
    <mergeCell ref="H340:H353"/>
    <mergeCell ref="I340:I353"/>
    <mergeCell ref="B350:B353"/>
    <mergeCell ref="G350:G353"/>
    <mergeCell ref="B342:B345"/>
    <mergeCell ref="G342:G345"/>
    <mergeCell ref="B340:B341"/>
    <mergeCell ref="G340:G341"/>
    <mergeCell ref="A241:A254"/>
    <mergeCell ref="B255:B256"/>
    <mergeCell ref="G255:G256"/>
    <mergeCell ref="A255:A258"/>
    <mergeCell ref="A259:A262"/>
    <mergeCell ref="H241:H254"/>
    <mergeCell ref="I241:I254"/>
    <mergeCell ref="A226:A229"/>
    <mergeCell ref="H226:H229"/>
    <mergeCell ref="I226:I229"/>
    <mergeCell ref="B227:B229"/>
    <mergeCell ref="G227:G229"/>
    <mergeCell ref="A234:A240"/>
    <mergeCell ref="B234:B235"/>
    <mergeCell ref="G234:G235"/>
    <mergeCell ref="H234:H240"/>
    <mergeCell ref="I234:I240"/>
    <mergeCell ref="B238:B240"/>
    <mergeCell ref="G238:G240"/>
    <mergeCell ref="G232:I232"/>
    <mergeCell ref="B236:B237"/>
    <mergeCell ref="G236:G237"/>
    <mergeCell ref="D232:F232"/>
    <mergeCell ref="B208:B209"/>
    <mergeCell ref="G208:G209"/>
    <mergeCell ref="A222:A225"/>
    <mergeCell ref="H222:H225"/>
    <mergeCell ref="I222:I225"/>
    <mergeCell ref="B214:B217"/>
    <mergeCell ref="G214:G217"/>
    <mergeCell ref="A208:A221"/>
    <mergeCell ref="I208:I221"/>
    <mergeCell ref="B210:B213"/>
    <mergeCell ref="G210:G213"/>
    <mergeCell ref="B218:B221"/>
    <mergeCell ref="B222:B223"/>
    <mergeCell ref="G222:G223"/>
    <mergeCell ref="H208:H221"/>
    <mergeCell ref="G218:G221"/>
    <mergeCell ref="A189:A192"/>
    <mergeCell ref="H189:H192"/>
    <mergeCell ref="I189:I192"/>
    <mergeCell ref="A193:A196"/>
    <mergeCell ref="H193:H196"/>
    <mergeCell ref="I193:I196"/>
    <mergeCell ref="B194:B196"/>
    <mergeCell ref="G194:G196"/>
    <mergeCell ref="H201:H207"/>
    <mergeCell ref="I201:I207"/>
    <mergeCell ref="B205:B207"/>
    <mergeCell ref="G205:G207"/>
    <mergeCell ref="A201:A207"/>
    <mergeCell ref="B201:B202"/>
    <mergeCell ref="G201:G202"/>
    <mergeCell ref="G199:I199"/>
    <mergeCell ref="D199:F199"/>
    <mergeCell ref="A175:A188"/>
    <mergeCell ref="H175:H188"/>
    <mergeCell ref="I175:I188"/>
    <mergeCell ref="B177:B180"/>
    <mergeCell ref="G177:G180"/>
    <mergeCell ref="B185:B188"/>
    <mergeCell ref="G185:G188"/>
    <mergeCell ref="B175:B176"/>
    <mergeCell ref="G148:G151"/>
    <mergeCell ref="A160:A163"/>
    <mergeCell ref="G166:I166"/>
    <mergeCell ref="A142:A155"/>
    <mergeCell ref="H142:H155"/>
    <mergeCell ref="I142:I155"/>
    <mergeCell ref="A168:A174"/>
    <mergeCell ref="B168:B169"/>
    <mergeCell ref="G168:G169"/>
    <mergeCell ref="H168:H174"/>
    <mergeCell ref="I168:I174"/>
    <mergeCell ref="B172:B174"/>
    <mergeCell ref="D166:F166"/>
    <mergeCell ref="G172:G174"/>
    <mergeCell ref="B142:B143"/>
    <mergeCell ref="A94:A97"/>
    <mergeCell ref="H94:H97"/>
    <mergeCell ref="B104:B105"/>
    <mergeCell ref="G104:G105"/>
    <mergeCell ref="A123:A126"/>
    <mergeCell ref="H123:H126"/>
    <mergeCell ref="I123:I126"/>
    <mergeCell ref="A127:A130"/>
    <mergeCell ref="H127:H130"/>
    <mergeCell ref="I127:I130"/>
    <mergeCell ref="B128:B130"/>
    <mergeCell ref="G128:G130"/>
    <mergeCell ref="B123:B124"/>
    <mergeCell ref="G123:G124"/>
    <mergeCell ref="D100:F100"/>
    <mergeCell ref="A109:A122"/>
    <mergeCell ref="G109:G110"/>
    <mergeCell ref="B115:B118"/>
    <mergeCell ref="G115:G118"/>
    <mergeCell ref="A90:A93"/>
    <mergeCell ref="H90:H93"/>
    <mergeCell ref="I90:I93"/>
    <mergeCell ref="H160:H163"/>
    <mergeCell ref="I160:I163"/>
    <mergeCell ref="B161:B163"/>
    <mergeCell ref="G161:G163"/>
    <mergeCell ref="H156:H159"/>
    <mergeCell ref="I156:I159"/>
    <mergeCell ref="A156:A159"/>
    <mergeCell ref="A135:A141"/>
    <mergeCell ref="B135:B136"/>
    <mergeCell ref="G135:G136"/>
    <mergeCell ref="H135:H141"/>
    <mergeCell ref="I135:I141"/>
    <mergeCell ref="B139:B141"/>
    <mergeCell ref="G139:G141"/>
    <mergeCell ref="I94:I97"/>
    <mergeCell ref="B95:B97"/>
    <mergeCell ref="G95:G97"/>
    <mergeCell ref="A102:A108"/>
    <mergeCell ref="H102:H108"/>
    <mergeCell ref="I102:I108"/>
    <mergeCell ref="B106:B108"/>
    <mergeCell ref="H3:H9"/>
    <mergeCell ref="A10:A23"/>
    <mergeCell ref="B12:B15"/>
    <mergeCell ref="B20:B23"/>
    <mergeCell ref="H10:H23"/>
    <mergeCell ref="I3:I9"/>
    <mergeCell ref="G1:I1"/>
    <mergeCell ref="A3:A9"/>
    <mergeCell ref="A1:F1"/>
    <mergeCell ref="B3:B4"/>
    <mergeCell ref="G3:G4"/>
    <mergeCell ref="B7:B9"/>
    <mergeCell ref="G7:G9"/>
    <mergeCell ref="I10:I23"/>
    <mergeCell ref="G12:G15"/>
    <mergeCell ref="G20:G23"/>
    <mergeCell ref="G10:G11"/>
    <mergeCell ref="B10:B11"/>
    <mergeCell ref="B5:B6"/>
    <mergeCell ref="G5:G6"/>
    <mergeCell ref="B16:B19"/>
    <mergeCell ref="G16:G19"/>
    <mergeCell ref="C2:D2"/>
    <mergeCell ref="H61:H64"/>
    <mergeCell ref="I61:I64"/>
    <mergeCell ref="B62:B64"/>
    <mergeCell ref="G62:G64"/>
    <mergeCell ref="I28:I31"/>
    <mergeCell ref="B29:B31"/>
    <mergeCell ref="G29:G31"/>
    <mergeCell ref="A36:A42"/>
    <mergeCell ref="B36:B37"/>
    <mergeCell ref="G36:G37"/>
    <mergeCell ref="H36:H42"/>
    <mergeCell ref="I36:I42"/>
    <mergeCell ref="B40:B42"/>
    <mergeCell ref="G40:G42"/>
    <mergeCell ref="G34:I34"/>
    <mergeCell ref="D34:F34"/>
    <mergeCell ref="G49:G52"/>
    <mergeCell ref="A57:A60"/>
    <mergeCell ref="H28:H31"/>
    <mergeCell ref="H57:H60"/>
    <mergeCell ref="A288:A291"/>
    <mergeCell ref="H288:H291"/>
    <mergeCell ref="I288:I291"/>
    <mergeCell ref="A292:A295"/>
    <mergeCell ref="H292:H295"/>
    <mergeCell ref="I292:I295"/>
    <mergeCell ref="A333:A339"/>
    <mergeCell ref="B333:B334"/>
    <mergeCell ref="G333:G334"/>
    <mergeCell ref="H333:H339"/>
    <mergeCell ref="I333:I339"/>
    <mergeCell ref="A300:A306"/>
    <mergeCell ref="B300:B301"/>
    <mergeCell ref="G300:G301"/>
    <mergeCell ref="H300:H306"/>
    <mergeCell ref="I300:I306"/>
    <mergeCell ref="B304:B306"/>
    <mergeCell ref="A321:A324"/>
    <mergeCell ref="H321:H324"/>
    <mergeCell ref="I321:I324"/>
    <mergeCell ref="B307:B308"/>
    <mergeCell ref="G307:G308"/>
    <mergeCell ref="B313:B316"/>
    <mergeCell ref="G313:G316"/>
    <mergeCell ref="B24:B25"/>
    <mergeCell ref="G24:G25"/>
    <mergeCell ref="B38:B39"/>
    <mergeCell ref="G38:G39"/>
    <mergeCell ref="B57:B58"/>
    <mergeCell ref="G57:G58"/>
    <mergeCell ref="B71:B72"/>
    <mergeCell ref="G71:G72"/>
    <mergeCell ref="B90:B91"/>
    <mergeCell ref="G90:G91"/>
    <mergeCell ref="D67:F67"/>
    <mergeCell ref="B137:B138"/>
    <mergeCell ref="G137:G138"/>
    <mergeCell ref="B156:B157"/>
    <mergeCell ref="G156:G157"/>
    <mergeCell ref="B170:B171"/>
    <mergeCell ref="G170:G171"/>
    <mergeCell ref="B189:B190"/>
    <mergeCell ref="G189:G190"/>
    <mergeCell ref="B203:B204"/>
    <mergeCell ref="G203:G204"/>
    <mergeCell ref="G144:G147"/>
    <mergeCell ref="B152:B155"/>
    <mergeCell ref="G152:G155"/>
    <mergeCell ref="G142:G143"/>
    <mergeCell ref="B144:B147"/>
    <mergeCell ref="B148:B151"/>
    <mergeCell ref="G175:G176"/>
    <mergeCell ref="B181:B184"/>
    <mergeCell ref="G181:G184"/>
    <mergeCell ref="B337:B339"/>
    <mergeCell ref="G337:G339"/>
    <mergeCell ref="B354:B355"/>
    <mergeCell ref="G354:G355"/>
    <mergeCell ref="B269:B270"/>
    <mergeCell ref="G269:G270"/>
    <mergeCell ref="B288:B289"/>
    <mergeCell ref="G288:G289"/>
    <mergeCell ref="B302:B303"/>
    <mergeCell ref="G302:G303"/>
    <mergeCell ref="B321:B322"/>
    <mergeCell ref="G321:G322"/>
    <mergeCell ref="B335:B336"/>
    <mergeCell ref="G335:G336"/>
    <mergeCell ref="G331:I331"/>
    <mergeCell ref="D331:F331"/>
    <mergeCell ref="H307:H320"/>
    <mergeCell ref="H267:H273"/>
    <mergeCell ref="I267:I273"/>
    <mergeCell ref="B271:B273"/>
    <mergeCell ref="G271:G273"/>
    <mergeCell ref="B274:B275"/>
    <mergeCell ref="G274:G275"/>
    <mergeCell ref="B280:B283"/>
  </mergeCells>
  <conditionalFormatting sqref="I43 I57:I65 I90:I97 I123:I130 I156:I163 I189:I196 I222:I229 I255:I262 I288:I295 I321:I328 I354:I361 I3:I4 I36:I37 I69:I70 I102:I103 I135:I136 I168:I169 I201:I202 I234:I235 I267:I268 I300:I301 I333:I334">
    <cfRule type="containsText" dxfId="119" priority="134" stopIfTrue="1" operator="containsText" text="Functioning At Risk">
      <formula>NOT(ISERROR(SEARCH("Functioning At Risk",I3)))</formula>
    </cfRule>
    <cfRule type="containsText" dxfId="118" priority="135" stopIfTrue="1" operator="containsText" text="Not Functioning">
      <formula>NOT(ISERROR(SEARCH("Not Functioning",I3)))</formula>
    </cfRule>
    <cfRule type="containsText" dxfId="117" priority="136" operator="containsText" text="Functioning">
      <formula>NOT(ISERROR(SEARCH("Functioning",I3)))</formula>
    </cfRule>
  </conditionalFormatting>
  <conditionalFormatting sqref="I95 I128 I161 I194 I227 I260 I293 I326 I359">
    <cfRule type="containsText" dxfId="116" priority="144" stopIfTrue="1" operator="containsText" text="Functioning At Risk">
      <formula>NOT(ISERROR(SEARCH("Functioning At Risk",I99)))</formula>
    </cfRule>
  </conditionalFormatting>
  <conditionalFormatting sqref="I57:I59">
    <cfRule type="containsText" dxfId="115" priority="145" stopIfTrue="1" operator="containsText" text="Functioning At Risk">
      <formula>NOT(ISERROR(SEARCH("Functioning At Risk",#REF!)))</formula>
    </cfRule>
  </conditionalFormatting>
  <conditionalFormatting sqref="I60:I61">
    <cfRule type="containsText" dxfId="114" priority="146" stopIfTrue="1" operator="containsText" text="Functioning At Risk">
      <formula>NOT(ISERROR(SEARCH("Functioning At Risk",#REF!)))</formula>
    </cfRule>
  </conditionalFormatting>
  <conditionalFormatting sqref="I43">
    <cfRule type="containsText" dxfId="113" priority="137" stopIfTrue="1" operator="containsText" text="Functioning At Risk">
      <formula>NOT(ISERROR(SEARCH("Functioning At Risk",I36)))</formula>
    </cfRule>
  </conditionalFormatting>
  <conditionalFormatting sqref="I90:I92">
    <cfRule type="containsText" dxfId="112" priority="132" stopIfTrue="1" operator="containsText" text="Functioning At Risk">
      <formula>NOT(ISERROR(SEARCH("Functioning At Risk",#REF!)))</formula>
    </cfRule>
  </conditionalFormatting>
  <conditionalFormatting sqref="I93:I94">
    <cfRule type="containsText" dxfId="111" priority="133" stopIfTrue="1" operator="containsText" text="Functioning At Risk">
      <formula>NOT(ISERROR(SEARCH("Functioning At Risk",#REF!)))</formula>
    </cfRule>
  </conditionalFormatting>
  <conditionalFormatting sqref="I76">
    <cfRule type="containsText" dxfId="110" priority="121" stopIfTrue="1" operator="containsText" text="Functioning At Risk">
      <formula>NOT(ISERROR(SEARCH("Functioning At Risk",I76)))</formula>
    </cfRule>
    <cfRule type="containsText" dxfId="109" priority="122" stopIfTrue="1" operator="containsText" text="Not Functioning">
      <formula>NOT(ISERROR(SEARCH("Not Functioning",I76)))</formula>
    </cfRule>
    <cfRule type="containsText" dxfId="108" priority="123" operator="containsText" text="Functioning">
      <formula>NOT(ISERROR(SEARCH("Functioning",I76)))</formula>
    </cfRule>
  </conditionalFormatting>
  <conditionalFormatting sqref="I76">
    <cfRule type="containsText" dxfId="107" priority="124" stopIfTrue="1" operator="containsText" text="Functioning At Risk">
      <formula>NOT(ISERROR(SEARCH("Functioning At Risk",I69)))</formula>
    </cfRule>
  </conditionalFormatting>
  <conditionalFormatting sqref="I123:I125">
    <cfRule type="containsText" dxfId="106" priority="119" stopIfTrue="1" operator="containsText" text="Functioning At Risk">
      <formula>NOT(ISERROR(SEARCH("Functioning At Risk",#REF!)))</formula>
    </cfRule>
  </conditionalFormatting>
  <conditionalFormatting sqref="I126:I127">
    <cfRule type="containsText" dxfId="105" priority="120" stopIfTrue="1" operator="containsText" text="Functioning At Risk">
      <formula>NOT(ISERROR(SEARCH("Functioning At Risk",#REF!)))</formula>
    </cfRule>
  </conditionalFormatting>
  <conditionalFormatting sqref="I109">
    <cfRule type="containsText" dxfId="104" priority="108" stopIfTrue="1" operator="containsText" text="Functioning At Risk">
      <formula>NOT(ISERROR(SEARCH("Functioning At Risk",I109)))</formula>
    </cfRule>
    <cfRule type="containsText" dxfId="103" priority="109" stopIfTrue="1" operator="containsText" text="Not Functioning">
      <formula>NOT(ISERROR(SEARCH("Not Functioning",I109)))</formula>
    </cfRule>
    <cfRule type="containsText" dxfId="102" priority="110" operator="containsText" text="Functioning">
      <formula>NOT(ISERROR(SEARCH("Functioning",I109)))</formula>
    </cfRule>
  </conditionalFormatting>
  <conditionalFormatting sqref="I109">
    <cfRule type="containsText" dxfId="101" priority="111" stopIfTrue="1" operator="containsText" text="Functioning At Risk">
      <formula>NOT(ISERROR(SEARCH("Functioning At Risk",I102)))</formula>
    </cfRule>
  </conditionalFormatting>
  <conditionalFormatting sqref="I156:I158">
    <cfRule type="containsText" dxfId="100" priority="106" stopIfTrue="1" operator="containsText" text="Functioning At Risk">
      <formula>NOT(ISERROR(SEARCH("Functioning At Risk",#REF!)))</formula>
    </cfRule>
  </conditionalFormatting>
  <conditionalFormatting sqref="I159:I160">
    <cfRule type="containsText" dxfId="99" priority="107" stopIfTrue="1" operator="containsText" text="Functioning At Risk">
      <formula>NOT(ISERROR(SEARCH("Functioning At Risk",#REF!)))</formula>
    </cfRule>
  </conditionalFormatting>
  <conditionalFormatting sqref="I142">
    <cfRule type="containsText" dxfId="98" priority="95" stopIfTrue="1" operator="containsText" text="Functioning At Risk">
      <formula>NOT(ISERROR(SEARCH("Functioning At Risk",I142)))</formula>
    </cfRule>
    <cfRule type="containsText" dxfId="97" priority="96" stopIfTrue="1" operator="containsText" text="Not Functioning">
      <formula>NOT(ISERROR(SEARCH("Not Functioning",I142)))</formula>
    </cfRule>
    <cfRule type="containsText" dxfId="96" priority="97" operator="containsText" text="Functioning">
      <formula>NOT(ISERROR(SEARCH("Functioning",I142)))</formula>
    </cfRule>
  </conditionalFormatting>
  <conditionalFormatting sqref="I142">
    <cfRule type="containsText" dxfId="95" priority="98" stopIfTrue="1" operator="containsText" text="Functioning At Risk">
      <formula>NOT(ISERROR(SEARCH("Functioning At Risk",I135)))</formula>
    </cfRule>
  </conditionalFormatting>
  <conditionalFormatting sqref="I189:I191">
    <cfRule type="containsText" dxfId="94" priority="93" stopIfTrue="1" operator="containsText" text="Functioning At Risk">
      <formula>NOT(ISERROR(SEARCH("Functioning At Risk",#REF!)))</formula>
    </cfRule>
  </conditionalFormatting>
  <conditionalFormatting sqref="I192:I193">
    <cfRule type="containsText" dxfId="93" priority="94" stopIfTrue="1" operator="containsText" text="Functioning At Risk">
      <formula>NOT(ISERROR(SEARCH("Functioning At Risk",#REF!)))</formula>
    </cfRule>
  </conditionalFormatting>
  <conditionalFormatting sqref="I175">
    <cfRule type="containsText" dxfId="92" priority="82" stopIfTrue="1" operator="containsText" text="Functioning At Risk">
      <formula>NOT(ISERROR(SEARCH("Functioning At Risk",I175)))</formula>
    </cfRule>
    <cfRule type="containsText" dxfId="91" priority="83" stopIfTrue="1" operator="containsText" text="Not Functioning">
      <formula>NOT(ISERROR(SEARCH("Not Functioning",I175)))</formula>
    </cfRule>
    <cfRule type="containsText" dxfId="90" priority="84" operator="containsText" text="Functioning">
      <formula>NOT(ISERROR(SEARCH("Functioning",I175)))</formula>
    </cfRule>
  </conditionalFormatting>
  <conditionalFormatting sqref="I175">
    <cfRule type="containsText" dxfId="89" priority="85" stopIfTrue="1" operator="containsText" text="Functioning At Risk">
      <formula>NOT(ISERROR(SEARCH("Functioning At Risk",I168)))</formula>
    </cfRule>
  </conditionalFormatting>
  <conditionalFormatting sqref="I222:I224">
    <cfRule type="containsText" dxfId="88" priority="80" stopIfTrue="1" operator="containsText" text="Functioning At Risk">
      <formula>NOT(ISERROR(SEARCH("Functioning At Risk",#REF!)))</formula>
    </cfRule>
  </conditionalFormatting>
  <conditionalFormatting sqref="I225:I226">
    <cfRule type="containsText" dxfId="87" priority="81" stopIfTrue="1" operator="containsText" text="Functioning At Risk">
      <formula>NOT(ISERROR(SEARCH("Functioning At Risk",#REF!)))</formula>
    </cfRule>
  </conditionalFormatting>
  <conditionalFormatting sqref="I208">
    <cfRule type="containsText" dxfId="86" priority="69" stopIfTrue="1" operator="containsText" text="Functioning At Risk">
      <formula>NOT(ISERROR(SEARCH("Functioning At Risk",I208)))</formula>
    </cfRule>
    <cfRule type="containsText" dxfId="85" priority="70" stopIfTrue="1" operator="containsText" text="Not Functioning">
      <formula>NOT(ISERROR(SEARCH("Not Functioning",I208)))</formula>
    </cfRule>
    <cfRule type="containsText" dxfId="84" priority="71" operator="containsText" text="Functioning">
      <formula>NOT(ISERROR(SEARCH("Functioning",I208)))</formula>
    </cfRule>
  </conditionalFormatting>
  <conditionalFormatting sqref="I208">
    <cfRule type="containsText" dxfId="83" priority="72" stopIfTrue="1" operator="containsText" text="Functioning At Risk">
      <formula>NOT(ISERROR(SEARCH("Functioning At Risk",I201)))</formula>
    </cfRule>
  </conditionalFormatting>
  <conditionalFormatting sqref="I255:I257">
    <cfRule type="containsText" dxfId="82" priority="67" stopIfTrue="1" operator="containsText" text="Functioning At Risk">
      <formula>NOT(ISERROR(SEARCH("Functioning At Risk",#REF!)))</formula>
    </cfRule>
  </conditionalFormatting>
  <conditionalFormatting sqref="I258:I259">
    <cfRule type="containsText" dxfId="81" priority="68" stopIfTrue="1" operator="containsText" text="Functioning At Risk">
      <formula>NOT(ISERROR(SEARCH("Functioning At Risk",#REF!)))</formula>
    </cfRule>
  </conditionalFormatting>
  <conditionalFormatting sqref="I241">
    <cfRule type="containsText" dxfId="80" priority="56" stopIfTrue="1" operator="containsText" text="Functioning At Risk">
      <formula>NOT(ISERROR(SEARCH("Functioning At Risk",I241)))</formula>
    </cfRule>
    <cfRule type="containsText" dxfId="79" priority="57" stopIfTrue="1" operator="containsText" text="Not Functioning">
      <formula>NOT(ISERROR(SEARCH("Not Functioning",I241)))</formula>
    </cfRule>
    <cfRule type="containsText" dxfId="78" priority="58" operator="containsText" text="Functioning">
      <formula>NOT(ISERROR(SEARCH("Functioning",I241)))</formula>
    </cfRule>
  </conditionalFormatting>
  <conditionalFormatting sqref="I241">
    <cfRule type="containsText" dxfId="77" priority="59" stopIfTrue="1" operator="containsText" text="Functioning At Risk">
      <formula>NOT(ISERROR(SEARCH("Functioning At Risk",I234)))</formula>
    </cfRule>
  </conditionalFormatting>
  <conditionalFormatting sqref="I288:I290">
    <cfRule type="containsText" dxfId="76" priority="54" stopIfTrue="1" operator="containsText" text="Functioning At Risk">
      <formula>NOT(ISERROR(SEARCH("Functioning At Risk",#REF!)))</formula>
    </cfRule>
  </conditionalFormatting>
  <conditionalFormatting sqref="I291:I292">
    <cfRule type="containsText" dxfId="75" priority="55" stopIfTrue="1" operator="containsText" text="Functioning At Risk">
      <formula>NOT(ISERROR(SEARCH("Functioning At Risk",#REF!)))</formula>
    </cfRule>
  </conditionalFormatting>
  <conditionalFormatting sqref="I274">
    <cfRule type="containsText" dxfId="74" priority="43" stopIfTrue="1" operator="containsText" text="Functioning At Risk">
      <formula>NOT(ISERROR(SEARCH("Functioning At Risk",I274)))</formula>
    </cfRule>
    <cfRule type="containsText" dxfId="73" priority="44" stopIfTrue="1" operator="containsText" text="Not Functioning">
      <formula>NOT(ISERROR(SEARCH("Not Functioning",I274)))</formula>
    </cfRule>
    <cfRule type="containsText" dxfId="72" priority="45" operator="containsText" text="Functioning">
      <formula>NOT(ISERROR(SEARCH("Functioning",I274)))</formula>
    </cfRule>
  </conditionalFormatting>
  <conditionalFormatting sqref="I274">
    <cfRule type="containsText" dxfId="71" priority="46" stopIfTrue="1" operator="containsText" text="Functioning At Risk">
      <formula>NOT(ISERROR(SEARCH("Functioning At Risk",I267)))</formula>
    </cfRule>
  </conditionalFormatting>
  <conditionalFormatting sqref="I321:I323">
    <cfRule type="containsText" dxfId="70" priority="41" stopIfTrue="1" operator="containsText" text="Functioning At Risk">
      <formula>NOT(ISERROR(SEARCH("Functioning At Risk",#REF!)))</formula>
    </cfRule>
  </conditionalFormatting>
  <conditionalFormatting sqref="I324:I325">
    <cfRule type="containsText" dxfId="69" priority="42" stopIfTrue="1" operator="containsText" text="Functioning At Risk">
      <formula>NOT(ISERROR(SEARCH("Functioning At Risk",#REF!)))</formula>
    </cfRule>
  </conditionalFormatting>
  <conditionalFormatting sqref="I307">
    <cfRule type="containsText" dxfId="68" priority="30" stopIfTrue="1" operator="containsText" text="Functioning At Risk">
      <formula>NOT(ISERROR(SEARCH("Functioning At Risk",I307)))</formula>
    </cfRule>
    <cfRule type="containsText" dxfId="67" priority="31" stopIfTrue="1" operator="containsText" text="Not Functioning">
      <formula>NOT(ISERROR(SEARCH("Not Functioning",I307)))</formula>
    </cfRule>
    <cfRule type="containsText" dxfId="66" priority="32" operator="containsText" text="Functioning">
      <formula>NOT(ISERROR(SEARCH("Functioning",I307)))</formula>
    </cfRule>
  </conditionalFormatting>
  <conditionalFormatting sqref="I307">
    <cfRule type="containsText" dxfId="65" priority="33" stopIfTrue="1" operator="containsText" text="Functioning At Risk">
      <formula>NOT(ISERROR(SEARCH("Functioning At Risk",I300)))</formula>
    </cfRule>
  </conditionalFormatting>
  <conditionalFormatting sqref="I354:I356">
    <cfRule type="containsText" dxfId="64" priority="28" stopIfTrue="1" operator="containsText" text="Functioning At Risk">
      <formula>NOT(ISERROR(SEARCH("Functioning At Risk",#REF!)))</formula>
    </cfRule>
  </conditionalFormatting>
  <conditionalFormatting sqref="I357:I358">
    <cfRule type="containsText" dxfId="63" priority="29" stopIfTrue="1" operator="containsText" text="Functioning At Risk">
      <formula>NOT(ISERROR(SEARCH("Functioning At Risk",#REF!)))</formula>
    </cfRule>
  </conditionalFormatting>
  <conditionalFormatting sqref="I340">
    <cfRule type="containsText" dxfId="62" priority="17" stopIfTrue="1" operator="containsText" text="Functioning At Risk">
      <formula>NOT(ISERROR(SEARCH("Functioning At Risk",I340)))</formula>
    </cfRule>
    <cfRule type="containsText" dxfId="61" priority="18" stopIfTrue="1" operator="containsText" text="Not Functioning">
      <formula>NOT(ISERROR(SEARCH("Not Functioning",I340)))</formula>
    </cfRule>
    <cfRule type="containsText" dxfId="60" priority="19" operator="containsText" text="Functioning">
      <formula>NOT(ISERROR(SEARCH("Functioning",I340)))</formula>
    </cfRule>
  </conditionalFormatting>
  <conditionalFormatting sqref="I340">
    <cfRule type="containsText" dxfId="59" priority="20" stopIfTrue="1" operator="containsText" text="Functioning At Risk">
      <formula>NOT(ISERROR(SEARCH("Functioning At Risk",I333)))</formula>
    </cfRule>
  </conditionalFormatting>
  <conditionalFormatting sqref="I10">
    <cfRule type="containsText" dxfId="58" priority="10" stopIfTrue="1" operator="containsText" text="Functioning At Risk">
      <formula>NOT(ISERROR(SEARCH("Functioning At Risk",I10)))</formula>
    </cfRule>
    <cfRule type="containsText" dxfId="57" priority="11" stopIfTrue="1" operator="containsText" text="Not Functioning">
      <formula>NOT(ISERROR(SEARCH("Not Functioning",I10)))</formula>
    </cfRule>
    <cfRule type="containsText" dxfId="56" priority="12" operator="containsText" text="Functioning">
      <formula>NOT(ISERROR(SEARCH("Functioning",I10)))</formula>
    </cfRule>
  </conditionalFormatting>
  <conditionalFormatting sqref="I10">
    <cfRule type="containsText" dxfId="55" priority="13" stopIfTrue="1" operator="containsText" text="Functioning At Risk">
      <formula>NOT(ISERROR(SEARCH("Functioning At Risk",I5)))</formula>
    </cfRule>
  </conditionalFormatting>
  <conditionalFormatting sqref="I24:I27">
    <cfRule type="containsText" dxfId="54" priority="5" stopIfTrue="1" operator="containsText" text="Functioning At Risk">
      <formula>NOT(ISERROR(SEARCH("Functioning At Risk",I24)))</formula>
    </cfRule>
    <cfRule type="containsText" dxfId="53" priority="6" stopIfTrue="1" operator="containsText" text="Not Functioning">
      <formula>NOT(ISERROR(SEARCH("Not Functioning",I24)))</formula>
    </cfRule>
    <cfRule type="containsText" dxfId="52" priority="7" operator="containsText" text="Functioning">
      <formula>NOT(ISERROR(SEARCH("Functioning",I24)))</formula>
    </cfRule>
  </conditionalFormatting>
  <conditionalFormatting sqref="I27">
    <cfRule type="containsText" dxfId="51" priority="8" stopIfTrue="1" operator="containsText" text="Functioning At Risk">
      <formula>NOT(ISERROR(SEARCH("Functioning At Risk",#REF!)))</formula>
    </cfRule>
  </conditionalFormatting>
  <conditionalFormatting sqref="I24:I26">
    <cfRule type="containsText" dxfId="50" priority="9" stopIfTrue="1" operator="containsText" text="Functioning At Risk">
      <formula>NOT(ISERROR(SEARCH("Functioning At Risk",#REF!)))</formula>
    </cfRule>
  </conditionalFormatting>
  <conditionalFormatting sqref="I28:I31">
    <cfRule type="containsText" dxfId="49" priority="1" stopIfTrue="1" operator="containsText" text="Functioning At Risk">
      <formula>NOT(ISERROR(SEARCH("Functioning At Risk",I28)))</formula>
    </cfRule>
    <cfRule type="containsText" dxfId="48" priority="2" stopIfTrue="1" operator="containsText" text="Not Functioning">
      <formula>NOT(ISERROR(SEARCH("Not Functioning",I28)))</formula>
    </cfRule>
    <cfRule type="containsText" dxfId="47" priority="3" operator="containsText" text="Functioning">
      <formula>NOT(ISERROR(SEARCH("Functioning",I28)))</formula>
    </cfRule>
  </conditionalFormatting>
  <conditionalFormatting sqref="I28:I29">
    <cfRule type="containsText" dxfId="46" priority="4" stopIfTrue="1" operator="containsText" text="Functioning At Risk">
      <formula>NOT(ISERROR(SEARCH("Functioning At Risk",#REF!)))</formula>
    </cfRule>
  </conditionalFormatting>
  <conditionalFormatting sqref="I62">
    <cfRule type="containsText" dxfId="45" priority="724" stopIfTrue="1" operator="containsText" text="Functioning At Risk">
      <formula>NOT(ISERROR(SEARCH("Functioning At Risk",I67)))</formula>
    </cfRule>
  </conditionalFormatting>
  <dataValidations count="8">
    <dataValidation allowBlank="1" showErrorMessage="1" prompt="Select catchment conditon level from the completed catchment assessment form. " sqref="E3:E4 E36:E37 E69:E70 E102:E103 E135:E136 E168:E169 E201:E202 E234:E235 E267:E268 E300:E301 E333:E334" xr:uid="{00000000-0002-0000-0400-000000000000}"/>
    <dataValidation type="decimal" allowBlank="1" showInputMessage="1" showErrorMessage="1" sqref="E185:E186 E218:E219 E350:E351 E251:E252 E284:E285 E53:E54 E317:E318 E86:E87 E119:E120 E152:E153 E20:E21" xr:uid="{00000000-0002-0000-0400-000001000000}">
      <formula1>0</formula1>
      <formula2>5280</formula2>
    </dataValidation>
    <dataValidation allowBlank="1" showInputMessage="1" showErrorMessage="1" prompt="This measurement method should be used in combination with either Erosion Rate or Dominant BEHI/NBS." sqref="E179:E180 E212:E213 E344:E345 E245:E246 E278:E279 E311:E312 E47:E48 E80:E81 E113:E114 E146:E147 E14:E15" xr:uid="{00000000-0002-0000-0400-000002000000}"/>
    <dataValidation type="list" allowBlank="1" showInputMessage="1" showErrorMessage="1" prompt="Select the dominant BEHI/NBS.  _x000a_If erosion rate was measured select blank. The user should only input a value for either BEHI/NBS or Erosion Rate, not both. " sqref="E178 E211 E343 E244 E277 E310 E46 E79 E112 E145 E13" xr:uid="{00000000-0002-0000-0400-000003000000}">
      <formula1>BEHI.NBS</formula1>
    </dataValidation>
    <dataValidation allowBlank="1" showErrorMessage="1" sqref="E236:E237 E335:E336 E38:E39 E269:E270 E302:E303 E71:E72 E104:E105 E137:E138 E203:E204 E170:E171 E5:E6" xr:uid="{00000000-0002-0000-0400-000004000000}"/>
    <dataValidation allowBlank="1" showErrorMessage="1" prompt="Leave field value blank if not a coldwater stream." sqref="F288:F290 F222:F224 F156:F158 F189:F191 F262 F24:F26 F255:F257 F328 F361 F295 F57:F59 F31 F90:F92 F64:F65 F123:F125 F97 F196 F130 F229 F163 F321:F323 F354:F356" xr:uid="{00000000-0002-0000-0400-000005000000}"/>
    <dataValidation type="decimal" allowBlank="1" showErrorMessage="1" prompt="The user should input a value for either basal area or density, not both. " sqref="E286:E287 E352:E353 E253:E254 E55:E56 E319:E320 E88:E89 E121:E122 E154:E155 E187:E188 E220:E221 E22:E23" xr:uid="{00000000-0002-0000-0400-000007000000}">
      <formula1>0</formula1>
      <formula2>5280</formula2>
    </dataValidation>
    <dataValidation allowBlank="1" showInputMessage="1" showErrorMessage="1" prompt="If baseflow velocity &lt; 1fps then this parameter score = 0." sqref="G5:G6 G38:G39 G71:G72 G104:G105 G137:G138 G170:G171 G203:G204 G236:G237 G269:G270 G302:G303 G335:G336" xr:uid="{424267F3-3138-468C-BAF8-91E65F67DD4E}"/>
  </dataValidations>
  <pageMargins left="0.25" right="0.25" top="0.75" bottom="0.75" header="0.3" footer="0.3"/>
  <pageSetup scale="80" fitToHeight="0" orientation="landscape" r:id="rId1"/>
  <headerFooter>
    <oddFooter>&amp;LCSQT v1.0
Monitoring Data</oddFooter>
  </headerFooter>
  <rowBreaks count="10" manualBreakCount="10">
    <brk id="32" max="16383" man="1"/>
    <brk id="65" max="16383" man="1"/>
    <brk id="98" max="8" man="1"/>
    <brk id="131" max="16383" man="1"/>
    <brk id="164" max="16383" man="1"/>
    <brk id="197" max="16383" man="1"/>
    <brk id="230" max="16383" man="1"/>
    <brk id="263" max="16383" man="1"/>
    <brk id="296" max="16383" man="1"/>
    <brk id="32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S38"/>
  <sheetViews>
    <sheetView topLeftCell="A14" zoomScaleNormal="100" workbookViewId="0">
      <selection activeCell="C38" sqref="C38"/>
    </sheetView>
  </sheetViews>
  <sheetFormatPr defaultRowHeight="14.25" x14ac:dyDescent="0.45"/>
  <cols>
    <col min="1" max="1" width="19.73046875" bestFit="1" customWidth="1"/>
    <col min="2" max="2" width="31.265625" bestFit="1" customWidth="1"/>
    <col min="3" max="3" width="14.73046875" customWidth="1"/>
    <col min="4" max="4" width="14.265625" customWidth="1"/>
    <col min="5" max="5" width="10.265625" customWidth="1"/>
    <col min="6" max="15" width="10.73046875" customWidth="1"/>
  </cols>
  <sheetData>
    <row r="2" spans="1:15" ht="28.9" customHeight="1" x14ac:dyDescent="0.45">
      <c r="A2" s="577" t="s">
        <v>301</v>
      </c>
      <c r="B2" s="578"/>
      <c r="C2" s="578"/>
      <c r="D2" s="578"/>
      <c r="E2" s="578"/>
      <c r="F2" s="578"/>
      <c r="G2" s="578"/>
      <c r="H2" s="578"/>
      <c r="I2" s="578"/>
      <c r="J2" s="578"/>
      <c r="K2" s="578"/>
      <c r="L2" s="578"/>
      <c r="M2" s="578"/>
      <c r="N2" s="578"/>
      <c r="O2" s="579"/>
    </row>
    <row r="3" spans="1:15" ht="18" x14ac:dyDescent="0.45">
      <c r="A3" s="572" t="s">
        <v>1</v>
      </c>
      <c r="B3" s="572" t="s">
        <v>2</v>
      </c>
      <c r="C3" s="580" t="s">
        <v>57</v>
      </c>
      <c r="D3" s="580" t="s">
        <v>58</v>
      </c>
      <c r="E3" s="572" t="s">
        <v>111</v>
      </c>
      <c r="F3" s="574" t="s">
        <v>114</v>
      </c>
      <c r="G3" s="575"/>
      <c r="H3" s="575"/>
      <c r="I3" s="575"/>
      <c r="J3" s="575"/>
      <c r="K3" s="575"/>
      <c r="L3" s="575"/>
      <c r="M3" s="575"/>
      <c r="N3" s="575"/>
      <c r="O3" s="576"/>
    </row>
    <row r="4" spans="1:15" ht="18" x14ac:dyDescent="0.45">
      <c r="A4" s="573"/>
      <c r="B4" s="573"/>
      <c r="C4" s="581"/>
      <c r="D4" s="581"/>
      <c r="E4" s="573"/>
      <c r="F4" s="267" t="str">
        <f>IF('Monitoring Data'!B34="","",VALUE('Monitoring Data'!B34))</f>
        <v/>
      </c>
      <c r="G4" s="267" t="str">
        <f>IF('Monitoring Data'!B67="","",VALUE('Monitoring Data'!B67))</f>
        <v/>
      </c>
      <c r="H4" s="267" t="str">
        <f>IF('Monitoring Data'!B100="","",'Monitoring Data'!B100)</f>
        <v/>
      </c>
      <c r="I4" s="267" t="str">
        <f>IF('Monitoring Data'!B133="","",'Monitoring Data'!B133)</f>
        <v/>
      </c>
      <c r="J4" s="267" t="str">
        <f>IF('Monitoring Data'!B166="","",'Monitoring Data'!B166)</f>
        <v/>
      </c>
      <c r="K4" s="267" t="str">
        <f>IF('Monitoring Data'!B199="","",'Monitoring Data'!B199)</f>
        <v/>
      </c>
      <c r="L4" s="267" t="str">
        <f>IF('Monitoring Data'!B232="","",'Monitoring Data'!B232)</f>
        <v/>
      </c>
      <c r="M4" s="267" t="str">
        <f>IF('Monitoring Data'!B265="","",'Monitoring Data'!B265)</f>
        <v/>
      </c>
      <c r="N4" s="267" t="str">
        <f>IF('Monitoring Data'!B298="","",'Monitoring Data'!B298)</f>
        <v/>
      </c>
      <c r="O4" s="267" t="str">
        <f>IF('Monitoring Data'!B331="","",'Monitoring Data'!B331)</f>
        <v/>
      </c>
    </row>
    <row r="5" spans="1:15" ht="21" customHeight="1" x14ac:dyDescent="0.45">
      <c r="A5" s="446" t="s">
        <v>186</v>
      </c>
      <c r="B5" s="265" t="s">
        <v>107</v>
      </c>
      <c r="C5" s="268" t="str">
        <f>'Quantification Tool'!C27</f>
        <v/>
      </c>
      <c r="D5" s="268" t="str">
        <f>'Quantification Tool'!D27</f>
        <v/>
      </c>
      <c r="E5" s="269" t="str">
        <f>'Monitoring Data'!G3</f>
        <v/>
      </c>
      <c r="F5" s="269" t="str">
        <f>'Monitoring Data'!G36</f>
        <v/>
      </c>
      <c r="G5" s="269" t="str">
        <f>'Monitoring Data'!G69</f>
        <v/>
      </c>
      <c r="H5" s="269" t="str">
        <f>'Monitoring Data'!G102</f>
        <v/>
      </c>
      <c r="I5" s="269" t="str">
        <f>'Monitoring Data'!G135</f>
        <v/>
      </c>
      <c r="J5" s="269" t="str">
        <f>'Monitoring Data'!G168</f>
        <v/>
      </c>
      <c r="K5" s="269" t="str">
        <f>'Monitoring Data'!G201</f>
        <v/>
      </c>
      <c r="L5" s="269" t="str">
        <f>'Monitoring Data'!G234</f>
        <v/>
      </c>
      <c r="M5" s="269" t="str">
        <f>'Monitoring Data'!G267</f>
        <v/>
      </c>
      <c r="N5" s="269" t="str">
        <f>'Monitoring Data'!G300</f>
        <v/>
      </c>
      <c r="O5" s="269" t="str">
        <f>'Monitoring Data'!G333</f>
        <v/>
      </c>
    </row>
    <row r="6" spans="1:15" ht="21" customHeight="1" x14ac:dyDescent="0.45">
      <c r="A6" s="447"/>
      <c r="B6" s="229" t="s">
        <v>250</v>
      </c>
      <c r="C6" s="268" t="str">
        <f>'Quantification Tool'!C28</f>
        <v/>
      </c>
      <c r="D6" s="268" t="str">
        <f>'Quantification Tool'!D28</f>
        <v/>
      </c>
      <c r="E6" s="269" t="str">
        <f>'Monitoring Data'!G5</f>
        <v/>
      </c>
      <c r="F6" s="269" t="str">
        <f>'Monitoring Data'!G38</f>
        <v/>
      </c>
      <c r="G6" s="283" t="str">
        <f>'Monitoring Data'!G71</f>
        <v/>
      </c>
      <c r="H6" s="283" t="str">
        <f>'Monitoring Data'!G104</f>
        <v/>
      </c>
      <c r="I6" s="283" t="str">
        <f>'Monitoring Data'!G137</f>
        <v/>
      </c>
      <c r="J6" s="283" t="str">
        <f>'Monitoring Data'!G170</f>
        <v/>
      </c>
      <c r="K6" s="283" t="str">
        <f>'Monitoring Data'!G203</f>
        <v/>
      </c>
      <c r="L6" s="283" t="str">
        <f>'Monitoring Data'!G236</f>
        <v/>
      </c>
      <c r="M6" s="283" t="str">
        <f>'Monitoring Data'!G269</f>
        <v/>
      </c>
      <c r="N6" s="283" t="str">
        <f>'Monitoring Data'!G302</f>
        <v/>
      </c>
      <c r="O6" s="283" t="str">
        <f>'Monitoring Data'!G335</f>
        <v/>
      </c>
    </row>
    <row r="7" spans="1:15" ht="21" customHeight="1" x14ac:dyDescent="0.45">
      <c r="A7" s="448"/>
      <c r="B7" s="265" t="s">
        <v>5</v>
      </c>
      <c r="C7" s="268" t="str">
        <f>'Quantification Tool'!C29</f>
        <v/>
      </c>
      <c r="D7" s="268" t="str">
        <f>'Quantification Tool'!D29</f>
        <v/>
      </c>
      <c r="E7" s="269" t="str">
        <f>'Monitoring Data'!G7</f>
        <v/>
      </c>
      <c r="F7" s="269" t="str">
        <f>'Monitoring Data'!G40</f>
        <v/>
      </c>
      <c r="G7" s="269" t="str">
        <f>'Monitoring Data'!G73</f>
        <v/>
      </c>
      <c r="H7" s="269" t="str">
        <f>'Monitoring Data'!G106</f>
        <v/>
      </c>
      <c r="I7" s="269" t="str">
        <f>'Monitoring Data'!G139</f>
        <v/>
      </c>
      <c r="J7" s="269" t="str">
        <f>'Monitoring Data'!G172</f>
        <v/>
      </c>
      <c r="K7" s="269" t="str">
        <f>'Monitoring Data'!G205</f>
        <v/>
      </c>
      <c r="L7" s="269" t="str">
        <f>'Monitoring Data'!G238</f>
        <v/>
      </c>
      <c r="M7" s="269" t="str">
        <f>'Monitoring Data'!G271</f>
        <v/>
      </c>
      <c r="N7" s="269" t="str">
        <f>'Monitoring Data'!G304</f>
        <v/>
      </c>
      <c r="O7" s="269" t="str">
        <f>'Monitoring Data'!G337</f>
        <v/>
      </c>
    </row>
    <row r="8" spans="1:15" ht="21" customHeight="1" x14ac:dyDescent="0.45">
      <c r="A8" s="547" t="s">
        <v>19</v>
      </c>
      <c r="B8" s="270" t="s">
        <v>20</v>
      </c>
      <c r="C8" s="268" t="str">
        <f>'Quantification Tool'!C30</f>
        <v/>
      </c>
      <c r="D8" s="268" t="str">
        <f>'Quantification Tool'!D30</f>
        <v/>
      </c>
      <c r="E8" s="269" t="str">
        <f>'Monitoring Data'!G10</f>
        <v/>
      </c>
      <c r="F8" s="269" t="str">
        <f>'Monitoring Data'!G43</f>
        <v/>
      </c>
      <c r="G8" s="269" t="str">
        <f>'Monitoring Data'!G76</f>
        <v/>
      </c>
      <c r="H8" s="269" t="str">
        <f>'Monitoring Data'!G109</f>
        <v/>
      </c>
      <c r="I8" s="269" t="str">
        <f>'Monitoring Data'!G142</f>
        <v/>
      </c>
      <c r="J8" s="269" t="str">
        <f>'Monitoring Data'!G175</f>
        <v/>
      </c>
      <c r="K8" s="269" t="str">
        <f>'Monitoring Data'!G208</f>
        <v/>
      </c>
      <c r="L8" s="269" t="str">
        <f>'Monitoring Data'!G241</f>
        <v/>
      </c>
      <c r="M8" s="269" t="str">
        <f>'Monitoring Data'!G274</f>
        <v/>
      </c>
      <c r="N8" s="269" t="str">
        <f>'Monitoring Data'!G307</f>
        <v/>
      </c>
      <c r="O8" s="269" t="str">
        <f>'Monitoring Data'!G340</f>
        <v/>
      </c>
    </row>
    <row r="9" spans="1:15" ht="21" customHeight="1" x14ac:dyDescent="0.45">
      <c r="A9" s="562"/>
      <c r="B9" s="271" t="s">
        <v>231</v>
      </c>
      <c r="C9" s="268" t="str">
        <f>'Quantification Tool'!C31</f>
        <v/>
      </c>
      <c r="D9" s="268" t="str">
        <f>'Quantification Tool'!D31</f>
        <v/>
      </c>
      <c r="E9" s="269" t="str">
        <f>'Monitoring Data'!G12</f>
        <v/>
      </c>
      <c r="F9" s="269" t="str">
        <f>'Monitoring Data'!G45</f>
        <v/>
      </c>
      <c r="G9" s="269" t="str">
        <f>'Monitoring Data'!G78</f>
        <v/>
      </c>
      <c r="H9" s="269" t="str">
        <f>'Monitoring Data'!G111</f>
        <v/>
      </c>
      <c r="I9" s="269" t="str">
        <f>'Monitoring Data'!G144</f>
        <v/>
      </c>
      <c r="J9" s="269" t="str">
        <f>'Monitoring Data'!G177</f>
        <v/>
      </c>
      <c r="K9" s="269" t="str">
        <f>'Monitoring Data'!G210</f>
        <v/>
      </c>
      <c r="L9" s="269" t="str">
        <f>'Monitoring Data'!G243</f>
        <v/>
      </c>
      <c r="M9" s="269" t="str">
        <f>'Monitoring Data'!G276</f>
        <v/>
      </c>
      <c r="N9" s="269" t="str">
        <f>'Monitoring Data'!G309</f>
        <v/>
      </c>
      <c r="O9" s="269" t="str">
        <f>'Monitoring Data'!G342</f>
        <v/>
      </c>
    </row>
    <row r="10" spans="1:15" ht="21" customHeight="1" x14ac:dyDescent="0.45">
      <c r="A10" s="562"/>
      <c r="B10" s="270" t="s">
        <v>44</v>
      </c>
      <c r="C10" s="268" t="str">
        <f>'Quantification Tool'!C32</f>
        <v/>
      </c>
      <c r="D10" s="268" t="str">
        <f>'Quantification Tool'!D32</f>
        <v/>
      </c>
      <c r="E10" s="269" t="str">
        <f>'Monitoring Data'!G16</f>
        <v/>
      </c>
      <c r="F10" s="269" t="str">
        <f>'Monitoring Data'!G49</f>
        <v/>
      </c>
      <c r="G10" s="269" t="str">
        <f>'Monitoring Data'!G82</f>
        <v/>
      </c>
      <c r="H10" s="269" t="str">
        <f>'Monitoring Data'!G115</f>
        <v/>
      </c>
      <c r="I10" s="269" t="str">
        <f>'Monitoring Data'!G148</f>
        <v/>
      </c>
      <c r="J10" s="269" t="str">
        <f>'Monitoring Data'!G181</f>
        <v/>
      </c>
      <c r="K10" s="269" t="str">
        <f>'Monitoring Data'!G214</f>
        <v/>
      </c>
      <c r="L10" s="269" t="str">
        <f>'Monitoring Data'!G247</f>
        <v/>
      </c>
      <c r="M10" s="269" t="str">
        <f>'Monitoring Data'!G280</f>
        <v/>
      </c>
      <c r="N10" s="269" t="str">
        <f>'Monitoring Data'!G313</f>
        <v/>
      </c>
      <c r="O10" s="269" t="str">
        <f>'Monitoring Data'!G346</f>
        <v/>
      </c>
    </row>
    <row r="11" spans="1:15" ht="21" customHeight="1" x14ac:dyDescent="0.45">
      <c r="A11" s="563"/>
      <c r="B11" s="270" t="s">
        <v>43</v>
      </c>
      <c r="C11" s="268" t="str">
        <f>'Quantification Tool'!C33</f>
        <v/>
      </c>
      <c r="D11" s="268" t="str">
        <f>'Quantification Tool'!D33</f>
        <v/>
      </c>
      <c r="E11" s="269" t="str">
        <f>'Monitoring Data'!G20</f>
        <v/>
      </c>
      <c r="F11" s="269" t="str">
        <f>'Monitoring Data'!G53</f>
        <v/>
      </c>
      <c r="G11" s="269" t="str">
        <f>'Monitoring Data'!G86</f>
        <v/>
      </c>
      <c r="H11" s="269" t="str">
        <f>'Monitoring Data'!G119</f>
        <v/>
      </c>
      <c r="I11" s="269" t="str">
        <f>'Monitoring Data'!G152</f>
        <v/>
      </c>
      <c r="J11" s="269" t="str">
        <f>'Monitoring Data'!G185</f>
        <v/>
      </c>
      <c r="K11" s="269" t="str">
        <f>'Monitoring Data'!G218</f>
        <v/>
      </c>
      <c r="L11" s="269" t="str">
        <f>'Monitoring Data'!G251</f>
        <v/>
      </c>
      <c r="M11" s="269" t="str">
        <f>'Monitoring Data'!G284</f>
        <v/>
      </c>
      <c r="N11" s="269" t="str">
        <f>'Monitoring Data'!G317</f>
        <v/>
      </c>
      <c r="O11" s="269" t="str">
        <f>'Monitoring Data'!G350</f>
        <v/>
      </c>
    </row>
    <row r="12" spans="1:15" ht="21" customHeight="1" x14ac:dyDescent="0.45">
      <c r="A12" s="586" t="s">
        <v>50</v>
      </c>
      <c r="B12" s="272" t="s">
        <v>71</v>
      </c>
      <c r="C12" s="268" t="str">
        <f>'Quantification Tool'!C34</f>
        <v/>
      </c>
      <c r="D12" s="268" t="str">
        <f>'Quantification Tool'!D34</f>
        <v/>
      </c>
      <c r="E12" s="269" t="str">
        <f>'Monitoring Data'!G24</f>
        <v/>
      </c>
      <c r="F12" s="269" t="str">
        <f>'Monitoring Data'!G57</f>
        <v/>
      </c>
      <c r="G12" s="269" t="str">
        <f>'Monitoring Data'!G90</f>
        <v/>
      </c>
      <c r="H12" s="269" t="str">
        <f>'Monitoring Data'!G123</f>
        <v/>
      </c>
      <c r="I12" s="269" t="str">
        <f>'Monitoring Data'!G156</f>
        <v/>
      </c>
      <c r="J12" s="269" t="str">
        <f>'Monitoring Data'!G189</f>
        <v/>
      </c>
      <c r="K12" s="269" t="str">
        <f>'Monitoring Data'!G222</f>
        <v/>
      </c>
      <c r="L12" s="269" t="str">
        <f>'Monitoring Data'!G255</f>
        <v/>
      </c>
      <c r="M12" s="269" t="str">
        <f>'Monitoring Data'!G288</f>
        <v/>
      </c>
      <c r="N12" s="269" t="str">
        <f>'Monitoring Data'!G321</f>
        <v/>
      </c>
      <c r="O12" s="269" t="str">
        <f>'Monitoring Data'!G354</f>
        <v/>
      </c>
    </row>
    <row r="13" spans="1:15" ht="21" customHeight="1" x14ac:dyDescent="0.45">
      <c r="A13" s="587"/>
      <c r="B13" s="273" t="s">
        <v>242</v>
      </c>
      <c r="C13" s="268" t="str">
        <f>'Quantification Tool'!C35</f>
        <v/>
      </c>
      <c r="D13" s="268" t="str">
        <f>'Quantification Tool'!D35</f>
        <v/>
      </c>
      <c r="E13" s="283" t="str">
        <f>'Monitoring Data'!G26</f>
        <v/>
      </c>
      <c r="F13" s="283" t="str">
        <f>'Monitoring Data'!G59</f>
        <v/>
      </c>
      <c r="G13" s="283" t="str">
        <f>'Monitoring Data'!G59</f>
        <v/>
      </c>
      <c r="H13" s="283" t="str">
        <f>'Monitoring Data'!G125</f>
        <v/>
      </c>
      <c r="I13" s="283" t="str">
        <f>'Monitoring Data'!G158</f>
        <v/>
      </c>
      <c r="J13" s="283" t="str">
        <f>'Monitoring Data'!G191</f>
        <v/>
      </c>
      <c r="K13" s="283" t="str">
        <f>'Monitoring Data'!G224</f>
        <v/>
      </c>
      <c r="L13" s="283" t="str">
        <f>'Monitoring Data'!G257</f>
        <v/>
      </c>
      <c r="M13" s="283" t="str">
        <f>'Monitoring Data'!G290</f>
        <v/>
      </c>
      <c r="N13" s="283" t="str">
        <f>'Monitoring Data'!G323</f>
        <v/>
      </c>
      <c r="O13" s="283" t="str">
        <f>'Monitoring Data'!G356</f>
        <v/>
      </c>
    </row>
    <row r="14" spans="1:15" ht="21" customHeight="1" x14ac:dyDescent="0.45">
      <c r="A14" s="588"/>
      <c r="B14" s="272" t="s">
        <v>158</v>
      </c>
      <c r="C14" s="268" t="str">
        <f>'Quantification Tool'!C36</f>
        <v/>
      </c>
      <c r="D14" s="268" t="str">
        <f>'Quantification Tool'!D36</f>
        <v/>
      </c>
      <c r="E14" s="269" t="str">
        <f>'Monitoring Data'!G27</f>
        <v/>
      </c>
      <c r="F14" s="269" t="str">
        <f>'Monitoring Data'!G60</f>
        <v/>
      </c>
      <c r="G14" s="269" t="str">
        <f>'Monitoring Data'!G93</f>
        <v/>
      </c>
      <c r="H14" s="269" t="str">
        <f>'Monitoring Data'!G126</f>
        <v/>
      </c>
      <c r="I14" s="269" t="str">
        <f>'Monitoring Data'!G159</f>
        <v/>
      </c>
      <c r="J14" s="269" t="str">
        <f>'Monitoring Data'!G192</f>
        <v/>
      </c>
      <c r="K14" s="269" t="str">
        <f>'Monitoring Data'!G225</f>
        <v/>
      </c>
      <c r="L14" s="269" t="str">
        <f>'Monitoring Data'!G258</f>
        <v/>
      </c>
      <c r="M14" s="269" t="str">
        <f>'Monitoring Data'!G291</f>
        <v/>
      </c>
      <c r="N14" s="269" t="str">
        <f>'Monitoring Data'!G324</f>
        <v/>
      </c>
      <c r="O14" s="269" t="str">
        <f>'Monitoring Data'!G357</f>
        <v/>
      </c>
    </row>
    <row r="15" spans="1:15" ht="21" customHeight="1" x14ac:dyDescent="0.45">
      <c r="A15" s="530" t="s">
        <v>51</v>
      </c>
      <c r="B15" s="274" t="s">
        <v>132</v>
      </c>
      <c r="C15" s="268" t="str">
        <f>'Quantification Tool'!C37</f>
        <v/>
      </c>
      <c r="D15" s="268" t="str">
        <f>'Quantification Tool'!D37</f>
        <v/>
      </c>
      <c r="E15" s="269" t="str">
        <f>'Monitoring Data'!G28</f>
        <v/>
      </c>
      <c r="F15" s="269" t="str">
        <f>'Monitoring Data'!G61</f>
        <v/>
      </c>
      <c r="G15" s="269" t="str">
        <f>'Monitoring Data'!G94</f>
        <v/>
      </c>
      <c r="H15" s="269" t="str">
        <f>'Monitoring Data'!G127</f>
        <v/>
      </c>
      <c r="I15" s="269" t="str">
        <f>'Monitoring Data'!G160</f>
        <v/>
      </c>
      <c r="J15" s="269" t="str">
        <f>'Monitoring Data'!G193</f>
        <v/>
      </c>
      <c r="K15" s="269" t="str">
        <f>'Monitoring Data'!G226</f>
        <v/>
      </c>
      <c r="L15" s="269" t="str">
        <f>'Monitoring Data'!G259</f>
        <v/>
      </c>
      <c r="M15" s="269" t="str">
        <f>'Monitoring Data'!G292</f>
        <v/>
      </c>
      <c r="N15" s="269" t="str">
        <f>'Monitoring Data'!G325</f>
        <v/>
      </c>
      <c r="O15" s="269" t="str">
        <f>'Monitoring Data'!G358</f>
        <v/>
      </c>
    </row>
    <row r="16" spans="1:15" ht="21" customHeight="1" x14ac:dyDescent="0.45">
      <c r="A16" s="531"/>
      <c r="B16" s="275" t="s">
        <v>66</v>
      </c>
      <c r="C16" s="268" t="str">
        <f>'Quantification Tool'!C38</f>
        <v/>
      </c>
      <c r="D16" s="268" t="str">
        <f>'Quantification Tool'!D38</f>
        <v/>
      </c>
      <c r="E16" s="283" t="str">
        <f>'Monitoring Data'!G29</f>
        <v/>
      </c>
      <c r="F16" s="269" t="str">
        <f>'Monitoring Data'!G62</f>
        <v/>
      </c>
      <c r="G16" s="269" t="str">
        <f>'Monitoring Data'!G95</f>
        <v/>
      </c>
      <c r="H16" s="269" t="str">
        <f>'Monitoring Data'!G128</f>
        <v/>
      </c>
      <c r="I16" s="269" t="str">
        <f>'Monitoring Data'!G161</f>
        <v/>
      </c>
      <c r="J16" s="269" t="str">
        <f>'Monitoring Data'!G194</f>
        <v/>
      </c>
      <c r="K16" s="269" t="str">
        <f>'Monitoring Data'!G227</f>
        <v/>
      </c>
      <c r="L16" s="269" t="str">
        <f>'Monitoring Data'!G260</f>
        <v/>
      </c>
      <c r="M16" s="269" t="str">
        <f>'Monitoring Data'!G293</f>
        <v/>
      </c>
      <c r="N16" s="269" t="str">
        <f>'Monitoring Data'!G326</f>
        <v/>
      </c>
      <c r="O16" s="269" t="str">
        <f>'Monitoring Data'!G359</f>
        <v/>
      </c>
    </row>
    <row r="19" spans="1:19" ht="32.450000000000003" customHeight="1" x14ac:dyDescent="0.45">
      <c r="A19" s="577" t="s">
        <v>302</v>
      </c>
      <c r="B19" s="578"/>
      <c r="C19" s="578"/>
      <c r="D19" s="578"/>
      <c r="E19" s="578"/>
      <c r="F19" s="578"/>
      <c r="G19" s="578"/>
      <c r="H19" s="578"/>
      <c r="I19" s="578"/>
      <c r="J19" s="578"/>
      <c r="K19" s="578"/>
      <c r="L19" s="578"/>
      <c r="M19" s="578"/>
      <c r="N19" s="578"/>
      <c r="O19" s="579"/>
    </row>
    <row r="20" spans="1:19" ht="21" customHeight="1" x14ac:dyDescent="0.45">
      <c r="A20" s="582" t="s">
        <v>90</v>
      </c>
      <c r="B20" s="583"/>
      <c r="C20" s="570" t="s">
        <v>91</v>
      </c>
      <c r="D20" s="570" t="s">
        <v>92</v>
      </c>
      <c r="E20" s="572" t="s">
        <v>111</v>
      </c>
      <c r="F20" s="574" t="s">
        <v>114</v>
      </c>
      <c r="G20" s="575"/>
      <c r="H20" s="575"/>
      <c r="I20" s="575"/>
      <c r="J20" s="575"/>
      <c r="K20" s="575"/>
      <c r="L20" s="575"/>
      <c r="M20" s="575"/>
      <c r="N20" s="575"/>
      <c r="O20" s="576"/>
      <c r="P20" s="32"/>
      <c r="Q20" s="32"/>
    </row>
    <row r="21" spans="1:19" ht="21" customHeight="1" x14ac:dyDescent="0.45">
      <c r="A21" s="584"/>
      <c r="B21" s="585"/>
      <c r="C21" s="571"/>
      <c r="D21" s="571"/>
      <c r="E21" s="573"/>
      <c r="F21" s="38" t="str">
        <f t="shared" ref="F21:O21" si="0">F4</f>
        <v/>
      </c>
      <c r="G21" s="38" t="str">
        <f t="shared" si="0"/>
        <v/>
      </c>
      <c r="H21" s="38" t="str">
        <f t="shared" si="0"/>
        <v/>
      </c>
      <c r="I21" s="38" t="str">
        <f t="shared" si="0"/>
        <v/>
      </c>
      <c r="J21" s="38" t="str">
        <f t="shared" si="0"/>
        <v/>
      </c>
      <c r="K21" s="38" t="str">
        <f t="shared" si="0"/>
        <v/>
      </c>
      <c r="L21" s="38" t="str">
        <f t="shared" si="0"/>
        <v/>
      </c>
      <c r="M21" s="38" t="str">
        <f t="shared" si="0"/>
        <v/>
      </c>
      <c r="N21" s="38" t="str">
        <f t="shared" si="0"/>
        <v/>
      </c>
      <c r="O21" s="38" t="str">
        <f t="shared" si="0"/>
        <v/>
      </c>
      <c r="P21" s="32"/>
      <c r="Q21" s="32"/>
    </row>
    <row r="22" spans="1:19" ht="21" customHeight="1" x14ac:dyDescent="0.5">
      <c r="A22" s="567" t="s">
        <v>186</v>
      </c>
      <c r="B22" s="567"/>
      <c r="C22" s="36" t="str">
        <f>'Quantification Tool'!G27</f>
        <v/>
      </c>
      <c r="D22" s="36" t="str">
        <f>'Quantification Tool'!H27</f>
        <v/>
      </c>
      <c r="E22" s="34" t="str">
        <f>'Monitoring Data'!H3</f>
        <v/>
      </c>
      <c r="F22" s="34" t="str">
        <f>'Monitoring Data'!H36</f>
        <v/>
      </c>
      <c r="G22" s="34" t="str">
        <f>'Monitoring Data'!H69</f>
        <v/>
      </c>
      <c r="H22" s="34" t="str">
        <f>'Monitoring Data'!H102</f>
        <v/>
      </c>
      <c r="I22" s="34" t="str">
        <f>'Monitoring Data'!H135</f>
        <v/>
      </c>
      <c r="J22" s="34" t="str">
        <f>'Monitoring Data'!H168</f>
        <v/>
      </c>
      <c r="K22" s="34" t="str">
        <f>'Monitoring Data'!H201</f>
        <v/>
      </c>
      <c r="L22" s="34" t="str">
        <f>'Monitoring Data'!H234</f>
        <v/>
      </c>
      <c r="M22" s="34" t="str">
        <f>'Monitoring Data'!H267</f>
        <v/>
      </c>
      <c r="N22" s="34" t="str">
        <f>'Monitoring Data'!H300</f>
        <v/>
      </c>
      <c r="O22" s="34" t="str">
        <f>'Monitoring Data'!H333</f>
        <v/>
      </c>
      <c r="P22" s="30"/>
      <c r="Q22" s="31"/>
      <c r="R22" s="29"/>
      <c r="S22" s="29"/>
    </row>
    <row r="23" spans="1:19" ht="21" customHeight="1" x14ac:dyDescent="0.5">
      <c r="A23" s="568" t="s">
        <v>19</v>
      </c>
      <c r="B23" s="568"/>
      <c r="C23" s="36" t="str">
        <f>'Quantification Tool'!G29</f>
        <v/>
      </c>
      <c r="D23" s="36" t="str">
        <f>'Quantification Tool'!H29</f>
        <v/>
      </c>
      <c r="E23" s="34" t="str">
        <f>'Monitoring Data'!H10</f>
        <v/>
      </c>
      <c r="F23" s="34" t="str">
        <f>'Monitoring Data'!H43</f>
        <v/>
      </c>
      <c r="G23" s="34" t="str">
        <f>'Monitoring Data'!H76</f>
        <v/>
      </c>
      <c r="H23" s="34" t="str">
        <f>'Monitoring Data'!H109</f>
        <v/>
      </c>
      <c r="I23" s="34" t="str">
        <f>'Monitoring Data'!H142</f>
        <v/>
      </c>
      <c r="J23" s="34" t="str">
        <f>'Monitoring Data'!H175</f>
        <v/>
      </c>
      <c r="K23" s="34" t="str">
        <f>'Monitoring Data'!H208</f>
        <v/>
      </c>
      <c r="L23" s="34" t="str">
        <f>'Monitoring Data'!H241</f>
        <v/>
      </c>
      <c r="M23" s="34" t="str">
        <f>'Monitoring Data'!H274</f>
        <v/>
      </c>
      <c r="N23" s="34" t="str">
        <f>'Monitoring Data'!H307</f>
        <v/>
      </c>
      <c r="O23" s="34" t="str">
        <f>'Monitoring Data'!H340</f>
        <v/>
      </c>
      <c r="P23" s="30"/>
      <c r="Q23" s="31"/>
      <c r="R23" s="29"/>
      <c r="S23" s="29"/>
    </row>
    <row r="24" spans="1:19" ht="21" customHeight="1" x14ac:dyDescent="0.5">
      <c r="A24" s="569" t="s">
        <v>50</v>
      </c>
      <c r="B24" s="569"/>
      <c r="C24" s="36" t="str">
        <f>'Quantification Tool'!G31</f>
        <v/>
      </c>
      <c r="D24" s="36" t="str">
        <f>'Quantification Tool'!H31</f>
        <v/>
      </c>
      <c r="E24" s="34" t="str">
        <f>'Monitoring Data'!H24</f>
        <v/>
      </c>
      <c r="F24" s="34" t="str">
        <f>'Monitoring Data'!H57</f>
        <v/>
      </c>
      <c r="G24" s="34" t="str">
        <f>'Monitoring Data'!H90</f>
        <v/>
      </c>
      <c r="H24" s="34" t="str">
        <f>'Monitoring Data'!H123</f>
        <v/>
      </c>
      <c r="I24" s="34" t="str">
        <f>'Monitoring Data'!H156</f>
        <v/>
      </c>
      <c r="J24" s="34" t="str">
        <f>'Monitoring Data'!H189</f>
        <v/>
      </c>
      <c r="K24" s="34" t="str">
        <f>'Monitoring Data'!H222</f>
        <v/>
      </c>
      <c r="L24" s="34" t="str">
        <f>'Monitoring Data'!H255</f>
        <v/>
      </c>
      <c r="M24" s="34" t="str">
        <f>'Monitoring Data'!H288</f>
        <v/>
      </c>
      <c r="N24" s="34" t="str">
        <f>'Monitoring Data'!H321</f>
        <v/>
      </c>
      <c r="O24" s="34" t="str">
        <f>'Monitoring Data'!H354</f>
        <v/>
      </c>
      <c r="P24" s="30"/>
      <c r="Q24" s="31"/>
      <c r="R24" s="29"/>
      <c r="S24" s="29"/>
    </row>
    <row r="25" spans="1:19" ht="21" customHeight="1" x14ac:dyDescent="0.5">
      <c r="A25" s="566" t="s">
        <v>51</v>
      </c>
      <c r="B25" s="566"/>
      <c r="C25" s="36" t="str">
        <f>'Quantification Tool'!G33</f>
        <v/>
      </c>
      <c r="D25" s="36" t="str">
        <f>'Quantification Tool'!H33</f>
        <v/>
      </c>
      <c r="E25" s="34" t="str">
        <f>'Monitoring Data'!H28</f>
        <v/>
      </c>
      <c r="F25" s="34" t="str">
        <f>'Monitoring Data'!H61</f>
        <v/>
      </c>
      <c r="G25" s="34" t="str">
        <f>'Monitoring Data'!H94</f>
        <v/>
      </c>
      <c r="H25" s="34" t="str">
        <f>'Monitoring Data'!H127</f>
        <v/>
      </c>
      <c r="I25" s="34" t="str">
        <f>'Monitoring Data'!H160</f>
        <v/>
      </c>
      <c r="J25" s="34" t="str">
        <f>'Monitoring Data'!H193</f>
        <v/>
      </c>
      <c r="K25" s="34" t="str">
        <f>'Monitoring Data'!H226</f>
        <v/>
      </c>
      <c r="L25" s="34" t="str">
        <f>'Monitoring Data'!H259</f>
        <v/>
      </c>
      <c r="M25" s="34" t="str">
        <f>'Monitoring Data'!H292</f>
        <v/>
      </c>
      <c r="N25" s="34" t="str">
        <f>'Monitoring Data'!H325</f>
        <v/>
      </c>
      <c r="O25" s="34" t="str">
        <f>'Monitoring Data'!H358</f>
        <v/>
      </c>
      <c r="P25" s="30"/>
      <c r="Q25" s="30"/>
      <c r="R25" s="29"/>
      <c r="S25" s="29"/>
    </row>
    <row r="26" spans="1:19" ht="18" x14ac:dyDescent="0.55000000000000004">
      <c r="A26" s="565" t="s">
        <v>112</v>
      </c>
      <c r="B26" s="565"/>
      <c r="C26" s="182">
        <f t="shared" ref="C26:O26" si="1">SUM(IF(C22="",0,C22*0.3),IF(C23="",0,C23*0.3),IF(C24="",0,C24*0.2),IF(C25="",0,C25*0.2))</f>
        <v>0</v>
      </c>
      <c r="D26" s="182">
        <f t="shared" si="1"/>
        <v>0</v>
      </c>
      <c r="E26" s="363">
        <f t="shared" si="1"/>
        <v>0</v>
      </c>
      <c r="F26" s="363">
        <f t="shared" si="1"/>
        <v>0</v>
      </c>
      <c r="G26" s="363">
        <f t="shared" si="1"/>
        <v>0</v>
      </c>
      <c r="H26" s="363">
        <f t="shared" si="1"/>
        <v>0</v>
      </c>
      <c r="I26" s="363">
        <f t="shared" si="1"/>
        <v>0</v>
      </c>
      <c r="J26" s="363">
        <f t="shared" si="1"/>
        <v>0</v>
      </c>
      <c r="K26" s="363">
        <f t="shared" si="1"/>
        <v>0</v>
      </c>
      <c r="L26" s="363">
        <f t="shared" si="1"/>
        <v>0</v>
      </c>
      <c r="M26" s="363">
        <f t="shared" si="1"/>
        <v>0</v>
      </c>
      <c r="N26" s="363">
        <f t="shared" si="1"/>
        <v>0</v>
      </c>
      <c r="O26" s="363">
        <f t="shared" si="1"/>
        <v>0</v>
      </c>
    </row>
    <row r="27" spans="1:19" ht="18" x14ac:dyDescent="0.55000000000000004">
      <c r="A27" s="565" t="s">
        <v>113</v>
      </c>
      <c r="B27" s="565"/>
      <c r="C27" s="183">
        <f>C26*'Quantification Tool'!C7</f>
        <v>0</v>
      </c>
      <c r="D27" s="184">
        <f>D26*'Quantification Tool'!$C$8</f>
        <v>0</v>
      </c>
      <c r="E27" s="364">
        <f>E26*'Quantification Tool'!$C$8</f>
        <v>0</v>
      </c>
      <c r="F27" s="364">
        <f>IFERROR(F26*'Quantification Tool'!$C$8,"")</f>
        <v>0</v>
      </c>
      <c r="G27" s="364">
        <f>IFERROR(G26*'Quantification Tool'!$C$8,"")</f>
        <v>0</v>
      </c>
      <c r="H27" s="364">
        <f>IFERROR(H26*'Quantification Tool'!$C$8,"")</f>
        <v>0</v>
      </c>
      <c r="I27" s="364">
        <f>IFERROR(I26*'Quantification Tool'!$C$8,"")</f>
        <v>0</v>
      </c>
      <c r="J27" s="364">
        <f>IFERROR(J26*'Quantification Tool'!$C$8,"")</f>
        <v>0</v>
      </c>
      <c r="K27" s="364">
        <f>IFERROR(K26*'Quantification Tool'!$C$8,"")</f>
        <v>0</v>
      </c>
      <c r="L27" s="364">
        <f>IFERROR(L26*'Quantification Tool'!$C$8,"")</f>
        <v>0</v>
      </c>
      <c r="M27" s="364">
        <f>IFERROR(M26*'Quantification Tool'!$C$8,"")</f>
        <v>0</v>
      </c>
      <c r="N27" s="364">
        <f>IFERROR(N26*'Quantification Tool'!$C$8,"")</f>
        <v>0</v>
      </c>
      <c r="O27" s="364">
        <f>IFERROR(O26*'Quantification Tool'!$C$8,"")</f>
        <v>0</v>
      </c>
    </row>
    <row r="28" spans="1:19" ht="9.6" customHeight="1" x14ac:dyDescent="0.55000000000000004">
      <c r="A28" s="261"/>
      <c r="B28" s="259"/>
      <c r="C28" s="260"/>
      <c r="D28" s="258"/>
      <c r="E28" s="258"/>
      <c r="F28" s="258"/>
      <c r="G28" s="258"/>
      <c r="H28" s="258"/>
      <c r="I28" s="258"/>
      <c r="J28" s="258"/>
      <c r="K28" s="258"/>
      <c r="L28" s="262"/>
      <c r="M28" s="262"/>
      <c r="N28" s="262"/>
      <c r="O28" s="262"/>
    </row>
    <row r="29" spans="1:19" ht="14.45" hidden="1" customHeight="1" x14ac:dyDescent="0.45">
      <c r="A29" s="592" t="s">
        <v>90</v>
      </c>
      <c r="B29" s="592"/>
      <c r="C29" s="589" t="s">
        <v>91</v>
      </c>
      <c r="D29" s="589" t="s">
        <v>92</v>
      </c>
      <c r="E29" s="590" t="s">
        <v>111</v>
      </c>
      <c r="F29" s="590" t="s">
        <v>114</v>
      </c>
      <c r="G29" s="590"/>
      <c r="H29" s="590"/>
      <c r="I29" s="590"/>
      <c r="J29" s="590"/>
      <c r="K29" s="590"/>
      <c r="L29" s="590"/>
      <c r="M29" s="590"/>
      <c r="N29" s="590"/>
      <c r="O29" s="590"/>
      <c r="P29" s="32"/>
      <c r="Q29" s="32"/>
    </row>
    <row r="30" spans="1:19" ht="14.45" hidden="1" customHeight="1" x14ac:dyDescent="0.45">
      <c r="A30" s="592"/>
      <c r="B30" s="592"/>
      <c r="C30" s="589"/>
      <c r="D30" s="589"/>
      <c r="E30" s="590"/>
      <c r="F30" s="266" t="str">
        <f>IF('Flow Alteration Module'!D28&gt;0,VALUE('Flow Alteration Module'!D28),"")</f>
        <v/>
      </c>
      <c r="G30" s="266" t="str">
        <f>IF('Flow Alteration Module'!G28&gt;0,VALUE('Flow Alteration Module'!G28),"")</f>
        <v/>
      </c>
      <c r="H30" s="266" t="str">
        <f>IF('Flow Alteration Module'!D37&gt;0,VALUE('Flow Alteration Module'!D37),"")</f>
        <v/>
      </c>
      <c r="I30" s="266" t="str">
        <f>IF('Flow Alteration Module'!G37&gt;0,VALUE('Flow Alteration Module'!G37),"")</f>
        <v/>
      </c>
      <c r="J30" s="266" t="str">
        <f>IF('Flow Alteration Module'!D46&gt;0,VALUE('Flow Alteration Module'!D46),"")</f>
        <v/>
      </c>
      <c r="K30" s="266" t="str">
        <f>IF('Flow Alteration Module'!G46&gt;0,VALUE('Flow Alteration Module'!G46),"")</f>
        <v/>
      </c>
      <c r="L30" s="266" t="str">
        <f>IF('Flow Alteration Module'!D55&gt;0,VALUE('Flow Alteration Module'!D55),"")</f>
        <v/>
      </c>
      <c r="M30" s="266" t="str">
        <f>IF('Flow Alteration Module'!G55&gt;0,VALUE('Flow Alteration Module'!G55),"")</f>
        <v/>
      </c>
      <c r="N30" s="266" t="str">
        <f>IF('Flow Alteration Module'!D64&gt;0,VALUE('Flow Alteration Module'!D64),"")</f>
        <v/>
      </c>
      <c r="O30" s="266" t="str">
        <f>IF('Flow Alteration Module'!G64&gt;0,VALUE('Flow Alteration Module'!G64),"")</f>
        <v/>
      </c>
      <c r="P30" s="32"/>
      <c r="Q30" s="32"/>
    </row>
    <row r="31" spans="1:19" ht="14.45" hidden="1" customHeight="1" x14ac:dyDescent="0.45">
      <c r="A31" s="591" t="s">
        <v>299</v>
      </c>
      <c r="B31" s="591"/>
      <c r="C31" s="255" t="str">
        <f>'Flow Alteration Module'!E21</f>
        <v/>
      </c>
      <c r="D31" s="255" t="str">
        <f>'Flow Alteration Module'!H21</f>
        <v/>
      </c>
      <c r="E31" s="254" t="s">
        <v>300</v>
      </c>
      <c r="F31" s="256" t="str">
        <f>'Flow Alteration Module'!E30</f>
        <v/>
      </c>
      <c r="G31" s="256" t="str">
        <f>'Flow Alteration Module'!H30</f>
        <v/>
      </c>
      <c r="H31" s="256" t="str">
        <f>'Flow Alteration Module'!E39</f>
        <v/>
      </c>
      <c r="I31" s="256" t="str">
        <f>'Flow Alteration Module'!H39</f>
        <v/>
      </c>
      <c r="J31" s="256" t="str">
        <f>'Flow Alteration Module'!E48</f>
        <v/>
      </c>
      <c r="K31" s="256" t="str">
        <f>'Flow Alteration Module'!H48</f>
        <v/>
      </c>
      <c r="L31" s="256" t="str">
        <f>'Flow Alteration Module'!E57</f>
        <v/>
      </c>
      <c r="M31" s="256" t="str">
        <f>'Flow Alteration Module'!H57</f>
        <v/>
      </c>
      <c r="N31" s="256" t="str">
        <f>'Flow Alteration Module'!E66</f>
        <v/>
      </c>
      <c r="O31" s="256" t="str">
        <f>'Flow Alteration Module'!H66</f>
        <v/>
      </c>
      <c r="P31" s="32"/>
      <c r="Q31" s="32"/>
    </row>
    <row r="32" spans="1:19" ht="18" hidden="1" x14ac:dyDescent="0.55000000000000004">
      <c r="A32" s="565" t="s">
        <v>113</v>
      </c>
      <c r="B32" s="565"/>
      <c r="C32" s="183" t="str">
        <f>IFERROR(ROUND(C31*'Flow Alteration Module'!$G$12,0),"")</f>
        <v/>
      </c>
      <c r="D32" s="183" t="str">
        <f>IFERROR(ROUND(D31*'Flow Alteration Module'!$G$12,0),"")</f>
        <v/>
      </c>
      <c r="E32" s="183" t="str">
        <f>IFERROR(ROUND(E31*'Flow Alteration Module'!$G$12,0),"")</f>
        <v/>
      </c>
      <c r="F32" s="183" t="str">
        <f>IFERROR(ROUND(F31*'Flow Alteration Module'!$G$12,0),"")</f>
        <v/>
      </c>
      <c r="G32" s="183" t="str">
        <f>IFERROR(ROUND(G31*'Flow Alteration Module'!$G$12,0),"")</f>
        <v/>
      </c>
      <c r="H32" s="183" t="str">
        <f>IFERROR(ROUND(H31*'Flow Alteration Module'!$G$12,0),"")</f>
        <v/>
      </c>
      <c r="I32" s="183" t="str">
        <f>IFERROR(ROUND(I31*'Flow Alteration Module'!$G$12,0),"")</f>
        <v/>
      </c>
      <c r="J32" s="183" t="str">
        <f>IFERROR(ROUND(J31*'Flow Alteration Module'!$G$12,0),"")</f>
        <v/>
      </c>
      <c r="K32" s="183" t="str">
        <f>IFERROR(ROUND(K31*'Flow Alteration Module'!$G$12,0),"")</f>
        <v/>
      </c>
      <c r="L32" s="183" t="str">
        <f>IFERROR(ROUND(L31*'Flow Alteration Module'!$G$12,0),"")</f>
        <v/>
      </c>
      <c r="M32" s="183" t="str">
        <f>IFERROR(ROUND(M31*'Flow Alteration Module'!$G$12,0),"")</f>
        <v/>
      </c>
      <c r="N32" s="183" t="str">
        <f>IFERROR(ROUND(N31*'Flow Alteration Module'!$G$12,0),"")</f>
        <v/>
      </c>
      <c r="O32" s="183" t="str">
        <f>IFERROR(ROUND(O31*'Flow Alteration Module'!$G$12,0),"")</f>
        <v/>
      </c>
    </row>
    <row r="33" spans="1:12" ht="18" x14ac:dyDescent="0.55000000000000004">
      <c r="C33" s="33"/>
    </row>
    <row r="35" spans="1:12" x14ac:dyDescent="0.45">
      <c r="A35" s="37" t="s">
        <v>115</v>
      </c>
    </row>
    <row r="36" spans="1:12" x14ac:dyDescent="0.45">
      <c r="A36" s="257">
        <f>IF(ISNUMBER(O21),O21,  IF(ISNUMBER(N21),N21,IF(ISNUMBER(M21),M21,  IF(ISNUMBER(L21),L21,  IF(ISNUMBER(K21),K21, IF(ISNUMBER(J21),J21, IF(ISNUMBER(I21),I21, IF(ISNUMBER(H21),H21, IF(ISNUMBER(G21),G21, IF(ISNUMBER(F21),F21, 1))))))))))</f>
        <v>1</v>
      </c>
      <c r="C36">
        <f>IF(F21="",0,F21)</f>
        <v>0</v>
      </c>
      <c r="D36" t="str">
        <f>IF(G21="","",G21)</f>
        <v/>
      </c>
      <c r="E36" t="str">
        <f t="shared" ref="E36:L36" si="2">IF(H21="",D36,H21)</f>
        <v/>
      </c>
      <c r="F36" t="str">
        <f t="shared" si="2"/>
        <v/>
      </c>
      <c r="G36" t="str">
        <f t="shared" si="2"/>
        <v/>
      </c>
      <c r="H36" t="str">
        <f t="shared" si="2"/>
        <v/>
      </c>
      <c r="I36" t="str">
        <f t="shared" si="2"/>
        <v/>
      </c>
      <c r="J36" t="str">
        <f t="shared" si="2"/>
        <v/>
      </c>
      <c r="K36" t="str">
        <f t="shared" si="2"/>
        <v/>
      </c>
      <c r="L36" t="str">
        <f t="shared" si="2"/>
        <v/>
      </c>
    </row>
    <row r="37" spans="1:12" x14ac:dyDescent="0.45">
      <c r="C37" t="str">
        <f>IF(OR(ISNUMBER(F22), ISNUMBER(F23),ISNUMBER(F24),ISNUMBER(F25)),F26,"")</f>
        <v/>
      </c>
      <c r="D37" t="str">
        <f t="shared" ref="D37:L37" si="3">IF(OR(ISNUMBER(G22), ISNUMBER(G23),ISNUMBER(G24),ISNUMBER(G25)),G26,C37)</f>
        <v/>
      </c>
      <c r="E37" t="str">
        <f t="shared" si="3"/>
        <v/>
      </c>
      <c r="F37" t="str">
        <f t="shared" si="3"/>
        <v/>
      </c>
      <c r="G37" t="str">
        <f t="shared" si="3"/>
        <v/>
      </c>
      <c r="H37" t="str">
        <f t="shared" si="3"/>
        <v/>
      </c>
      <c r="I37" t="str">
        <f t="shared" si="3"/>
        <v/>
      </c>
      <c r="J37" t="str">
        <f t="shared" si="3"/>
        <v/>
      </c>
      <c r="K37" t="str">
        <f t="shared" si="3"/>
        <v/>
      </c>
      <c r="L37" t="str">
        <f t="shared" si="3"/>
        <v/>
      </c>
    </row>
    <row r="38" spans="1:12" x14ac:dyDescent="0.45">
      <c r="C38">
        <f>IF(OR(ISNUMBER(F23), ISNUMBER(F24),ISNUMBER(F25),ISNUMBER(F26)),F27,"")</f>
        <v>0</v>
      </c>
      <c r="D38">
        <f>IF(OR(ISNUMBER(G23), ISNUMBER(G24),ISNUMBER(G25),ISNUMBER(G26)),G27,C38)</f>
        <v>0</v>
      </c>
      <c r="E38">
        <f t="shared" ref="E38:L38" si="4">IF(OR(ISNUMBER(H22), ISNUMBER(H23),ISNUMBER(H24),ISNUMBER(H25)),H27,D38)</f>
        <v>0</v>
      </c>
      <c r="F38">
        <f t="shared" si="4"/>
        <v>0</v>
      </c>
      <c r="G38">
        <f t="shared" si="4"/>
        <v>0</v>
      </c>
      <c r="H38">
        <f t="shared" si="4"/>
        <v>0</v>
      </c>
      <c r="I38">
        <f t="shared" si="4"/>
        <v>0</v>
      </c>
      <c r="J38">
        <f t="shared" si="4"/>
        <v>0</v>
      </c>
      <c r="K38">
        <f t="shared" si="4"/>
        <v>0</v>
      </c>
      <c r="L38">
        <f t="shared" si="4"/>
        <v>0</v>
      </c>
    </row>
  </sheetData>
  <sheetProtection algorithmName="SHA-512" hashValue="qkilzsWedJv5M6PhlhvQ3cb5MlJ2trdgwoKRLTw4E3HbGbBLfCD9P/NuIng0H1MzObYg84Y1YJNReXS3TvW3UA==" saltValue="/zYO0iDFtohaPZRbIFE/zw==" spinCount="100000" sheet="1" formatRows="0" insertColumns="0"/>
  <mergeCells count="30">
    <mergeCell ref="C29:C30"/>
    <mergeCell ref="D29:D30"/>
    <mergeCell ref="E29:E30"/>
    <mergeCell ref="F29:O29"/>
    <mergeCell ref="A32:B32"/>
    <mergeCell ref="A31:B31"/>
    <mergeCell ref="A29:B30"/>
    <mergeCell ref="C20:C21"/>
    <mergeCell ref="D20:D21"/>
    <mergeCell ref="E20:E21"/>
    <mergeCell ref="F20:O20"/>
    <mergeCell ref="A2:O2"/>
    <mergeCell ref="A19:O19"/>
    <mergeCell ref="A3:A4"/>
    <mergeCell ref="B3:B4"/>
    <mergeCell ref="C3:C4"/>
    <mergeCell ref="D3:D4"/>
    <mergeCell ref="E3:E4"/>
    <mergeCell ref="F3:O3"/>
    <mergeCell ref="A20:B21"/>
    <mergeCell ref="A8:A11"/>
    <mergeCell ref="A12:A14"/>
    <mergeCell ref="A5:A7"/>
    <mergeCell ref="A15:A16"/>
    <mergeCell ref="A27:B27"/>
    <mergeCell ref="A25:B25"/>
    <mergeCell ref="A26:B26"/>
    <mergeCell ref="A22:B22"/>
    <mergeCell ref="A23:B23"/>
    <mergeCell ref="A24:B24"/>
  </mergeCells>
  <conditionalFormatting sqref="F4:O4 F21:O21 F31:O31">
    <cfRule type="containsErrors" dxfId="44" priority="4">
      <formula>ISERROR(F4)</formula>
    </cfRule>
  </conditionalFormatting>
  <conditionalFormatting sqref="F30:O30">
    <cfRule type="containsErrors" dxfId="43" priority="1">
      <formula>ISERROR(F30)</formula>
    </cfRule>
  </conditionalFormatting>
  <pageMargins left="0.7" right="0.7" top="0.75" bottom="0.75" header="0.3" footer="0.3"/>
  <pageSetup scale="62" fitToHeight="0" orientation="landscape" r:id="rId1"/>
  <headerFooter>
    <oddFooter>&amp;LCSQT v1.0
Data Summary</oddFooter>
  </headerFooter>
  <rowBreaks count="2" manualBreakCount="2">
    <brk id="33" max="16383" man="1"/>
    <brk id="7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9EFCF-0602-4B07-8D36-8E5DD279DEDB}">
  <sheetPr>
    <pageSetUpPr fitToPage="1"/>
  </sheetPr>
  <dimension ref="A1:J71"/>
  <sheetViews>
    <sheetView zoomScaleNormal="100" workbookViewId="0">
      <selection activeCell="F70" sqref="F70:F71"/>
    </sheetView>
  </sheetViews>
  <sheetFormatPr defaultColWidth="8.86328125" defaultRowHeight="14.25" x14ac:dyDescent="0.45"/>
  <cols>
    <col min="1" max="1" width="29.86328125" style="52" customWidth="1"/>
    <col min="2" max="2" width="25.59765625" style="52" customWidth="1"/>
    <col min="3" max="8" width="15.73046875" style="52" customWidth="1"/>
    <col min="9" max="10" width="16.1328125" style="52" customWidth="1"/>
    <col min="11" max="11" width="18.59765625" style="52" customWidth="1"/>
    <col min="12" max="12" width="13.73046875" style="52" customWidth="1"/>
    <col min="13" max="16384" width="8.86328125" style="52"/>
  </cols>
  <sheetData>
    <row r="1" spans="1:10" x14ac:dyDescent="0.45">
      <c r="A1" s="44" t="s">
        <v>349</v>
      </c>
      <c r="B1" s="51"/>
      <c r="C1" s="51"/>
      <c r="D1" s="51"/>
      <c r="E1" s="51"/>
      <c r="F1" s="51"/>
      <c r="G1" s="51"/>
    </row>
    <row r="2" spans="1:10" x14ac:dyDescent="0.45">
      <c r="A2" s="53"/>
    </row>
    <row r="3" spans="1:10" ht="21" x14ac:dyDescent="0.65">
      <c r="A3" s="598" t="s">
        <v>161</v>
      </c>
      <c r="B3" s="599"/>
      <c r="D3" s="487" t="s">
        <v>54</v>
      </c>
      <c r="E3" s="488"/>
      <c r="F3" s="488"/>
      <c r="G3" s="488"/>
      <c r="H3" s="489"/>
    </row>
    <row r="4" spans="1:10" ht="15.75" x14ac:dyDescent="0.5">
      <c r="A4" s="600"/>
      <c r="B4" s="601"/>
      <c r="D4" s="521" t="s">
        <v>55</v>
      </c>
      <c r="E4" s="522"/>
      <c r="F4" s="522"/>
      <c r="G4" s="522"/>
      <c r="H4" s="523"/>
    </row>
    <row r="5" spans="1:10" ht="19.149999999999999" customHeight="1" x14ac:dyDescent="0.5">
      <c r="A5" s="205" t="s">
        <v>93</v>
      </c>
      <c r="B5" s="22"/>
      <c r="D5" s="509" t="s">
        <v>348</v>
      </c>
      <c r="E5" s="510"/>
      <c r="F5" s="510"/>
      <c r="G5" s="510"/>
      <c r="H5" s="511"/>
    </row>
    <row r="6" spans="1:10" ht="19.149999999999999" customHeight="1" x14ac:dyDescent="0.5">
      <c r="A6" s="205" t="s">
        <v>88</v>
      </c>
      <c r="B6" s="22"/>
    </row>
    <row r="7" spans="1:10" ht="19.149999999999999" customHeight="1" x14ac:dyDescent="0.5">
      <c r="A7" s="49" t="s">
        <v>255</v>
      </c>
      <c r="B7" s="54"/>
    </row>
    <row r="8" spans="1:10" ht="23.25" customHeight="1" x14ac:dyDescent="0.65">
      <c r="A8" s="596" t="s">
        <v>425</v>
      </c>
      <c r="B8" s="596"/>
      <c r="D8" s="602" t="s">
        <v>162</v>
      </c>
      <c r="E8" s="602"/>
      <c r="F8" s="602"/>
      <c r="G8" s="602"/>
      <c r="H8" s="56"/>
    </row>
    <row r="9" spans="1:10" ht="19.149999999999999" customHeight="1" x14ac:dyDescent="0.65">
      <c r="A9" s="597"/>
      <c r="B9" s="597"/>
      <c r="D9" s="593" t="s">
        <v>314</v>
      </c>
      <c r="E9" s="593"/>
      <c r="F9" s="593"/>
      <c r="G9" s="166" t="str">
        <f>E21</f>
        <v/>
      </c>
      <c r="H9" s="56"/>
    </row>
    <row r="10" spans="1:10" ht="19.149999999999999" customHeight="1" x14ac:dyDescent="0.65">
      <c r="A10" s="597"/>
      <c r="B10" s="597"/>
      <c r="C10"/>
      <c r="D10" s="593" t="s">
        <v>315</v>
      </c>
      <c r="E10" s="595"/>
      <c r="F10" s="595"/>
      <c r="G10" s="166" t="str">
        <f>H21</f>
        <v/>
      </c>
      <c r="H10" s="56"/>
    </row>
    <row r="11" spans="1:10" ht="19.149999999999999" customHeight="1" x14ac:dyDescent="0.65">
      <c r="D11" s="593" t="s">
        <v>317</v>
      </c>
      <c r="E11" s="595"/>
      <c r="F11" s="595"/>
      <c r="G11" s="57" t="str">
        <f>IFERROR(0.2*(G10-G9),"")</f>
        <v/>
      </c>
      <c r="H11" s="56"/>
    </row>
    <row r="12" spans="1:10" ht="19.149999999999999" customHeight="1" x14ac:dyDescent="0.65">
      <c r="D12" s="593" t="s">
        <v>266</v>
      </c>
      <c r="E12" s="593"/>
      <c r="F12" s="593"/>
      <c r="G12" s="58" t="str">
        <f>IF(B7="","",B7)</f>
        <v/>
      </c>
      <c r="H12" s="56"/>
      <c r="J12" s="56"/>
    </row>
    <row r="13" spans="1:10" ht="19.149999999999999" customHeight="1" x14ac:dyDescent="0.65">
      <c r="D13" s="594" t="s">
        <v>174</v>
      </c>
      <c r="E13" s="594"/>
      <c r="F13" s="594"/>
      <c r="G13" s="59" t="str">
        <f>IFERROR(G9*G12,"")</f>
        <v/>
      </c>
      <c r="H13" s="56"/>
      <c r="J13" s="56"/>
    </row>
    <row r="14" spans="1:10" ht="19.149999999999999" customHeight="1" x14ac:dyDescent="0.5">
      <c r="D14" s="594" t="s">
        <v>175</v>
      </c>
      <c r="E14" s="594"/>
      <c r="F14" s="594"/>
      <c r="G14" s="59" t="str">
        <f>IFERROR(G12*G10,"")</f>
        <v/>
      </c>
    </row>
    <row r="15" spans="1:10" ht="19.149999999999999" customHeight="1" x14ac:dyDescent="0.65">
      <c r="D15" s="593" t="s">
        <v>413</v>
      </c>
      <c r="E15" s="595"/>
      <c r="F15" s="595"/>
      <c r="G15" s="59" t="str">
        <f>IFERROR(0.2*(G14-G13),"")</f>
        <v/>
      </c>
      <c r="H15" s="56"/>
      <c r="I15" s="56"/>
      <c r="J15" s="56"/>
    </row>
    <row r="16" spans="1:10" ht="19.149999999999999" customHeight="1" x14ac:dyDescent="0.65">
      <c r="D16" s="593" t="s">
        <v>211</v>
      </c>
      <c r="E16" s="593"/>
      <c r="F16" s="593"/>
      <c r="G16" s="61" t="str">
        <f>IFERROR(G15/G13,"")</f>
        <v/>
      </c>
      <c r="H16" s="56"/>
      <c r="I16" s="56"/>
      <c r="J16" s="56"/>
    </row>
    <row r="17" spans="1:10" ht="19.149999999999999" customHeight="1" x14ac:dyDescent="0.65">
      <c r="D17" s="240" t="s">
        <v>316</v>
      </c>
      <c r="G17" s="60"/>
      <c r="H17" s="56"/>
      <c r="I17" s="56"/>
      <c r="J17" s="56"/>
    </row>
    <row r="18" spans="1:10" ht="15" customHeight="1" x14ac:dyDescent="0.65">
      <c r="H18" s="56"/>
      <c r="I18" s="56"/>
      <c r="J18" s="62"/>
    </row>
    <row r="19" spans="1:10" ht="21" x14ac:dyDescent="0.65">
      <c r="A19" s="35" t="s">
        <v>263</v>
      </c>
      <c r="B19" s="248"/>
      <c r="C19" s="487" t="s">
        <v>264</v>
      </c>
      <c r="D19" s="486"/>
      <c r="E19" s="529"/>
      <c r="F19" s="487" t="s">
        <v>265</v>
      </c>
      <c r="G19" s="486"/>
      <c r="H19" s="529"/>
    </row>
    <row r="20" spans="1:10" ht="15.6" customHeight="1" x14ac:dyDescent="0.5">
      <c r="A20" s="468" t="s">
        <v>189</v>
      </c>
      <c r="B20" s="603"/>
      <c r="C20" s="69" t="s">
        <v>12</v>
      </c>
      <c r="D20" s="70" t="s">
        <v>13</v>
      </c>
      <c r="E20" s="39" t="s">
        <v>273</v>
      </c>
      <c r="F20" s="69" t="s">
        <v>12</v>
      </c>
      <c r="G20" s="70" t="s">
        <v>13</v>
      </c>
      <c r="H20" s="39" t="s">
        <v>273</v>
      </c>
    </row>
    <row r="21" spans="1:10" ht="15.6" customHeight="1" x14ac:dyDescent="0.5">
      <c r="A21" s="606" t="s">
        <v>256</v>
      </c>
      <c r="B21" s="607"/>
      <c r="C21" s="237"/>
      <c r="D21" s="234" t="str">
        <f>IF(C21="","",IF(OR(C21&gt;=2,C21&lt;=0),0,IF(AND(C21&gt;=0.9,C21&lt;=1.1),1,ROUND(IF(C21&lt;0.9,'Reference Curves'!$C$318*C21+'Reference Curves'!$C$319,'Reference Curves'!$D$318*C21+'Reference Curves'!$D$319),2))))</f>
        <v/>
      </c>
      <c r="E21" s="501" t="str">
        <f>IFERROR(ROUND(AVERAGE(D21:D26),2),"")</f>
        <v/>
      </c>
      <c r="F21" s="237"/>
      <c r="G21" s="234" t="str">
        <f>IF(F21="","",IF(OR(F21&gt;=2,F21&lt;=0),0,IF(AND(F21&gt;=0.9,F21&lt;=1.1),1,ROUND(IF(F21&lt;0.9,'Reference Curves'!$C$318*F21+'Reference Curves'!$C$319,'Reference Curves'!$D$318*F21+'Reference Curves'!$D$319),2))))</f>
        <v/>
      </c>
      <c r="H21" s="501" t="str">
        <f>IFERROR(ROUND(AVERAGE(G21:G26),2),"")</f>
        <v/>
      </c>
    </row>
    <row r="22" spans="1:10" ht="15.6" customHeight="1" x14ac:dyDescent="0.5">
      <c r="A22" s="608" t="s">
        <v>257</v>
      </c>
      <c r="B22" s="609"/>
      <c r="C22" s="238"/>
      <c r="D22" s="235" t="str">
        <f>IF(C22="","",IF(OR(C22&gt;=2,C22&lt;=0),0,IF(AND(C22&gt;=0.9,C22&lt;=1.1),1,ROUND(IF(C22&lt;0.9,'Reference Curves'!$C$318*C22+'Reference Curves'!$C$319,'Reference Curves'!$D$318*C22+'Reference Curves'!$D$319),2))))</f>
        <v/>
      </c>
      <c r="E22" s="502"/>
      <c r="F22" s="238"/>
      <c r="G22" s="235" t="str">
        <f>IF(F22="","",IF(OR(F22&gt;=2,F22&lt;=0),0,IF(AND(F22&gt;=0.9,F22&lt;=1.1),1,ROUND(IF(F22&lt;0.9,'Reference Curves'!$C$318*F22+'Reference Curves'!$C$319,'Reference Curves'!$D$318*F22+'Reference Curves'!$D$319),2))))</f>
        <v/>
      </c>
      <c r="H22" s="502"/>
    </row>
    <row r="23" spans="1:10" ht="15.6" customHeight="1" x14ac:dyDescent="0.5">
      <c r="A23" s="608" t="s">
        <v>258</v>
      </c>
      <c r="B23" s="609"/>
      <c r="C23" s="238"/>
      <c r="D23" s="235" t="str">
        <f>IF(C23="","",IF(OR(C23&gt;=2,C23&lt;=0),0,IF(AND(C23&gt;=0.9,C23&lt;=1.1),1,ROUND(IF(C23&lt;0.9,'Reference Curves'!$C$318*C23+'Reference Curves'!$C$319,'Reference Curves'!$D$318*C23+'Reference Curves'!$D$319),2))))</f>
        <v/>
      </c>
      <c r="E23" s="502"/>
      <c r="F23" s="238"/>
      <c r="G23" s="235" t="str">
        <f>IF(F23="","",IF(OR(F23&gt;=2,F23&lt;=0),0,IF(AND(F23&gt;=0.9,F23&lt;=1.1),1,ROUND(IF(F23&lt;0.9,'Reference Curves'!$C$318*F23+'Reference Curves'!$C$319,'Reference Curves'!$D$318*F23+'Reference Curves'!$D$319),2))))</f>
        <v/>
      </c>
      <c r="H23" s="502"/>
    </row>
    <row r="24" spans="1:10" ht="15.6" customHeight="1" x14ac:dyDescent="0.5">
      <c r="A24" s="608" t="s">
        <v>259</v>
      </c>
      <c r="B24" s="609"/>
      <c r="C24" s="238"/>
      <c r="D24" s="235" t="str">
        <f>IF(C24="","",IF(OR(C24&gt;=2,C24&lt;=0),0,IF(AND(C24&gt;=0.9,C24&lt;=1.1),1,ROUND(IF(C24&lt;0.9,'Reference Curves'!$C$318*C24+'Reference Curves'!$C$319,'Reference Curves'!$D$318*C24+'Reference Curves'!$D$319),2))))</f>
        <v/>
      </c>
      <c r="E24" s="502"/>
      <c r="F24" s="238"/>
      <c r="G24" s="235" t="str">
        <f>IF(F24="","",IF(OR(F24&gt;=2,F24&lt;=0),0,IF(AND(F24&gt;=0.9,F24&lt;=1.1),1,ROUND(IF(F24&lt;0.9,'Reference Curves'!$C$318*F24+'Reference Curves'!$C$319,'Reference Curves'!$D$318*F24+'Reference Curves'!$D$319),2))))</f>
        <v/>
      </c>
      <c r="H24" s="502"/>
    </row>
    <row r="25" spans="1:10" ht="15.6" customHeight="1" x14ac:dyDescent="0.5">
      <c r="A25" s="608" t="s">
        <v>260</v>
      </c>
      <c r="B25" s="609"/>
      <c r="C25" s="238"/>
      <c r="D25" s="235" t="str">
        <f>IF(C25="","",IF(OR(C25&gt;=2,C25&lt;=0),0,IF(AND(C25&gt;=0.9,C25&lt;=1.1),1,ROUND(IF(C25&lt;0.9,'Reference Curves'!$C$318*C25+'Reference Curves'!$C$319,'Reference Curves'!$D$318*C25+'Reference Curves'!$D$319),2))))</f>
        <v/>
      </c>
      <c r="E25" s="502"/>
      <c r="F25" s="238"/>
      <c r="G25" s="235" t="str">
        <f>IF(F25="","",IF(OR(F25&gt;=2,F25&lt;=0),0,IF(AND(F25&gt;=0.9,F25&lt;=1.1),1,ROUND(IF(F25&lt;0.9,'Reference Curves'!$C$318*F25+'Reference Curves'!$C$319,'Reference Curves'!$D$318*F25+'Reference Curves'!$D$319),2))))</f>
        <v/>
      </c>
      <c r="H25" s="502"/>
    </row>
    <row r="26" spans="1:10" ht="15.6" customHeight="1" x14ac:dyDescent="0.5">
      <c r="A26" s="604" t="s">
        <v>318</v>
      </c>
      <c r="B26" s="605"/>
      <c r="C26" s="239"/>
      <c r="D26" s="245" t="str">
        <f>IF(C26="","",IF(OR(C26&gt;=2,C26&lt;=0),0,IF(AND(C26&gt;=0.9,C26&lt;=1.1),1,ROUND(IF(C26&lt;0.9,'Reference Curves'!$C$318*C26+'Reference Curves'!$C$319,'Reference Curves'!$D$318*C26+'Reference Curves'!$D$319),2))))</f>
        <v/>
      </c>
      <c r="E26" s="503"/>
      <c r="F26" s="239"/>
      <c r="G26" s="245" t="str">
        <f>IF(F26="","",IF(OR(F26&gt;=2,F26&lt;=0),0,IF(AND(F26&gt;=0.9,F26&lt;=1.1),1,ROUND(IF(F26&lt;0.9,'Reference Curves'!$C$318*F26+'Reference Curves'!$C$319,'Reference Curves'!$D$318*F26+'Reference Curves'!$D$319),2))))</f>
        <v/>
      </c>
      <c r="H26" s="503"/>
    </row>
    <row r="27" spans="1:10" ht="15.6" customHeight="1" x14ac:dyDescent="0.65">
      <c r="D27" s="233"/>
      <c r="F27" s="56"/>
      <c r="G27" s="56"/>
    </row>
    <row r="28" spans="1:10" ht="21" x14ac:dyDescent="0.65">
      <c r="A28" s="35" t="s">
        <v>261</v>
      </c>
      <c r="B28" s="248"/>
      <c r="C28" s="236" t="s">
        <v>262</v>
      </c>
      <c r="D28" s="610"/>
      <c r="E28" s="611"/>
      <c r="F28" s="236" t="s">
        <v>262</v>
      </c>
      <c r="G28" s="610"/>
      <c r="H28" s="611"/>
    </row>
    <row r="29" spans="1:10" ht="15.75" x14ac:dyDescent="0.5">
      <c r="A29" s="468" t="s">
        <v>189</v>
      </c>
      <c r="B29" s="603"/>
      <c r="C29" s="69" t="s">
        <v>12</v>
      </c>
      <c r="D29" s="70" t="s">
        <v>13</v>
      </c>
      <c r="E29" s="39" t="s">
        <v>273</v>
      </c>
      <c r="F29" s="69" t="s">
        <v>12</v>
      </c>
      <c r="G29" s="70" t="s">
        <v>13</v>
      </c>
      <c r="H29" s="39" t="s">
        <v>273</v>
      </c>
    </row>
    <row r="30" spans="1:10" ht="15.75" x14ac:dyDescent="0.5">
      <c r="A30" s="606" t="s">
        <v>256</v>
      </c>
      <c r="B30" s="607"/>
      <c r="C30" s="237"/>
      <c r="D30" s="234" t="str">
        <f>IF(C30="","",IF(OR(C30&gt;=2,C30&lt;=0),0,IF(AND(C30&gt;=0.9,C30&lt;=1.1),1,ROUND(IF(C30&lt;0.9,'Reference Curves'!$C$318*C30+'Reference Curves'!$C$319,'Reference Curves'!$D$318*C30+'Reference Curves'!$D$319),2))))</f>
        <v/>
      </c>
      <c r="E30" s="501" t="str">
        <f>IFERROR(ROUND(AVERAGE(D30:D35),2),"")</f>
        <v/>
      </c>
      <c r="F30" s="237"/>
      <c r="G30" s="234" t="str">
        <f>IF(F30="","",IF(OR(F30&gt;=2,F30&lt;=0),0,IF(AND(F30&gt;=0.9,F30&lt;=1.1),1,ROUND(IF(F30&lt;0.9,'Reference Curves'!$C$318*F30+'Reference Curves'!$C$319,'Reference Curves'!$D$318*F30+'Reference Curves'!$D$319),2))))</f>
        <v/>
      </c>
      <c r="H30" s="501" t="str">
        <f>IFERROR(ROUND(AVERAGE(G30:G35),2),"")</f>
        <v/>
      </c>
    </row>
    <row r="31" spans="1:10" ht="15.75" x14ac:dyDescent="0.5">
      <c r="A31" s="608" t="s">
        <v>257</v>
      </c>
      <c r="B31" s="609"/>
      <c r="C31" s="238"/>
      <c r="D31" s="235" t="str">
        <f>IF(C31="","",IF(OR(C31&gt;=2,C31&lt;=0),0,IF(AND(C31&gt;=0.9,C31&lt;=1.1),1,ROUND(IF(C31&lt;0.9,'Reference Curves'!$C$318*C31+'Reference Curves'!$C$319,'Reference Curves'!$D$318*C31+'Reference Curves'!$D$319),2))))</f>
        <v/>
      </c>
      <c r="E31" s="502"/>
      <c r="F31" s="238"/>
      <c r="G31" s="235" t="str">
        <f>IF(F31="","",IF(OR(F31&gt;=2,F31&lt;=0),0,IF(AND(F31&gt;=0.9,F31&lt;=1.1),1,ROUND(IF(F31&lt;0.9,'Reference Curves'!$C$318*F31+'Reference Curves'!$C$319,'Reference Curves'!$D$318*F31+'Reference Curves'!$D$319),2))))</f>
        <v/>
      </c>
      <c r="H31" s="502"/>
      <c r="J31" s="264"/>
    </row>
    <row r="32" spans="1:10" ht="15.75" x14ac:dyDescent="0.5">
      <c r="A32" s="608" t="s">
        <v>258</v>
      </c>
      <c r="B32" s="609"/>
      <c r="C32" s="238"/>
      <c r="D32" s="235" t="str">
        <f>IF(C32="","",IF(OR(C32&gt;=2,C32&lt;=0),0,IF(AND(C32&gt;=0.9,C32&lt;=1.1),1,ROUND(IF(C32&lt;0.9,'Reference Curves'!$C$318*C32+'Reference Curves'!$C$319,'Reference Curves'!$D$318*C32+'Reference Curves'!$D$319),2))))</f>
        <v/>
      </c>
      <c r="E32" s="502"/>
      <c r="F32" s="238"/>
      <c r="G32" s="235" t="str">
        <f>IF(F32="","",IF(OR(F32&gt;=2,F32&lt;=0),0,IF(AND(F32&gt;=0.9,F32&lt;=1.1),1,ROUND(IF(F32&lt;0.9,'Reference Curves'!$C$318*F32+'Reference Curves'!$C$319,'Reference Curves'!$D$318*F32+'Reference Curves'!$D$319),2))))</f>
        <v/>
      </c>
      <c r="H32" s="502"/>
    </row>
    <row r="33" spans="1:8" ht="15.75" x14ac:dyDescent="0.5">
      <c r="A33" s="608" t="s">
        <v>259</v>
      </c>
      <c r="B33" s="609"/>
      <c r="C33" s="238"/>
      <c r="D33" s="235" t="str">
        <f>IF(C33="","",IF(OR(C33&gt;=2,C33&lt;=0),0,IF(AND(C33&gt;=0.9,C33&lt;=1.1),1,ROUND(IF(C33&lt;0.9,'Reference Curves'!$C$318*C33+'Reference Curves'!$C$319,'Reference Curves'!$D$318*C33+'Reference Curves'!$D$319),2))))</f>
        <v/>
      </c>
      <c r="E33" s="502"/>
      <c r="F33" s="238"/>
      <c r="G33" s="235" t="str">
        <f>IF(F33="","",IF(OR(F33&gt;=2,F33&lt;=0),0,IF(AND(F33&gt;=0.9,F33&lt;=1.1),1,ROUND(IF(F33&lt;0.9,'Reference Curves'!$C$318*F33+'Reference Curves'!$C$319,'Reference Curves'!$D$318*F33+'Reference Curves'!$D$319),2))))</f>
        <v/>
      </c>
      <c r="H33" s="502"/>
    </row>
    <row r="34" spans="1:8" ht="15.75" x14ac:dyDescent="0.5">
      <c r="A34" s="608" t="s">
        <v>260</v>
      </c>
      <c r="B34" s="609"/>
      <c r="C34" s="263"/>
      <c r="D34" s="235" t="str">
        <f>IF(C34="","",IF(OR(C34&gt;=2,C34&lt;=0),0,IF(AND(C34&gt;=0.9,C34&lt;=1.1),1,ROUND(IF(C34&lt;0.9,'Reference Curves'!$C$318*C34+'Reference Curves'!$C$319,'Reference Curves'!$D$318*C34+'Reference Curves'!$D$319),2))))</f>
        <v/>
      </c>
      <c r="E34" s="502"/>
      <c r="F34" s="263"/>
      <c r="G34" s="235" t="str">
        <f>IF(F34="","",IF(OR(F34&gt;=2,F34&lt;=0),0,IF(AND(F34&gt;=0.9,F34&lt;=1.1),1,ROUND(IF(F34&lt;0.9,'Reference Curves'!$C$318*F34+'Reference Curves'!$C$319,'Reference Curves'!$D$318*F34+'Reference Curves'!$D$319),2))))</f>
        <v/>
      </c>
      <c r="H34" s="502"/>
    </row>
    <row r="35" spans="1:8" ht="15.75" x14ac:dyDescent="0.5">
      <c r="A35" s="604" t="s">
        <v>318</v>
      </c>
      <c r="B35" s="605"/>
      <c r="C35" s="84"/>
      <c r="D35" s="245" t="str">
        <f>IF(C35="","",IF(OR(C35&gt;=2,C35&lt;=0),0,IF(AND(C35&gt;=0.9,C35&lt;=1.1),1,ROUND(IF(C35&lt;0.9,'Reference Curves'!$C$318*C35+'Reference Curves'!$C$319,'Reference Curves'!$D$318*C35+'Reference Curves'!$D$319),2))))</f>
        <v/>
      </c>
      <c r="E35" s="503"/>
      <c r="F35" s="84"/>
      <c r="G35" s="245" t="str">
        <f>IF(F35="","",IF(OR(F35&gt;=2,F35&lt;=0),0,IF(AND(F35&gt;=0.9,F35&lt;=1.1),1,ROUND(IF(F35&lt;0.9,'Reference Curves'!$C$318*F35+'Reference Curves'!$C$319,'Reference Curves'!$D$318*F35+'Reference Curves'!$D$319),2))))</f>
        <v/>
      </c>
      <c r="H35" s="503"/>
    </row>
    <row r="37" spans="1:8" ht="21" x14ac:dyDescent="0.65">
      <c r="A37" s="35" t="s">
        <v>261</v>
      </c>
      <c r="B37" s="248"/>
      <c r="C37" s="236" t="s">
        <v>262</v>
      </c>
      <c r="D37" s="610"/>
      <c r="E37" s="611"/>
      <c r="F37" s="236" t="s">
        <v>262</v>
      </c>
      <c r="G37" s="610"/>
      <c r="H37" s="611"/>
    </row>
    <row r="38" spans="1:8" ht="15.75" x14ac:dyDescent="0.5">
      <c r="A38" s="468" t="s">
        <v>189</v>
      </c>
      <c r="B38" s="603"/>
      <c r="C38" s="69" t="s">
        <v>12</v>
      </c>
      <c r="D38" s="70" t="s">
        <v>13</v>
      </c>
      <c r="E38" s="39" t="s">
        <v>273</v>
      </c>
      <c r="F38" s="69" t="s">
        <v>12</v>
      </c>
      <c r="G38" s="70" t="s">
        <v>13</v>
      </c>
      <c r="H38" s="39" t="s">
        <v>273</v>
      </c>
    </row>
    <row r="39" spans="1:8" ht="15.75" x14ac:dyDescent="0.5">
      <c r="A39" s="606" t="s">
        <v>256</v>
      </c>
      <c r="B39" s="607"/>
      <c r="C39" s="237"/>
      <c r="D39" s="234" t="str">
        <f>IF(C39="","",IF(OR(C39&gt;=2,C39&lt;=0),0,IF(AND(C39&gt;=0.9,C39&lt;=1.1),1,ROUND(IF(C39&lt;0.9,'Reference Curves'!$C$318*C39+'Reference Curves'!$C$319,'Reference Curves'!$D$318*C39+'Reference Curves'!$D$319),2))))</f>
        <v/>
      </c>
      <c r="E39" s="501" t="str">
        <f>IFERROR(ROUND(AVERAGE(D39:D44),2),"")</f>
        <v/>
      </c>
      <c r="F39" s="237"/>
      <c r="G39" s="234" t="str">
        <f>IF(F39="","",IF(OR(F39&gt;=2,F39&lt;=0),0,IF(AND(F39&gt;=0.9,F39&lt;=1.1),1,ROUND(IF(F39&lt;0.9,'Reference Curves'!$C$318*F39+'Reference Curves'!$C$319,'Reference Curves'!$D$318*F39+'Reference Curves'!$D$319),2))))</f>
        <v/>
      </c>
      <c r="H39" s="501" t="str">
        <f>IFERROR(ROUND(AVERAGE(G39:G44),2),"")</f>
        <v/>
      </c>
    </row>
    <row r="40" spans="1:8" ht="15.75" x14ac:dyDescent="0.5">
      <c r="A40" s="608" t="s">
        <v>257</v>
      </c>
      <c r="B40" s="609"/>
      <c r="C40" s="238"/>
      <c r="D40" s="235" t="str">
        <f>IF(C40="","",IF(OR(C40&gt;=2,C40&lt;=0),0,IF(AND(C40&gt;=0.9,C40&lt;=1.1),1,ROUND(IF(C40&lt;0.9,'Reference Curves'!$C$318*C40+'Reference Curves'!$C$319,'Reference Curves'!$D$318*C40+'Reference Curves'!$D$319),2))))</f>
        <v/>
      </c>
      <c r="E40" s="502"/>
      <c r="F40" s="238"/>
      <c r="G40" s="235" t="str">
        <f>IF(F40="","",IF(OR(F40&gt;=2,F40&lt;=0),0,IF(AND(F40&gt;=0.9,F40&lt;=1.1),1,ROUND(IF(F40&lt;0.9,'Reference Curves'!$C$318*F40+'Reference Curves'!$C$319,'Reference Curves'!$D$318*F40+'Reference Curves'!$D$319),2))))</f>
        <v/>
      </c>
      <c r="H40" s="502"/>
    </row>
    <row r="41" spans="1:8" ht="15.75" x14ac:dyDescent="0.5">
      <c r="A41" s="608" t="s">
        <v>258</v>
      </c>
      <c r="B41" s="609"/>
      <c r="C41" s="238"/>
      <c r="D41" s="235" t="str">
        <f>IF(C41="","",IF(OR(C41&gt;=2,C41&lt;=0),0,IF(AND(C41&gt;=0.9,C41&lt;=1.1),1,ROUND(IF(C41&lt;0.9,'Reference Curves'!$C$318*C41+'Reference Curves'!$C$319,'Reference Curves'!$D$318*C41+'Reference Curves'!$D$319),2))))</f>
        <v/>
      </c>
      <c r="E41" s="502"/>
      <c r="F41" s="238"/>
      <c r="G41" s="235" t="str">
        <f>IF(F41="","",IF(OR(F41&gt;=2,F41&lt;=0),0,IF(AND(F41&gt;=0.9,F41&lt;=1.1),1,ROUND(IF(F41&lt;0.9,'Reference Curves'!$C$318*F41+'Reference Curves'!$C$319,'Reference Curves'!$D$318*F41+'Reference Curves'!$D$319),2))))</f>
        <v/>
      </c>
      <c r="H41" s="502"/>
    </row>
    <row r="42" spans="1:8" ht="15.75" x14ac:dyDescent="0.5">
      <c r="A42" s="608" t="s">
        <v>259</v>
      </c>
      <c r="B42" s="609"/>
      <c r="C42" s="238"/>
      <c r="D42" s="235" t="str">
        <f>IF(C42="","",IF(OR(C42&gt;=2,C42&lt;=0),0,IF(AND(C42&gt;=0.9,C42&lt;=1.1),1,ROUND(IF(C42&lt;0.9,'Reference Curves'!$C$318*C42+'Reference Curves'!$C$319,'Reference Curves'!$D$318*C42+'Reference Curves'!$D$319),2))))</f>
        <v/>
      </c>
      <c r="E42" s="502"/>
      <c r="F42" s="238"/>
      <c r="G42" s="235" t="str">
        <f>IF(F42="","",IF(OR(F42&gt;=2,F42&lt;=0),0,IF(AND(F42&gt;=0.9,F42&lt;=1.1),1,ROUND(IF(F42&lt;0.9,'Reference Curves'!$C$318*F42+'Reference Curves'!$C$319,'Reference Curves'!$D$318*F42+'Reference Curves'!$D$319),2))))</f>
        <v/>
      </c>
      <c r="H42" s="502"/>
    </row>
    <row r="43" spans="1:8" ht="15.75" x14ac:dyDescent="0.5">
      <c r="A43" s="608" t="s">
        <v>260</v>
      </c>
      <c r="B43" s="609"/>
      <c r="C43" s="263"/>
      <c r="D43" s="235" t="str">
        <f>IF(C43="","",IF(OR(C43&gt;=2,C43&lt;=0),0,IF(AND(C43&gt;=0.9,C43&lt;=1.1),1,ROUND(IF(C43&lt;0.9,'Reference Curves'!$C$318*C43+'Reference Curves'!$C$319,'Reference Curves'!$D$318*C43+'Reference Curves'!$D$319),2))))</f>
        <v/>
      </c>
      <c r="E43" s="502"/>
      <c r="F43" s="263"/>
      <c r="G43" s="235" t="str">
        <f>IF(F43="","",IF(OR(F43&gt;=2,F43&lt;=0),0,IF(AND(F43&gt;=0.9,F43&lt;=1.1),1,ROUND(IF(F43&lt;0.9,'Reference Curves'!$C$318*F43+'Reference Curves'!$C$319,'Reference Curves'!$D$318*F43+'Reference Curves'!$D$319),2))))</f>
        <v/>
      </c>
      <c r="H43" s="502"/>
    </row>
    <row r="44" spans="1:8" ht="15.75" x14ac:dyDescent="0.5">
      <c r="A44" s="604" t="s">
        <v>318</v>
      </c>
      <c r="B44" s="605"/>
      <c r="C44" s="84"/>
      <c r="D44" s="245" t="str">
        <f>IF(C44="","",IF(OR(C44&gt;=2,C44&lt;=0),0,IF(AND(C44&gt;=0.9,C44&lt;=1.1),1,ROUND(IF(C44&lt;0.9,'Reference Curves'!$C$318*C44+'Reference Curves'!$C$319,'Reference Curves'!$D$318*C44+'Reference Curves'!$D$319),2))))</f>
        <v/>
      </c>
      <c r="E44" s="503"/>
      <c r="F44" s="84"/>
      <c r="G44" s="245" t="str">
        <f>IF(F44="","",IF(OR(F44&gt;=2,F44&lt;=0),0,IF(AND(F44&gt;=0.9,F44&lt;=1.1),1,ROUND(IF(F44&lt;0.9,'Reference Curves'!$C$318*F44+'Reference Curves'!$C$319,'Reference Curves'!$D$318*F44+'Reference Curves'!$D$319),2))))</f>
        <v/>
      </c>
      <c r="H44" s="503"/>
    </row>
    <row r="46" spans="1:8" ht="21" x14ac:dyDescent="0.65">
      <c r="A46" s="35" t="s">
        <v>261</v>
      </c>
      <c r="B46" s="248"/>
      <c r="C46" s="236" t="s">
        <v>262</v>
      </c>
      <c r="D46" s="610"/>
      <c r="E46" s="611"/>
      <c r="F46" s="236" t="s">
        <v>262</v>
      </c>
      <c r="G46" s="610"/>
      <c r="H46" s="611"/>
    </row>
    <row r="47" spans="1:8" ht="15.75" x14ac:dyDescent="0.5">
      <c r="A47" s="468" t="s">
        <v>189</v>
      </c>
      <c r="B47" s="603"/>
      <c r="C47" s="69" t="s">
        <v>12</v>
      </c>
      <c r="D47" s="70" t="s">
        <v>13</v>
      </c>
      <c r="E47" s="39" t="s">
        <v>273</v>
      </c>
      <c r="F47" s="69" t="s">
        <v>12</v>
      </c>
      <c r="G47" s="70" t="s">
        <v>13</v>
      </c>
      <c r="H47" s="39" t="s">
        <v>273</v>
      </c>
    </row>
    <row r="48" spans="1:8" ht="15.75" x14ac:dyDescent="0.5">
      <c r="A48" s="606" t="s">
        <v>256</v>
      </c>
      <c r="B48" s="607"/>
      <c r="C48" s="237"/>
      <c r="D48" s="234" t="str">
        <f>IF(C48="","",IF(OR(C48&gt;=2,C48&lt;=0),0,IF(AND(C48&gt;=0.9,C48&lt;=1.1),1,ROUND(IF(C48&lt;0.9,'Reference Curves'!$C$318*C48+'Reference Curves'!$C$319,'Reference Curves'!$D$318*C48+'Reference Curves'!$D$319),2))))</f>
        <v/>
      </c>
      <c r="E48" s="501" t="str">
        <f>IFERROR(ROUND(AVERAGE(D48:D53),2),"")</f>
        <v/>
      </c>
      <c r="F48" s="237"/>
      <c r="G48" s="234" t="str">
        <f>IF(F48="","",IF(OR(F48&gt;=2,F48&lt;=0),0,IF(AND(F48&gt;=0.9,F48&lt;=1.1),1,ROUND(IF(F48&lt;0.9,'Reference Curves'!$C$318*F48+'Reference Curves'!$C$319,'Reference Curves'!$D$318*F48+'Reference Curves'!$D$319),2))))</f>
        <v/>
      </c>
      <c r="H48" s="501" t="str">
        <f>IFERROR(ROUND(AVERAGE(G48:G53),2),"")</f>
        <v/>
      </c>
    </row>
    <row r="49" spans="1:8" ht="15.75" x14ac:dyDescent="0.5">
      <c r="A49" s="608" t="s">
        <v>257</v>
      </c>
      <c r="B49" s="609"/>
      <c r="C49" s="238"/>
      <c r="D49" s="235" t="str">
        <f>IF(C49="","",IF(OR(C49&gt;=2,C49&lt;=0),0,IF(AND(C49&gt;=0.9,C49&lt;=1.1),1,ROUND(IF(C49&lt;0.9,'Reference Curves'!$C$318*C49+'Reference Curves'!$C$319,'Reference Curves'!$D$318*C49+'Reference Curves'!$D$319),2))))</f>
        <v/>
      </c>
      <c r="E49" s="502"/>
      <c r="F49" s="238"/>
      <c r="G49" s="235" t="str">
        <f>IF(F49="","",IF(OR(F49&gt;=2,F49&lt;=0),0,IF(AND(F49&gt;=0.9,F49&lt;=1.1),1,ROUND(IF(F49&lt;0.9,'Reference Curves'!$C$318*F49+'Reference Curves'!$C$319,'Reference Curves'!$D$318*F49+'Reference Curves'!$D$319),2))))</f>
        <v/>
      </c>
      <c r="H49" s="502"/>
    </row>
    <row r="50" spans="1:8" ht="15.75" x14ac:dyDescent="0.5">
      <c r="A50" s="608" t="s">
        <v>258</v>
      </c>
      <c r="B50" s="609"/>
      <c r="C50" s="238"/>
      <c r="D50" s="235" t="str">
        <f>IF(C50="","",IF(OR(C50&gt;=2,C50&lt;=0),0,IF(AND(C50&gt;=0.9,C50&lt;=1.1),1,ROUND(IF(C50&lt;0.9,'Reference Curves'!$C$318*C50+'Reference Curves'!$C$319,'Reference Curves'!$D$318*C50+'Reference Curves'!$D$319),2))))</f>
        <v/>
      </c>
      <c r="E50" s="502"/>
      <c r="F50" s="238"/>
      <c r="G50" s="235" t="str">
        <f>IF(F50="","",IF(OR(F50&gt;=2,F50&lt;=0),0,IF(AND(F50&gt;=0.9,F50&lt;=1.1),1,ROUND(IF(F50&lt;0.9,'Reference Curves'!$C$318*F50+'Reference Curves'!$C$319,'Reference Curves'!$D$318*F50+'Reference Curves'!$D$319),2))))</f>
        <v/>
      </c>
      <c r="H50" s="502"/>
    </row>
    <row r="51" spans="1:8" ht="15.75" x14ac:dyDescent="0.5">
      <c r="A51" s="608" t="s">
        <v>259</v>
      </c>
      <c r="B51" s="609"/>
      <c r="C51" s="238"/>
      <c r="D51" s="235" t="str">
        <f>IF(C51="","",IF(OR(C51&gt;=2,C51&lt;=0),0,IF(AND(C51&gt;=0.9,C51&lt;=1.1),1,ROUND(IF(C51&lt;0.9,'Reference Curves'!$C$318*C51+'Reference Curves'!$C$319,'Reference Curves'!$D$318*C51+'Reference Curves'!$D$319),2))))</f>
        <v/>
      </c>
      <c r="E51" s="502"/>
      <c r="F51" s="238"/>
      <c r="G51" s="235" t="str">
        <f>IF(F51="","",IF(OR(F51&gt;=2,F51&lt;=0),0,IF(AND(F51&gt;=0.9,F51&lt;=1.1),1,ROUND(IF(F51&lt;0.9,'Reference Curves'!$C$318*F51+'Reference Curves'!$C$319,'Reference Curves'!$D$318*F51+'Reference Curves'!$D$319),2))))</f>
        <v/>
      </c>
      <c r="H51" s="502"/>
    </row>
    <row r="52" spans="1:8" ht="15.75" x14ac:dyDescent="0.5">
      <c r="A52" s="608" t="s">
        <v>260</v>
      </c>
      <c r="B52" s="609"/>
      <c r="C52" s="263"/>
      <c r="D52" s="235" t="str">
        <f>IF(C52="","",IF(OR(C52&gt;=2,C52&lt;=0),0,IF(AND(C52&gt;=0.9,C52&lt;=1.1),1,ROUND(IF(C52&lt;0.9,'Reference Curves'!$C$318*C52+'Reference Curves'!$C$319,'Reference Curves'!$D$318*C52+'Reference Curves'!$D$319),2))))</f>
        <v/>
      </c>
      <c r="E52" s="502"/>
      <c r="F52" s="263"/>
      <c r="G52" s="235" t="str">
        <f>IF(F52="","",IF(OR(F52&gt;=2,F52&lt;=0),0,IF(AND(F52&gt;=0.9,F52&lt;=1.1),1,ROUND(IF(F52&lt;0.9,'Reference Curves'!$C$318*F52+'Reference Curves'!$C$319,'Reference Curves'!$D$318*F52+'Reference Curves'!$D$319),2))))</f>
        <v/>
      </c>
      <c r="H52" s="502"/>
    </row>
    <row r="53" spans="1:8" ht="15.75" x14ac:dyDescent="0.5">
      <c r="A53" s="604" t="s">
        <v>318</v>
      </c>
      <c r="B53" s="605"/>
      <c r="C53" s="84"/>
      <c r="D53" s="245" t="str">
        <f>IF(C53="","",IF(OR(C53&gt;=2,C53&lt;=0),0,IF(AND(C53&gt;=0.9,C53&lt;=1.1),1,ROUND(IF(C53&lt;0.9,'Reference Curves'!$C$318*C53+'Reference Curves'!$C$319,'Reference Curves'!$D$318*C53+'Reference Curves'!$D$319),2))))</f>
        <v/>
      </c>
      <c r="E53" s="503"/>
      <c r="F53" s="84"/>
      <c r="G53" s="245" t="str">
        <f>IF(F53="","",IF(OR(F53&gt;=2,F53&lt;=0),0,IF(AND(F53&gt;=0.9,F53&lt;=1.1),1,ROUND(IF(F53&lt;0.9,'Reference Curves'!$C$318*F53+'Reference Curves'!$C$319,'Reference Curves'!$D$318*F53+'Reference Curves'!$D$319),2))))</f>
        <v/>
      </c>
      <c r="H53" s="503"/>
    </row>
    <row r="55" spans="1:8" ht="21" x14ac:dyDescent="0.65">
      <c r="A55" s="35" t="s">
        <v>261</v>
      </c>
      <c r="B55" s="248"/>
      <c r="C55" s="236" t="s">
        <v>262</v>
      </c>
      <c r="D55" s="610"/>
      <c r="E55" s="611"/>
      <c r="F55" s="236" t="s">
        <v>262</v>
      </c>
      <c r="G55" s="610"/>
      <c r="H55" s="611"/>
    </row>
    <row r="56" spans="1:8" ht="15.75" x14ac:dyDescent="0.5">
      <c r="A56" s="468" t="s">
        <v>189</v>
      </c>
      <c r="B56" s="603"/>
      <c r="C56" s="69" t="s">
        <v>12</v>
      </c>
      <c r="D56" s="70" t="s">
        <v>13</v>
      </c>
      <c r="E56" s="39" t="s">
        <v>273</v>
      </c>
      <c r="F56" s="69" t="s">
        <v>12</v>
      </c>
      <c r="G56" s="70" t="s">
        <v>13</v>
      </c>
      <c r="H56" s="39" t="s">
        <v>273</v>
      </c>
    </row>
    <row r="57" spans="1:8" ht="15.75" x14ac:dyDescent="0.5">
      <c r="A57" s="606" t="s">
        <v>256</v>
      </c>
      <c r="B57" s="607"/>
      <c r="C57" s="81"/>
      <c r="D57" s="234" t="str">
        <f>IF(C57="","",IF(OR(C57&gt;=2,C57&lt;=0),0,IF(AND(C57&gt;=0.9,C57&lt;=1.1),1,ROUND(IF(C57&lt;0.9,'Reference Curves'!$C$318*C57+'Reference Curves'!$C$319,'Reference Curves'!$D$318*C57+'Reference Curves'!$D$319),2))))</f>
        <v/>
      </c>
      <c r="E57" s="501" t="str">
        <f>IFERROR(ROUND(AVERAGE(D57:D62),2),"")</f>
        <v/>
      </c>
      <c r="F57" s="237"/>
      <c r="G57" s="234" t="str">
        <f>IF(F57="","",IF(OR(F57&gt;=2,F57&lt;=0),0,IF(AND(F57&gt;=0.9,F57&lt;=1.1),1,ROUND(IF(F57&lt;0.9,'Reference Curves'!$C$318*F57+'Reference Curves'!$C$319,'Reference Curves'!$D$318*F57+'Reference Curves'!$D$319),2))))</f>
        <v/>
      </c>
      <c r="H57" s="501" t="str">
        <f>IFERROR(ROUND(AVERAGE(G57:G62),2),"")</f>
        <v/>
      </c>
    </row>
    <row r="58" spans="1:8" ht="15.75" x14ac:dyDescent="0.5">
      <c r="A58" s="608" t="s">
        <v>257</v>
      </c>
      <c r="B58" s="609"/>
      <c r="C58" s="80"/>
      <c r="D58" s="235" t="str">
        <f>IF(C58="","",IF(OR(C58&gt;=2,C58&lt;=0),0,IF(AND(C58&gt;=0.9,C58&lt;=1.1),1,ROUND(IF(C58&lt;0.9,'Reference Curves'!$C$318*C58+'Reference Curves'!$C$319,'Reference Curves'!$D$318*C58+'Reference Curves'!$D$319),2))))</f>
        <v/>
      </c>
      <c r="E58" s="502"/>
      <c r="F58" s="238"/>
      <c r="G58" s="235" t="str">
        <f>IF(F58="","",IF(OR(F58&gt;=2,F58&lt;=0),0,IF(AND(F58&gt;=0.9,F58&lt;=1.1),1,ROUND(IF(F58&lt;0.9,'Reference Curves'!$C$318*F58+'Reference Curves'!$C$319,'Reference Curves'!$D$318*F58+'Reference Curves'!$D$319),2))))</f>
        <v/>
      </c>
      <c r="H58" s="502"/>
    </row>
    <row r="59" spans="1:8" ht="15.75" x14ac:dyDescent="0.5">
      <c r="A59" s="608" t="s">
        <v>258</v>
      </c>
      <c r="B59" s="609"/>
      <c r="C59" s="80"/>
      <c r="D59" s="235" t="str">
        <f>IF(C59="","",IF(OR(C59&gt;=2,C59&lt;=0),0,IF(AND(C59&gt;=0.9,C59&lt;=1.1),1,ROUND(IF(C59&lt;0.9,'Reference Curves'!$C$318*C59+'Reference Curves'!$C$319,'Reference Curves'!$D$318*C59+'Reference Curves'!$D$319),2))))</f>
        <v/>
      </c>
      <c r="E59" s="502"/>
      <c r="F59" s="238"/>
      <c r="G59" s="235" t="str">
        <f>IF(F59="","",IF(OR(F59&gt;=2,F59&lt;=0),0,IF(AND(F59&gt;=0.9,F59&lt;=1.1),1,ROUND(IF(F59&lt;0.9,'Reference Curves'!$C$318*F59+'Reference Curves'!$C$319,'Reference Curves'!$D$318*F59+'Reference Curves'!$D$319),2))))</f>
        <v/>
      </c>
      <c r="H59" s="502"/>
    </row>
    <row r="60" spans="1:8" ht="15.75" x14ac:dyDescent="0.5">
      <c r="A60" s="608" t="s">
        <v>259</v>
      </c>
      <c r="B60" s="609"/>
      <c r="C60" s="80"/>
      <c r="D60" s="235" t="str">
        <f>IF(C60="","",IF(OR(C60&gt;=2,C60&lt;=0),0,IF(AND(C60&gt;=0.9,C60&lt;=1.1),1,ROUND(IF(C60&lt;0.9,'Reference Curves'!$C$318*C60+'Reference Curves'!$C$319,'Reference Curves'!$D$318*C60+'Reference Curves'!$D$319),2))))</f>
        <v/>
      </c>
      <c r="E60" s="502"/>
      <c r="F60" s="238"/>
      <c r="G60" s="235" t="str">
        <f>IF(F60="","",IF(OR(F60&gt;=2,F60&lt;=0),0,IF(AND(F60&gt;=0.9,F60&lt;=1.1),1,ROUND(IF(F60&lt;0.9,'Reference Curves'!$C$318*F60+'Reference Curves'!$C$319,'Reference Curves'!$D$318*F60+'Reference Curves'!$D$319),2))))</f>
        <v/>
      </c>
      <c r="H60" s="502"/>
    </row>
    <row r="61" spans="1:8" ht="15.75" x14ac:dyDescent="0.5">
      <c r="A61" s="608" t="s">
        <v>260</v>
      </c>
      <c r="B61" s="609"/>
      <c r="C61" s="263"/>
      <c r="D61" s="235" t="str">
        <f>IF(C61="","",IF(OR(C61&gt;=2,C61&lt;=0),0,IF(AND(C61&gt;=0.9,C61&lt;=1.1),1,ROUND(IF(C61&lt;0.9,'Reference Curves'!$C$318*C61+'Reference Curves'!$C$319,'Reference Curves'!$D$318*C61+'Reference Curves'!$D$319),2))))</f>
        <v/>
      </c>
      <c r="E61" s="502"/>
      <c r="F61" s="263"/>
      <c r="G61" s="235" t="str">
        <f>IF(F61="","",IF(OR(F61&gt;=2,F61&lt;=0),0,IF(AND(F61&gt;=0.9,F61&lt;=1.1),1,ROUND(IF(F61&lt;0.9,'Reference Curves'!$C$318*F61+'Reference Curves'!$C$319,'Reference Curves'!$D$318*F61+'Reference Curves'!$D$319),2))))</f>
        <v/>
      </c>
      <c r="H61" s="502"/>
    </row>
    <row r="62" spans="1:8" ht="15.75" x14ac:dyDescent="0.5">
      <c r="A62" s="604" t="s">
        <v>318</v>
      </c>
      <c r="B62" s="605"/>
      <c r="C62" s="84"/>
      <c r="D62" s="245" t="str">
        <f>IF(C62="","",IF(OR(C62&gt;=2,C62&lt;=0),0,IF(AND(C62&gt;=0.9,C62&lt;=1.1),1,ROUND(IF(C62&lt;0.9,'Reference Curves'!$C$318*C62+'Reference Curves'!$C$319,'Reference Curves'!$D$318*C62+'Reference Curves'!$D$319),2))))</f>
        <v/>
      </c>
      <c r="E62" s="503"/>
      <c r="F62" s="84"/>
      <c r="G62" s="245" t="str">
        <f>IF(F62="","",IF(OR(F62&gt;=2,F62&lt;=0),0,IF(AND(F62&gt;=0.9,F62&lt;=1.1),1,ROUND(IF(F62&lt;0.9,'Reference Curves'!$C$318*F62+'Reference Curves'!$C$319,'Reference Curves'!$D$318*F62+'Reference Curves'!$D$319),2))))</f>
        <v/>
      </c>
      <c r="H62" s="503"/>
    </row>
    <row r="64" spans="1:8" ht="21" x14ac:dyDescent="0.65">
      <c r="A64" s="35" t="s">
        <v>261</v>
      </c>
      <c r="B64" s="248"/>
      <c r="C64" s="236" t="s">
        <v>262</v>
      </c>
      <c r="D64" s="610"/>
      <c r="E64" s="611"/>
      <c r="F64" s="236" t="s">
        <v>262</v>
      </c>
      <c r="G64" s="610"/>
      <c r="H64" s="611"/>
    </row>
    <row r="65" spans="1:8" ht="15.75" x14ac:dyDescent="0.5">
      <c r="A65" s="468" t="s">
        <v>189</v>
      </c>
      <c r="B65" s="603"/>
      <c r="C65" s="69" t="s">
        <v>12</v>
      </c>
      <c r="D65" s="70" t="s">
        <v>13</v>
      </c>
      <c r="E65" s="39" t="s">
        <v>273</v>
      </c>
      <c r="F65" s="69" t="s">
        <v>12</v>
      </c>
      <c r="G65" s="70" t="s">
        <v>13</v>
      </c>
      <c r="H65" s="39" t="s">
        <v>273</v>
      </c>
    </row>
    <row r="66" spans="1:8" ht="15.75" x14ac:dyDescent="0.5">
      <c r="A66" s="606" t="s">
        <v>256</v>
      </c>
      <c r="B66" s="607"/>
      <c r="C66" s="81"/>
      <c r="D66" s="234" t="str">
        <f>IF(C66="","",IF(OR(C66&gt;=2,C66&lt;=0),0,IF(AND(C66&gt;=0.9,C66&lt;=1.1),1,ROUND(IF(C66&lt;0.9,'Reference Curves'!$C$318*C66+'Reference Curves'!$C$319,'Reference Curves'!$D$318*C66+'Reference Curves'!$D$319),2))))</f>
        <v/>
      </c>
      <c r="E66" s="501" t="str">
        <f>IFERROR(ROUND(AVERAGE(D66:D71),2),"")</f>
        <v/>
      </c>
      <c r="F66" s="81"/>
      <c r="G66" s="234" t="str">
        <f>IF(F66="","",IF(OR(F66&gt;=2,F66&lt;=0),0,IF(AND(F66&gt;=0.9,F66&lt;=1.1),1,ROUND(IF(F66&lt;0.9,'Reference Curves'!$C$318*F66+'Reference Curves'!$C$319,'Reference Curves'!$D$318*F66+'Reference Curves'!$D$319),2))))</f>
        <v/>
      </c>
      <c r="H66" s="501" t="str">
        <f>IFERROR(ROUND(AVERAGE(G66:G71),2),"")</f>
        <v/>
      </c>
    </row>
    <row r="67" spans="1:8" ht="15.75" x14ac:dyDescent="0.5">
      <c r="A67" s="608" t="s">
        <v>257</v>
      </c>
      <c r="B67" s="609"/>
      <c r="C67" s="80"/>
      <c r="D67" s="235" t="str">
        <f>IF(C67="","",IF(OR(C67&gt;=2,C67&lt;=0),0,IF(AND(C67&gt;=0.9,C67&lt;=1.1),1,ROUND(IF(C67&lt;0.9,'Reference Curves'!$C$318*C67+'Reference Curves'!$C$319,'Reference Curves'!$D$318*C67+'Reference Curves'!$D$319),2))))</f>
        <v/>
      </c>
      <c r="E67" s="502"/>
      <c r="F67" s="80"/>
      <c r="G67" s="235" t="str">
        <f>IF(F67="","",IF(OR(F67&gt;=2,F67&lt;=0),0,IF(AND(F67&gt;=0.9,F67&lt;=1.1),1,ROUND(IF(F67&lt;0.9,'Reference Curves'!$C$318*F67+'Reference Curves'!$C$319,'Reference Curves'!$D$318*F67+'Reference Curves'!$D$319),2))))</f>
        <v/>
      </c>
      <c r="H67" s="502"/>
    </row>
    <row r="68" spans="1:8" ht="15.75" x14ac:dyDescent="0.5">
      <c r="A68" s="608" t="s">
        <v>258</v>
      </c>
      <c r="B68" s="609"/>
      <c r="C68" s="80"/>
      <c r="D68" s="235" t="str">
        <f>IF(C68="","",IF(OR(C68&gt;=2,C68&lt;=0),0,IF(AND(C68&gt;=0.9,C68&lt;=1.1),1,ROUND(IF(C68&lt;0.9,'Reference Curves'!$C$318*C68+'Reference Curves'!$C$319,'Reference Curves'!$D$318*C68+'Reference Curves'!$D$319),2))))</f>
        <v/>
      </c>
      <c r="E68" s="502"/>
      <c r="F68" s="80"/>
      <c r="G68" s="235" t="str">
        <f>IF(F68="","",IF(OR(F68&gt;=2,F68&lt;=0),0,IF(AND(F68&gt;=0.9,F68&lt;=1.1),1,ROUND(IF(F68&lt;0.9,'Reference Curves'!$C$318*F68+'Reference Curves'!$C$319,'Reference Curves'!$D$318*F68+'Reference Curves'!$D$319),2))))</f>
        <v/>
      </c>
      <c r="H68" s="502"/>
    </row>
    <row r="69" spans="1:8" ht="15.75" x14ac:dyDescent="0.5">
      <c r="A69" s="608" t="s">
        <v>259</v>
      </c>
      <c r="B69" s="609"/>
      <c r="C69" s="80"/>
      <c r="D69" s="235" t="str">
        <f>IF(C69="","",IF(OR(C69&gt;=2,C69&lt;=0),0,IF(AND(C69&gt;=0.9,C69&lt;=1.1),1,ROUND(IF(C69&lt;0.9,'Reference Curves'!$C$318*C69+'Reference Curves'!$C$319,'Reference Curves'!$D$318*C69+'Reference Curves'!$D$319),2))))</f>
        <v/>
      </c>
      <c r="E69" s="502"/>
      <c r="F69" s="80"/>
      <c r="G69" s="235" t="str">
        <f>IF(F69="","",IF(OR(F69&gt;=2,F69&lt;=0),0,IF(AND(F69&gt;=0.9,F69&lt;=1.1),1,ROUND(IF(F69&lt;0.9,'Reference Curves'!$C$318*F69+'Reference Curves'!$C$319,'Reference Curves'!$D$318*F69+'Reference Curves'!$D$319),2))))</f>
        <v/>
      </c>
      <c r="H69" s="502"/>
    </row>
    <row r="70" spans="1:8" ht="15.75" x14ac:dyDescent="0.5">
      <c r="A70" s="608" t="s">
        <v>260</v>
      </c>
      <c r="B70" s="609"/>
      <c r="C70" s="263"/>
      <c r="D70" s="235" t="str">
        <f>IF(C70="","",IF(OR(C70&gt;=2,C70&lt;=0),0,IF(AND(C70&gt;=0.9,C70&lt;=1.1),1,ROUND(IF(C70&lt;0.9,'Reference Curves'!$C$318*C70+'Reference Curves'!$C$319,'Reference Curves'!$D$318*C70+'Reference Curves'!$D$319),2))))</f>
        <v/>
      </c>
      <c r="E70" s="502"/>
      <c r="F70" s="263"/>
      <c r="G70" s="235" t="str">
        <f>IF(F70="","",IF(OR(F70&gt;=2,F70&lt;=0),0,IF(AND(F70&gt;=0.9,F70&lt;=1.1),1,ROUND(IF(F70&lt;0.9,'Reference Curves'!$C$318*F70+'Reference Curves'!$C$319,'Reference Curves'!$D$318*F70+'Reference Curves'!$D$319),2))))</f>
        <v/>
      </c>
      <c r="H70" s="502"/>
    </row>
    <row r="71" spans="1:8" ht="15.75" x14ac:dyDescent="0.5">
      <c r="A71" s="604" t="s">
        <v>318</v>
      </c>
      <c r="B71" s="605"/>
      <c r="C71" s="84"/>
      <c r="D71" s="245" t="str">
        <f>IF(C71="","",IF(OR(C71&gt;=2,C71&lt;=0),0,IF(AND(C71&gt;=0.9,C71&lt;=1.1),1,ROUND(IF(C71&lt;0.9,'Reference Curves'!$C$318*C71+'Reference Curves'!$C$319,'Reference Curves'!$D$318*C71+'Reference Curves'!$D$319),2))))</f>
        <v/>
      </c>
      <c r="E71" s="503"/>
      <c r="F71" s="84"/>
      <c r="G71" s="245" t="str">
        <f>IF(F71="","",IF(OR(F71&gt;=2,F71&lt;=0),0,IF(AND(F71&gt;=0.9,F71&lt;=1.1),1,ROUND(IF(F71&lt;0.9,'Reference Curves'!$C$318*F71+'Reference Curves'!$C$319,'Reference Curves'!$D$318*F71+'Reference Curves'!$D$319),2))))</f>
        <v/>
      </c>
      <c r="H71" s="503"/>
    </row>
  </sheetData>
  <sheetProtection algorithmName="SHA-512" hashValue="G9nEbRh8WUye5UjUgO+lwgP9PkAAvC7bvS7L5aiJ9Hah8oWc+g9J9s/5ibwBeWl/8jZ99l3qajFCCxKFH3Phow==" saltValue="JsuHd/Y0WT+X0e8Tgqsprw==" spinCount="100000" sheet="1" formatColumns="0" formatRows="0"/>
  <dataConsolidate link="1"/>
  <mergeCells count="80">
    <mergeCell ref="F19:H19"/>
    <mergeCell ref="H39:H44"/>
    <mergeCell ref="D28:E28"/>
    <mergeCell ref="G28:H28"/>
    <mergeCell ref="H30:H35"/>
    <mergeCell ref="H21:H26"/>
    <mergeCell ref="C19:E19"/>
    <mergeCell ref="D37:E37"/>
    <mergeCell ref="G37:H37"/>
    <mergeCell ref="E39:E44"/>
    <mergeCell ref="E30:E35"/>
    <mergeCell ref="D64:E64"/>
    <mergeCell ref="G64:H64"/>
    <mergeCell ref="D55:E55"/>
    <mergeCell ref="G55:H55"/>
    <mergeCell ref="D46:E46"/>
    <mergeCell ref="G46:H46"/>
    <mergeCell ref="A65:B65"/>
    <mergeCell ref="A66:B66"/>
    <mergeCell ref="E66:E71"/>
    <mergeCell ref="H66:H71"/>
    <mergeCell ref="A67:B67"/>
    <mergeCell ref="A68:B68"/>
    <mergeCell ref="A69:B69"/>
    <mergeCell ref="A70:B70"/>
    <mergeCell ref="A71:B71"/>
    <mergeCell ref="A56:B56"/>
    <mergeCell ref="A57:B57"/>
    <mergeCell ref="E57:E62"/>
    <mergeCell ref="H57:H62"/>
    <mergeCell ref="A58:B58"/>
    <mergeCell ref="A59:B59"/>
    <mergeCell ref="A60:B60"/>
    <mergeCell ref="A61:B61"/>
    <mergeCell ref="A62:B62"/>
    <mergeCell ref="A47:B47"/>
    <mergeCell ref="A48:B48"/>
    <mergeCell ref="E48:E53"/>
    <mergeCell ref="H48:H53"/>
    <mergeCell ref="A49:B49"/>
    <mergeCell ref="A50:B50"/>
    <mergeCell ref="A51:B51"/>
    <mergeCell ref="A52:B52"/>
    <mergeCell ref="A53:B53"/>
    <mergeCell ref="A29:B29"/>
    <mergeCell ref="A31:B31"/>
    <mergeCell ref="A32:B32"/>
    <mergeCell ref="A33:B33"/>
    <mergeCell ref="A34:B34"/>
    <mergeCell ref="A41:B41"/>
    <mergeCell ref="A42:B42"/>
    <mergeCell ref="A43:B43"/>
    <mergeCell ref="A44:B44"/>
    <mergeCell ref="A30:B30"/>
    <mergeCell ref="A40:B40"/>
    <mergeCell ref="A38:B38"/>
    <mergeCell ref="A39:B39"/>
    <mergeCell ref="A35:B35"/>
    <mergeCell ref="A20:B20"/>
    <mergeCell ref="E21:E26"/>
    <mergeCell ref="A26:B26"/>
    <mergeCell ref="A21:B21"/>
    <mergeCell ref="A22:B22"/>
    <mergeCell ref="A23:B23"/>
    <mergeCell ref="A24:B24"/>
    <mergeCell ref="A25:B25"/>
    <mergeCell ref="A8:B10"/>
    <mergeCell ref="A3:B4"/>
    <mergeCell ref="D9:F9"/>
    <mergeCell ref="D10:F10"/>
    <mergeCell ref="D11:F11"/>
    <mergeCell ref="D8:G8"/>
    <mergeCell ref="D3:H3"/>
    <mergeCell ref="D4:H4"/>
    <mergeCell ref="D5:H5"/>
    <mergeCell ref="D12:F12"/>
    <mergeCell ref="D13:F13"/>
    <mergeCell ref="D14:F14"/>
    <mergeCell ref="D15:F15"/>
    <mergeCell ref="D16:F16"/>
  </mergeCells>
  <conditionalFormatting sqref="I18 G27 I12:J17">
    <cfRule type="containsText" dxfId="42" priority="136" stopIfTrue="1" operator="containsText" text="Not Functioning">
      <formula>NOT(ISERROR(SEARCH("Not Functioning",G12)))</formula>
    </cfRule>
    <cfRule type="containsText" dxfId="41" priority="137" operator="containsText" text="Functioning">
      <formula>NOT(ISERROR(SEARCH("Functioning",G12)))</formula>
    </cfRule>
  </conditionalFormatting>
  <conditionalFormatting sqref="E21:E26">
    <cfRule type="expression" priority="45" stopIfTrue="1">
      <formula>E21=""</formula>
    </cfRule>
    <cfRule type="expression" dxfId="40" priority="121" stopIfTrue="1">
      <formula>E21&lt;0.3</formula>
    </cfRule>
    <cfRule type="expression" dxfId="39" priority="122" stopIfTrue="1">
      <formula>+E21&gt;=0.7</formula>
    </cfRule>
    <cfRule type="expression" dxfId="38" priority="123" stopIfTrue="1">
      <formula>+E21&gt;=0.3</formula>
    </cfRule>
  </conditionalFormatting>
  <conditionalFormatting sqref="H21:H26">
    <cfRule type="expression" priority="41" stopIfTrue="1">
      <formula>H21=""</formula>
    </cfRule>
    <cfRule type="expression" dxfId="37" priority="42" stopIfTrue="1">
      <formula>H21&lt;0.3</formula>
    </cfRule>
    <cfRule type="expression" dxfId="36" priority="43" stopIfTrue="1">
      <formula>+H21&gt;=0.7</formula>
    </cfRule>
    <cfRule type="expression" dxfId="35" priority="44" stopIfTrue="1">
      <formula>+H21&gt;=0.3</formula>
    </cfRule>
  </conditionalFormatting>
  <conditionalFormatting sqref="E30:E35">
    <cfRule type="expression" priority="37" stopIfTrue="1">
      <formula>E30=""</formula>
    </cfRule>
    <cfRule type="expression" dxfId="34" priority="38" stopIfTrue="1">
      <formula>E30&lt;0.3</formula>
    </cfRule>
    <cfRule type="expression" dxfId="33" priority="39" stopIfTrue="1">
      <formula>+E30&gt;=0.7</formula>
    </cfRule>
    <cfRule type="expression" dxfId="32" priority="40" stopIfTrue="1">
      <formula>+E30&gt;=0.3</formula>
    </cfRule>
  </conditionalFormatting>
  <conditionalFormatting sqref="H30:H35">
    <cfRule type="expression" priority="33" stopIfTrue="1">
      <formula>H30=""</formula>
    </cfRule>
    <cfRule type="expression" dxfId="31" priority="34" stopIfTrue="1">
      <formula>H30&lt;0.3</formula>
    </cfRule>
    <cfRule type="expression" dxfId="30" priority="35" stopIfTrue="1">
      <formula>+H30&gt;=0.7</formula>
    </cfRule>
    <cfRule type="expression" dxfId="29" priority="36" stopIfTrue="1">
      <formula>+H30&gt;=0.3</formula>
    </cfRule>
  </conditionalFormatting>
  <conditionalFormatting sqref="E39:E44">
    <cfRule type="expression" priority="29" stopIfTrue="1">
      <formula>E39=""</formula>
    </cfRule>
    <cfRule type="expression" dxfId="28" priority="30" stopIfTrue="1">
      <formula>E39&lt;0.3</formula>
    </cfRule>
    <cfRule type="expression" dxfId="27" priority="31" stopIfTrue="1">
      <formula>+E39&gt;=0.7</formula>
    </cfRule>
    <cfRule type="expression" dxfId="26" priority="32" stopIfTrue="1">
      <formula>+E39&gt;=0.3</formula>
    </cfRule>
  </conditionalFormatting>
  <conditionalFormatting sqref="H39:H44">
    <cfRule type="expression" priority="25" stopIfTrue="1">
      <formula>H39=""</formula>
    </cfRule>
    <cfRule type="expression" dxfId="25" priority="26" stopIfTrue="1">
      <formula>H39&lt;0.3</formula>
    </cfRule>
    <cfRule type="expression" dxfId="24" priority="27" stopIfTrue="1">
      <formula>+H39&gt;=0.7</formula>
    </cfRule>
    <cfRule type="expression" dxfId="23" priority="28" stopIfTrue="1">
      <formula>+H39&gt;=0.3</formula>
    </cfRule>
  </conditionalFormatting>
  <conditionalFormatting sqref="E48:E53">
    <cfRule type="expression" priority="21" stopIfTrue="1">
      <formula>E48=""</formula>
    </cfRule>
    <cfRule type="expression" dxfId="22" priority="22" stopIfTrue="1">
      <formula>E48&lt;0.3</formula>
    </cfRule>
    <cfRule type="expression" dxfId="21" priority="23" stopIfTrue="1">
      <formula>+E48&gt;=0.7</formula>
    </cfRule>
    <cfRule type="expression" dxfId="20" priority="24" stopIfTrue="1">
      <formula>+E48&gt;=0.3</formula>
    </cfRule>
  </conditionalFormatting>
  <conditionalFormatting sqref="H48:H53">
    <cfRule type="expression" priority="17" stopIfTrue="1">
      <formula>H48=""</formula>
    </cfRule>
    <cfRule type="expression" dxfId="19" priority="18" stopIfTrue="1">
      <formula>H48&lt;0.3</formula>
    </cfRule>
    <cfRule type="expression" dxfId="18" priority="19" stopIfTrue="1">
      <formula>+H48&gt;=0.7</formula>
    </cfRule>
    <cfRule type="expression" dxfId="17" priority="20" stopIfTrue="1">
      <formula>+H48&gt;=0.3</formula>
    </cfRule>
  </conditionalFormatting>
  <conditionalFormatting sqref="E57:E62">
    <cfRule type="expression" priority="13" stopIfTrue="1">
      <formula>E57=""</formula>
    </cfRule>
    <cfRule type="expression" dxfId="16" priority="14" stopIfTrue="1">
      <formula>E57&lt;0.3</formula>
    </cfRule>
    <cfRule type="expression" dxfId="15" priority="15" stopIfTrue="1">
      <formula>+E57&gt;=0.7</formula>
    </cfRule>
    <cfRule type="expression" dxfId="14" priority="16" stopIfTrue="1">
      <formula>+E57&gt;=0.3</formula>
    </cfRule>
  </conditionalFormatting>
  <conditionalFormatting sqref="H57:H62">
    <cfRule type="expression" priority="9" stopIfTrue="1">
      <formula>H57=""</formula>
    </cfRule>
    <cfRule type="expression" dxfId="13" priority="10" stopIfTrue="1">
      <formula>H57&lt;0.3</formula>
    </cfRule>
    <cfRule type="expression" dxfId="12" priority="11" stopIfTrue="1">
      <formula>+H57&gt;=0.7</formula>
    </cfRule>
    <cfRule type="expression" dxfId="11" priority="12" stopIfTrue="1">
      <formula>+H57&gt;=0.3</formula>
    </cfRule>
  </conditionalFormatting>
  <conditionalFormatting sqref="E66:E71">
    <cfRule type="expression" priority="5" stopIfTrue="1">
      <formula>E66=""</formula>
    </cfRule>
    <cfRule type="expression" dxfId="10" priority="6" stopIfTrue="1">
      <formula>E66&lt;0.3</formula>
    </cfRule>
    <cfRule type="expression" dxfId="9" priority="7" stopIfTrue="1">
      <formula>+E66&gt;=0.7</formula>
    </cfRule>
    <cfRule type="expression" dxfId="8" priority="8" stopIfTrue="1">
      <formula>+E66&gt;=0.3</formula>
    </cfRule>
  </conditionalFormatting>
  <conditionalFormatting sqref="H66:H71">
    <cfRule type="expression" priority="1" stopIfTrue="1">
      <formula>H66=""</formula>
    </cfRule>
    <cfRule type="expression" dxfId="7" priority="2" stopIfTrue="1">
      <formula>H66&lt;0.3</formula>
    </cfRule>
    <cfRule type="expression" dxfId="6" priority="3" stopIfTrue="1">
      <formula>+H66&gt;=0.7</formula>
    </cfRule>
    <cfRule type="expression" dxfId="5" priority="4" stopIfTrue="1">
      <formula>+H66&gt;=0.3</formula>
    </cfRule>
  </conditionalFormatting>
  <dataValidations count="3">
    <dataValidation allowBlank="1" showErrorMessage="1" prompt="Select catchment conditon level from the completed catchment assessment form. " sqref="C21:C26 F30:F35 F21:F26 C30:C35 F39:F44 C48:C53 C57:C62 C39:C44 F48:F53 C66:C71 F57:F62 F66:F71" xr:uid="{E838DB1A-9DBF-4055-84C1-4E8DE61ACE47}"/>
    <dataValidation allowBlank="1" showErrorMessage="1" prompt="Leave field value blank if not a coldwater stream." sqref="D27" xr:uid="{4B97601B-8E82-4EB3-9F08-73123D21BC29}"/>
    <dataValidation allowBlank="1" showInputMessage="1" showErrorMessage="1" prompt="Type entry into gray cells." sqref="B5" xr:uid="{11E429C9-2F09-458A-95C9-3D5198584C12}"/>
  </dataValidations>
  <pageMargins left="0.25" right="0.25" top="0.75" bottom="0.75" header="0.3" footer="0.3"/>
  <pageSetup scale="88" fitToHeight="0" orientation="landscape" r:id="rId1"/>
  <headerFooter>
    <oddFooter>&amp;LCSQT v1.0
Flow Alteration Module</oddFooter>
  </headerFooter>
  <rowBreaks count="2" manualBreakCount="2">
    <brk id="26" max="16383" man="1"/>
    <brk id="53" max="16383" man="1"/>
  </rowBreaks>
  <extLst>
    <ext xmlns:x14="http://schemas.microsoft.com/office/spreadsheetml/2009/9/main" uri="{78C0D931-6437-407d-A8EE-F0AAD7539E65}">
      <x14:conditionalFormattings>
        <x14:conditionalFormatting xmlns:xm="http://schemas.microsoft.com/office/excel/2006/main">
          <x14:cfRule type="containsText" priority="144" stopIfTrue="1" operator="containsText" text="Functioning At Risk" id="{6355AC77-2E91-4A00-8020-3150A568E1A4}">
            <xm:f>NOT(ISERROR(SEARCH("Functioning At Risk",'Monitoring Data'!I19)))</xm:f>
            <x14:dxf>
              <fill>
                <patternFill>
                  <bgColor rgb="FFFFFF00"/>
                </patternFill>
              </fill>
            </x14:dxf>
          </x14:cfRule>
          <xm:sqref>I18</xm:sqref>
        </x14:conditionalFormatting>
        <x14:conditionalFormatting xmlns:xm="http://schemas.microsoft.com/office/excel/2006/main">
          <x14:cfRule type="containsText" priority="147" stopIfTrue="1" operator="containsText" text="Functioning At Risk" id="{DFE1DD06-0945-4D3A-A5C9-90B72CBBCB37}">
            <xm:f>NOT(ISERROR(SEARCH("Functioning At Risk",'Monitoring Data'!#REF!)))</xm:f>
            <x14:dxf>
              <fill>
                <patternFill>
                  <bgColor rgb="FFFFFF00"/>
                </patternFill>
              </fill>
            </x14:dxf>
          </x14:cfRule>
          <xm:sqref>J12:J17</xm:sqref>
        </x14:conditionalFormatting>
        <x14:conditionalFormatting xmlns:xm="http://schemas.microsoft.com/office/excel/2006/main">
          <x14:cfRule type="containsText" priority="156" stopIfTrue="1" operator="containsText" text="Functioning At Risk" id="{C1186476-0FA5-4988-AA88-965D39197008}">
            <xm:f>NOT(ISERROR(SEARCH("Functioning At Risk",'Monitoring Data'!I12)))</xm:f>
            <x14:dxf>
              <fill>
                <patternFill>
                  <bgColor rgb="FFFFFF00"/>
                </patternFill>
              </fill>
            </x14:dxf>
          </x14:cfRule>
          <xm:sqref>I16:I17 I12:I14</xm:sqref>
        </x14:conditionalFormatting>
        <x14:conditionalFormatting xmlns:xm="http://schemas.microsoft.com/office/excel/2006/main">
          <x14:cfRule type="containsText" priority="620" stopIfTrue="1" operator="containsText" text="Functioning At Risk" id="{0AD2F23C-78C6-4C5B-8D84-67E982F45A25}">
            <xm:f>NOT(ISERROR(SEARCH("Functioning At Risk",'Monitoring Data'!I22)))</xm:f>
            <x14:dxf>
              <fill>
                <patternFill>
                  <bgColor rgb="FFFFFF00"/>
                </patternFill>
              </fill>
            </x14:dxf>
          </x14:cfRule>
          <xm:sqref>G27</xm:sqref>
        </x14:conditionalFormatting>
        <x14:conditionalFormatting xmlns:xm="http://schemas.microsoft.com/office/excel/2006/main">
          <x14:cfRule type="containsText" priority="717" stopIfTrue="1" operator="containsText" text="Functioning At Risk" id="{0AD2F23C-78C6-4C5B-8D84-67E982F45A25}">
            <xm:f>NOT(ISERROR(SEARCH("Functioning At Risk",'Monitoring Data'!#REF!)))</xm:f>
            <x14:dxf>
              <fill>
                <patternFill>
                  <bgColor rgb="FFFFFF00"/>
                </patternFill>
              </fill>
            </x14:dxf>
          </x14:cfRule>
          <xm:sqref>I15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O859"/>
  <sheetViews>
    <sheetView zoomScale="85" zoomScaleNormal="85" workbookViewId="0">
      <selection activeCell="AB85" sqref="AB85"/>
    </sheetView>
  </sheetViews>
  <sheetFormatPr defaultColWidth="9.1328125" defaultRowHeight="14.25" x14ac:dyDescent="0.45"/>
  <cols>
    <col min="1" max="10" width="11.73046875" style="92" customWidth="1"/>
    <col min="11" max="11" width="16.3984375" style="92" customWidth="1"/>
    <col min="12" max="25" width="11.73046875" style="92" customWidth="1"/>
    <col min="26" max="26" width="7" style="92" customWidth="1"/>
    <col min="27" max="41" width="11.73046875" style="92" customWidth="1"/>
    <col min="42" max="16384" width="9.1328125" style="92"/>
  </cols>
  <sheetData>
    <row r="1" spans="1:41" x14ac:dyDescent="0.45">
      <c r="A1" s="92" t="s">
        <v>105</v>
      </c>
    </row>
    <row r="2" spans="1:41" x14ac:dyDescent="0.45">
      <c r="A2" s="92" t="s">
        <v>172</v>
      </c>
    </row>
    <row r="3" spans="1:41" x14ac:dyDescent="0.45">
      <c r="A3" s="92" t="s">
        <v>106</v>
      </c>
    </row>
    <row r="4" spans="1:41" x14ac:dyDescent="0.45">
      <c r="A4" t="s">
        <v>330</v>
      </c>
    </row>
    <row r="6" spans="1:41" ht="15" customHeight="1" x14ac:dyDescent="0.45">
      <c r="B6" s="613" t="s">
        <v>232</v>
      </c>
      <c r="C6" s="613"/>
      <c r="D6" s="613"/>
      <c r="E6" s="613"/>
      <c r="F6" s="613"/>
      <c r="G6" s="613"/>
      <c r="H6" s="613"/>
      <c r="J6" s="613" t="s">
        <v>67</v>
      </c>
      <c r="K6" s="613"/>
      <c r="L6" s="613"/>
      <c r="M6" s="613"/>
      <c r="N6" s="613"/>
      <c r="O6" s="613"/>
      <c r="P6" s="613"/>
      <c r="R6" s="613" t="s">
        <v>68</v>
      </c>
      <c r="S6" s="613"/>
      <c r="T6" s="613"/>
      <c r="U6" s="613"/>
      <c r="V6" s="613"/>
      <c r="W6" s="613"/>
      <c r="X6" s="613"/>
      <c r="Y6" s="613"/>
      <c r="Z6" s="93"/>
      <c r="AA6" s="613" t="s">
        <v>69</v>
      </c>
      <c r="AB6" s="613"/>
      <c r="AC6" s="613"/>
      <c r="AD6" s="613"/>
      <c r="AE6" s="613"/>
      <c r="AF6" s="613"/>
      <c r="AG6" s="613"/>
    </row>
    <row r="7" spans="1:41" ht="15" customHeight="1" x14ac:dyDescent="0.45">
      <c r="A7" s="94"/>
      <c r="B7" s="613"/>
      <c r="C7" s="613"/>
      <c r="D7" s="613"/>
      <c r="E7" s="613"/>
      <c r="F7" s="613"/>
      <c r="G7" s="613"/>
      <c r="H7" s="613"/>
      <c r="J7" s="613"/>
      <c r="K7" s="613"/>
      <c r="L7" s="613"/>
      <c r="M7" s="613"/>
      <c r="N7" s="613"/>
      <c r="O7" s="613"/>
      <c r="P7" s="613"/>
      <c r="R7" s="613"/>
      <c r="S7" s="613"/>
      <c r="T7" s="613"/>
      <c r="U7" s="613"/>
      <c r="V7" s="613"/>
      <c r="W7" s="613"/>
      <c r="X7" s="613"/>
      <c r="Y7" s="613"/>
      <c r="Z7" s="93"/>
      <c r="AA7" s="613"/>
      <c r="AB7" s="613"/>
      <c r="AC7" s="613"/>
      <c r="AD7" s="613"/>
      <c r="AE7" s="613"/>
      <c r="AF7" s="613"/>
      <c r="AG7" s="613"/>
    </row>
    <row r="8" spans="1:41" x14ac:dyDescent="0.45">
      <c r="B8" s="94"/>
      <c r="C8" s="94"/>
      <c r="D8" s="94"/>
      <c r="E8" s="94"/>
      <c r="F8" s="94"/>
      <c r="G8" s="94"/>
      <c r="H8" s="94"/>
      <c r="I8" s="93"/>
      <c r="J8" s="93"/>
      <c r="K8" s="93"/>
      <c r="L8" s="93"/>
      <c r="AM8"/>
      <c r="AN8"/>
      <c r="AO8"/>
    </row>
    <row r="9" spans="1:41" ht="14.65" thickBot="1" x14ac:dyDescent="0.5">
      <c r="B9" t="s">
        <v>185</v>
      </c>
      <c r="J9" s="92" t="s">
        <v>18</v>
      </c>
      <c r="R9" t="s">
        <v>245</v>
      </c>
      <c r="AA9" t="s">
        <v>249</v>
      </c>
    </row>
    <row r="10" spans="1:41" x14ac:dyDescent="0.45">
      <c r="B10" s="141" t="s">
        <v>12</v>
      </c>
      <c r="C10" s="96"/>
      <c r="D10" s="241"/>
      <c r="E10" s="241"/>
      <c r="F10" s="96"/>
      <c r="G10" s="96">
        <v>62</v>
      </c>
      <c r="H10" s="97">
        <v>55</v>
      </c>
      <c r="J10" s="95" t="s">
        <v>12</v>
      </c>
      <c r="K10" s="99">
        <v>0</v>
      </c>
      <c r="L10" s="99"/>
      <c r="M10" s="99"/>
      <c r="N10" s="99"/>
      <c r="O10" s="99">
        <v>430</v>
      </c>
      <c r="P10" s="100">
        <v>660</v>
      </c>
      <c r="R10" s="95" t="s">
        <v>236</v>
      </c>
      <c r="S10" s="96"/>
      <c r="T10" s="142"/>
      <c r="U10" s="96">
        <v>16.899999999999999</v>
      </c>
      <c r="V10" s="96"/>
      <c r="W10" s="96"/>
      <c r="X10" s="97">
        <v>13.8</v>
      </c>
      <c r="AA10" s="141" t="s">
        <v>281</v>
      </c>
      <c r="AB10" s="145">
        <v>0</v>
      </c>
      <c r="AC10" s="219">
        <v>34</v>
      </c>
      <c r="AD10" s="219"/>
      <c r="AE10" s="220"/>
      <c r="AF10" s="220">
        <v>45</v>
      </c>
      <c r="AG10" s="223">
        <v>56</v>
      </c>
    </row>
    <row r="11" spans="1:41" ht="14.65" thickBot="1" x14ac:dyDescent="0.5">
      <c r="B11" s="103" t="s">
        <v>13</v>
      </c>
      <c r="C11" s="104">
        <v>0</v>
      </c>
      <c r="D11" s="104">
        <v>0.28999999999999998</v>
      </c>
      <c r="E11" s="105">
        <v>0.3</v>
      </c>
      <c r="F11" s="105">
        <v>0.69</v>
      </c>
      <c r="G11" s="107">
        <v>0.7</v>
      </c>
      <c r="H11" s="108">
        <v>1</v>
      </c>
      <c r="J11" s="103" t="s">
        <v>13</v>
      </c>
      <c r="K11" s="104">
        <v>0</v>
      </c>
      <c r="L11" s="104">
        <v>0.28999999999999998</v>
      </c>
      <c r="M11" s="105">
        <v>0.3</v>
      </c>
      <c r="N11" s="105">
        <v>0.69</v>
      </c>
      <c r="O11" s="107">
        <v>0.7</v>
      </c>
      <c r="P11" s="108">
        <v>1</v>
      </c>
      <c r="R11" s="98" t="s">
        <v>237</v>
      </c>
      <c r="U11" s="92">
        <v>17</v>
      </c>
      <c r="X11" s="292">
        <v>15.7</v>
      </c>
      <c r="AA11" s="232" t="s">
        <v>282</v>
      </c>
      <c r="AB11" s="144">
        <v>0</v>
      </c>
      <c r="AC11" s="224">
        <v>40</v>
      </c>
      <c r="AD11" s="221"/>
      <c r="AE11" s="222"/>
      <c r="AF11" s="222">
        <v>48</v>
      </c>
      <c r="AG11" s="225">
        <v>62</v>
      </c>
    </row>
    <row r="12" spans="1:41" ht="15" customHeight="1" x14ac:dyDescent="0.45">
      <c r="C12"/>
      <c r="J12" s="93"/>
      <c r="K12" s="93"/>
      <c r="L12" s="93"/>
      <c r="M12" s="93"/>
      <c r="N12" s="93"/>
      <c r="O12" s="93"/>
      <c r="P12" s="93"/>
      <c r="R12" s="98" t="s">
        <v>238</v>
      </c>
      <c r="U12" s="92">
        <v>18.3</v>
      </c>
      <c r="X12" s="292">
        <v>16.600000000000001</v>
      </c>
      <c r="AA12" s="215" t="s">
        <v>280</v>
      </c>
      <c r="AB12" s="144">
        <v>0</v>
      </c>
      <c r="AC12" s="224">
        <v>29</v>
      </c>
      <c r="AD12" s="221"/>
      <c r="AE12" s="222"/>
      <c r="AF12" s="222">
        <v>42</v>
      </c>
      <c r="AG12" s="225">
        <v>51</v>
      </c>
    </row>
    <row r="13" spans="1:41" ht="15" customHeight="1" thickBot="1" x14ac:dyDescent="0.5">
      <c r="B13" t="s">
        <v>221</v>
      </c>
      <c r="C13" s="113"/>
      <c r="E13" s="113"/>
      <c r="K13" s="37" t="s">
        <v>222</v>
      </c>
      <c r="L13" s="110" t="s">
        <v>73</v>
      </c>
      <c r="R13" s="98" t="s">
        <v>239</v>
      </c>
      <c r="U13" s="92">
        <v>24.2</v>
      </c>
      <c r="X13" s="292">
        <v>20.9</v>
      </c>
      <c r="AA13" s="103" t="s">
        <v>4</v>
      </c>
      <c r="AB13" s="104">
        <v>0</v>
      </c>
      <c r="AC13" s="104">
        <v>0.28999999999999998</v>
      </c>
      <c r="AD13" s="105">
        <v>0.3</v>
      </c>
      <c r="AE13" s="105">
        <v>0.69</v>
      </c>
      <c r="AF13" s="107">
        <v>0.7</v>
      </c>
      <c r="AG13" s="108">
        <v>1</v>
      </c>
    </row>
    <row r="14" spans="1:41" x14ac:dyDescent="0.45">
      <c r="B14" s="37" t="s">
        <v>94</v>
      </c>
      <c r="C14" s="244">
        <v>-4.2900000000000001E-2</v>
      </c>
      <c r="E14" s="113"/>
      <c r="J14" t="s">
        <v>221</v>
      </c>
      <c r="R14" s="98" t="s">
        <v>240</v>
      </c>
      <c r="U14" s="92">
        <v>27.5</v>
      </c>
      <c r="X14" s="292">
        <v>22.5</v>
      </c>
    </row>
    <row r="15" spans="1:41" ht="14.45" customHeight="1" x14ac:dyDescent="0.45">
      <c r="B15" s="37" t="s">
        <v>95</v>
      </c>
      <c r="C15" s="113">
        <v>3.3571</v>
      </c>
      <c r="D15"/>
      <c r="E15" s="112"/>
      <c r="J15" s="37" t="s">
        <v>94</v>
      </c>
      <c r="K15" s="92">
        <f>1.63*10^-3</f>
        <v>1.6299999999999999E-3</v>
      </c>
      <c r="L15" s="92">
        <v>1.2999999999999999E-3</v>
      </c>
      <c r="R15" s="98" t="s">
        <v>241</v>
      </c>
      <c r="U15" s="92">
        <v>28.7</v>
      </c>
      <c r="X15" s="111">
        <v>25.9</v>
      </c>
      <c r="AB15" s="614" t="str">
        <f>AA10</f>
        <v>Biotype 1</v>
      </c>
      <c r="AC15" s="614"/>
      <c r="AD15" s="614"/>
      <c r="AE15" s="612" t="str">
        <f>AA11</f>
        <v>Biotype 2</v>
      </c>
      <c r="AF15" s="612"/>
      <c r="AG15" s="612"/>
      <c r="AH15" s="612" t="str">
        <f>AA12</f>
        <v>Biotype 3</v>
      </c>
      <c r="AI15" s="612"/>
      <c r="AJ15" s="612"/>
    </row>
    <row r="16" spans="1:41" ht="14.65" thickBot="1" x14ac:dyDescent="0.5">
      <c r="B16" s="110"/>
      <c r="J16" s="37" t="s">
        <v>95</v>
      </c>
      <c r="K16" s="92">
        <v>0</v>
      </c>
      <c r="L16" s="164">
        <v>0.13913</v>
      </c>
      <c r="R16" s="103" t="s">
        <v>4</v>
      </c>
      <c r="S16" s="104">
        <v>0</v>
      </c>
      <c r="T16" s="104">
        <v>0.28999999999999998</v>
      </c>
      <c r="U16" s="105">
        <v>0.3</v>
      </c>
      <c r="V16" s="105">
        <v>0.69</v>
      </c>
      <c r="W16" s="107">
        <v>0.7</v>
      </c>
      <c r="X16" s="108">
        <v>1</v>
      </c>
      <c r="AB16" s="43" t="s">
        <v>96</v>
      </c>
      <c r="AC16" s="43" t="s">
        <v>157</v>
      </c>
      <c r="AD16" s="43" t="s">
        <v>73</v>
      </c>
      <c r="AE16" s="43" t="s">
        <v>96</v>
      </c>
      <c r="AF16" s="43" t="s">
        <v>157</v>
      </c>
      <c r="AG16" s="43" t="s">
        <v>73</v>
      </c>
      <c r="AH16" s="43" t="s">
        <v>96</v>
      </c>
      <c r="AI16" s="43" t="s">
        <v>157</v>
      </c>
      <c r="AJ16" s="43" t="s">
        <v>73</v>
      </c>
      <c r="AK16" s="114"/>
      <c r="AL16" s="43"/>
    </row>
    <row r="17" spans="17:36" x14ac:dyDescent="0.45">
      <c r="AA17" s="92" t="s">
        <v>171</v>
      </c>
      <c r="AJ17" s="114"/>
    </row>
    <row r="18" spans="17:36" x14ac:dyDescent="0.45">
      <c r="R18"/>
      <c r="S18" s="213" t="s">
        <v>236</v>
      </c>
      <c r="T18" s="214" t="s">
        <v>237</v>
      </c>
      <c r="U18" s="214" t="s">
        <v>238</v>
      </c>
      <c r="V18" s="214" t="s">
        <v>239</v>
      </c>
      <c r="W18" s="214" t="s">
        <v>240</v>
      </c>
      <c r="X18" s="214" t="s">
        <v>241</v>
      </c>
      <c r="AA18" s="110" t="s">
        <v>94</v>
      </c>
      <c r="AB18" s="92">
        <v>8.5000000000000006E-3</v>
      </c>
      <c r="AC18" s="92">
        <v>3.73E-2</v>
      </c>
      <c r="AD18" s="92">
        <v>2.7300000000000001E-2</v>
      </c>
      <c r="AE18">
        <v>7.3000000000000001E-3</v>
      </c>
      <c r="AF18">
        <v>5.1200000000000002E-2</v>
      </c>
      <c r="AG18">
        <v>2.1399999999999999E-2</v>
      </c>
      <c r="AH18">
        <v>0.01</v>
      </c>
      <c r="AI18">
        <v>3.15E-2</v>
      </c>
      <c r="AJ18" s="114">
        <v>3.3300000000000003E-2</v>
      </c>
    </row>
    <row r="19" spans="17:36" x14ac:dyDescent="0.45">
      <c r="R19" s="92" t="s">
        <v>171</v>
      </c>
      <c r="AA19" s="110" t="s">
        <v>95</v>
      </c>
      <c r="AB19" s="92">
        <v>0</v>
      </c>
      <c r="AC19" s="92">
        <v>-0.97729999999999995</v>
      </c>
      <c r="AD19" s="92">
        <v>-0.52729999999999999</v>
      </c>
      <c r="AE19">
        <v>0</v>
      </c>
      <c r="AF19">
        <v>-1.76</v>
      </c>
      <c r="AG19">
        <v>-0.3286</v>
      </c>
      <c r="AH19">
        <v>0</v>
      </c>
      <c r="AI19">
        <v>-0.62460000000000004</v>
      </c>
      <c r="AJ19" s="92">
        <v>-0.7</v>
      </c>
    </row>
    <row r="20" spans="17:36" x14ac:dyDescent="0.45">
      <c r="R20" s="110" t="s">
        <v>94</v>
      </c>
      <c r="S20" s="117">
        <v>-0.2258</v>
      </c>
      <c r="T20" s="117">
        <v>-0.53849999999999998</v>
      </c>
      <c r="U20" s="117">
        <v>-0.4118</v>
      </c>
      <c r="V20" s="117">
        <v>-0.21210000000000001</v>
      </c>
      <c r="W20" s="117">
        <v>-0.14000000000000001</v>
      </c>
      <c r="X20" s="117">
        <v>-0.25</v>
      </c>
      <c r="AA20" s="110"/>
      <c r="AD20" s="114"/>
    </row>
    <row r="21" spans="17:36" x14ac:dyDescent="0.45">
      <c r="R21" s="110" t="s">
        <v>95</v>
      </c>
      <c r="S21" s="117">
        <v>4.1161000000000003</v>
      </c>
      <c r="T21" s="117">
        <v>9.4537999999999993</v>
      </c>
      <c r="U21" s="117">
        <v>7.8353000000000002</v>
      </c>
      <c r="V21" s="117">
        <v>5.4333</v>
      </c>
      <c r="W21" s="117">
        <v>4.1500000000000004</v>
      </c>
      <c r="X21" s="117">
        <v>7.4749999999999996</v>
      </c>
      <c r="AC21" s="114"/>
    </row>
    <row r="22" spans="17:36" x14ac:dyDescent="0.45">
      <c r="Q22" s="117"/>
    </row>
    <row r="39" spans="2:33" ht="14.65" thickBot="1" x14ac:dyDescent="0.5">
      <c r="B39" t="s">
        <v>108</v>
      </c>
    </row>
    <row r="40" spans="2:33" x14ac:dyDescent="0.45">
      <c r="B40" s="141" t="s">
        <v>12</v>
      </c>
      <c r="C40" s="142"/>
      <c r="D40" s="96"/>
      <c r="E40" s="96"/>
      <c r="F40" s="96">
        <v>1</v>
      </c>
      <c r="G40" s="96"/>
      <c r="H40" s="97">
        <v>0</v>
      </c>
    </row>
    <row r="41" spans="2:33" ht="14.65" thickBot="1" x14ac:dyDescent="0.5">
      <c r="B41" s="103" t="s">
        <v>13</v>
      </c>
      <c r="C41" s="104">
        <v>0</v>
      </c>
      <c r="D41" s="104">
        <v>0.28999999999999998</v>
      </c>
      <c r="E41" s="105">
        <v>0.3</v>
      </c>
      <c r="F41" s="105">
        <v>0.69</v>
      </c>
      <c r="G41" s="107">
        <v>0.7</v>
      </c>
      <c r="H41" s="108">
        <v>1</v>
      </c>
    </row>
    <row r="42" spans="2:33" ht="14.65" thickBot="1" x14ac:dyDescent="0.5">
      <c r="J42" t="s">
        <v>233</v>
      </c>
    </row>
    <row r="43" spans="2:33" x14ac:dyDescent="0.45">
      <c r="B43" t="s">
        <v>221</v>
      </c>
      <c r="C43" s="113"/>
      <c r="E43" s="113"/>
      <c r="J43" s="118" t="s">
        <v>12</v>
      </c>
      <c r="K43" s="99">
        <v>0</v>
      </c>
      <c r="L43" s="99"/>
      <c r="M43" s="99"/>
      <c r="N43" s="99"/>
      <c r="O43" s="99">
        <v>13</v>
      </c>
      <c r="P43" s="100">
        <v>28</v>
      </c>
    </row>
    <row r="44" spans="2:33" ht="14.65" thickBot="1" x14ac:dyDescent="0.5">
      <c r="B44" s="37" t="s">
        <v>94</v>
      </c>
      <c r="C44" s="115">
        <v>-0.31</v>
      </c>
      <c r="E44" s="113"/>
      <c r="J44" s="103" t="s">
        <v>13</v>
      </c>
      <c r="K44" s="104">
        <v>0</v>
      </c>
      <c r="L44" s="104">
        <v>0.28999999999999998</v>
      </c>
      <c r="M44" s="105">
        <v>0.3</v>
      </c>
      <c r="N44" s="105">
        <v>0.69</v>
      </c>
      <c r="O44" s="107">
        <v>0.7</v>
      </c>
      <c r="P44" s="108">
        <v>1</v>
      </c>
    </row>
    <row r="45" spans="2:33" x14ac:dyDescent="0.45">
      <c r="B45" s="37" t="s">
        <v>95</v>
      </c>
      <c r="C45" s="113">
        <v>1</v>
      </c>
    </row>
    <row r="46" spans="2:33" x14ac:dyDescent="0.45">
      <c r="B46" s="110"/>
      <c r="K46" s="37" t="s">
        <v>222</v>
      </c>
      <c r="L46" s="119" t="s">
        <v>73</v>
      </c>
    </row>
    <row r="47" spans="2:33" ht="14.65" thickBot="1" x14ac:dyDescent="0.5">
      <c r="J47" s="92" t="s">
        <v>171</v>
      </c>
      <c r="K47" s="120"/>
      <c r="L47" s="120"/>
      <c r="R47" t="s">
        <v>246</v>
      </c>
      <c r="AA47" t="s">
        <v>193</v>
      </c>
    </row>
    <row r="48" spans="2:33" x14ac:dyDescent="0.45">
      <c r="J48" s="37" t="s">
        <v>94</v>
      </c>
      <c r="K48" s="121">
        <v>5.3800000000000001E-2</v>
      </c>
      <c r="L48" s="121">
        <v>0.02</v>
      </c>
      <c r="R48" s="203" t="s">
        <v>247</v>
      </c>
      <c r="S48" s="99">
        <v>6</v>
      </c>
      <c r="T48" s="99"/>
      <c r="U48" s="99"/>
      <c r="V48" s="99"/>
      <c r="W48" s="99">
        <v>9</v>
      </c>
      <c r="X48" s="100"/>
      <c r="AA48" s="141" t="s">
        <v>12</v>
      </c>
      <c r="AB48" s="123">
        <v>0</v>
      </c>
      <c r="AC48" s="99"/>
      <c r="AD48" s="99"/>
      <c r="AE48" s="99">
        <v>80</v>
      </c>
      <c r="AF48" s="99"/>
      <c r="AG48" s="100">
        <v>100</v>
      </c>
    </row>
    <row r="49" spans="10:33" ht="15" customHeight="1" thickBot="1" x14ac:dyDescent="0.5">
      <c r="J49" s="37" t="s">
        <v>95</v>
      </c>
      <c r="K49" s="121">
        <v>0</v>
      </c>
      <c r="L49" s="121">
        <v>0.44</v>
      </c>
      <c r="R49" s="103" t="s">
        <v>4</v>
      </c>
      <c r="S49" s="104">
        <v>0</v>
      </c>
      <c r="T49" s="104">
        <v>0.28999999999999998</v>
      </c>
      <c r="U49" s="105">
        <v>0.3</v>
      </c>
      <c r="V49" s="105">
        <v>0.69</v>
      </c>
      <c r="W49" s="107">
        <v>0.7</v>
      </c>
      <c r="X49" s="108">
        <v>1</v>
      </c>
      <c r="AA49" s="204" t="s">
        <v>13</v>
      </c>
      <c r="AB49" s="104">
        <v>0</v>
      </c>
      <c r="AC49" s="104">
        <v>0.28999999999999998</v>
      </c>
      <c r="AD49" s="105">
        <v>0.3</v>
      </c>
      <c r="AE49" s="105">
        <v>0.69</v>
      </c>
      <c r="AF49" s="107">
        <v>0.7</v>
      </c>
      <c r="AG49" s="108">
        <v>1</v>
      </c>
    </row>
    <row r="51" spans="10:33" x14ac:dyDescent="0.45">
      <c r="R51" s="92" t="s">
        <v>171</v>
      </c>
      <c r="AB51" s="43" t="s">
        <v>96</v>
      </c>
      <c r="AC51" s="43" t="s">
        <v>420</v>
      </c>
      <c r="AD51" s="43"/>
    </row>
    <row r="52" spans="10:33" x14ac:dyDescent="0.45">
      <c r="R52" s="110" t="s">
        <v>94</v>
      </c>
      <c r="S52" s="92">
        <v>0.23330000000000001</v>
      </c>
      <c r="AA52" s="92" t="s">
        <v>171</v>
      </c>
      <c r="AB52" s="43"/>
      <c r="AC52" s="43"/>
      <c r="AD52" s="43"/>
    </row>
    <row r="53" spans="10:33" x14ac:dyDescent="0.45">
      <c r="R53" s="110" t="s">
        <v>95</v>
      </c>
      <c r="S53" s="92">
        <v>-1.4</v>
      </c>
      <c r="AA53" s="110" t="s">
        <v>94</v>
      </c>
      <c r="AB53" s="92">
        <v>8.6E-3</v>
      </c>
      <c r="AC53" s="92">
        <v>1.55E-2</v>
      </c>
    </row>
    <row r="54" spans="10:33" x14ac:dyDescent="0.45">
      <c r="AA54" s="110" t="s">
        <v>95</v>
      </c>
      <c r="AB54" s="93">
        <v>0</v>
      </c>
      <c r="AC54" s="92">
        <v>-0.55000000000000004</v>
      </c>
    </row>
    <row r="70" spans="2:18" ht="14.65" thickBot="1" x14ac:dyDescent="0.5">
      <c r="B70" t="s">
        <v>252</v>
      </c>
    </row>
    <row r="71" spans="2:18" x14ac:dyDescent="0.45">
      <c r="B71" s="203" t="s">
        <v>426</v>
      </c>
      <c r="C71" s="99">
        <v>0.2</v>
      </c>
      <c r="D71" s="99"/>
      <c r="E71" s="99"/>
      <c r="F71" s="96"/>
      <c r="G71" s="99"/>
      <c r="H71" s="100">
        <v>1</v>
      </c>
    </row>
    <row r="72" spans="2:18" x14ac:dyDescent="0.45">
      <c r="B72" s="215" t="s">
        <v>427</v>
      </c>
      <c r="C72" s="93">
        <v>0.4</v>
      </c>
      <c r="D72" s="93"/>
      <c r="E72" s="93"/>
      <c r="G72" s="93"/>
      <c r="H72" s="122">
        <v>1.5</v>
      </c>
    </row>
    <row r="73" spans="2:18" x14ac:dyDescent="0.45">
      <c r="B73" s="232" t="s">
        <v>238</v>
      </c>
      <c r="C73" s="93">
        <v>0.6</v>
      </c>
      <c r="D73" s="93"/>
      <c r="E73" s="93"/>
      <c r="G73" s="93"/>
      <c r="H73" s="122">
        <v>2.2999999999999998</v>
      </c>
    </row>
    <row r="74" spans="2:18" ht="14.65" thickBot="1" x14ac:dyDescent="0.5">
      <c r="B74" s="103" t="s">
        <v>13</v>
      </c>
      <c r="C74" s="104">
        <v>0</v>
      </c>
      <c r="D74" s="104">
        <v>0.28999999999999998</v>
      </c>
      <c r="E74" s="105">
        <v>0.3</v>
      </c>
      <c r="F74" s="106">
        <v>0.69</v>
      </c>
      <c r="G74" s="107">
        <v>0.7</v>
      </c>
      <c r="H74" s="108">
        <v>1</v>
      </c>
    </row>
    <row r="76" spans="2:18" x14ac:dyDescent="0.45">
      <c r="C76" s="92" t="str">
        <f>B71</f>
        <v>CS-I &amp; CS-I MWF; W &lt; 20ft</v>
      </c>
      <c r="D76" s="92" t="str">
        <f>B72</f>
        <v>CS-I &amp; CS-I MWF; W &gt; 20ft</v>
      </c>
      <c r="E76" s="92" t="str">
        <f>B73</f>
        <v>CS-II</v>
      </c>
    </row>
    <row r="77" spans="2:18" ht="14.65" thickBot="1" x14ac:dyDescent="0.5">
      <c r="B77" t="s">
        <v>221</v>
      </c>
      <c r="J77" s="92" t="s">
        <v>159</v>
      </c>
    </row>
    <row r="78" spans="2:18" x14ac:dyDescent="0.45">
      <c r="B78" s="37" t="s">
        <v>94</v>
      </c>
      <c r="C78" s="92">
        <v>1.25</v>
      </c>
      <c r="D78" s="92">
        <v>0.90910000000000002</v>
      </c>
      <c r="E78" s="92">
        <v>0.58819999999999995</v>
      </c>
      <c r="F78"/>
      <c r="G78" s="112"/>
      <c r="J78" s="118" t="s">
        <v>12</v>
      </c>
      <c r="K78" s="99">
        <v>2</v>
      </c>
      <c r="L78" s="99"/>
      <c r="M78" s="99">
        <v>5</v>
      </c>
      <c r="N78" s="99"/>
      <c r="O78" s="99">
        <v>7</v>
      </c>
      <c r="P78" s="100">
        <v>9</v>
      </c>
    </row>
    <row r="79" spans="2:18" ht="14.65" thickBot="1" x14ac:dyDescent="0.5">
      <c r="B79" s="37" t="s">
        <v>95</v>
      </c>
      <c r="C79" s="114">
        <v>-0.25</v>
      </c>
      <c r="D79" s="92">
        <v>-0.36359999999999998</v>
      </c>
      <c r="E79" s="114">
        <v>-0.35289999999999999</v>
      </c>
      <c r="J79" s="103" t="s">
        <v>13</v>
      </c>
      <c r="K79" s="104">
        <v>0</v>
      </c>
      <c r="L79" s="104">
        <v>0.28999999999999998</v>
      </c>
      <c r="M79" s="105">
        <v>0.3</v>
      </c>
      <c r="N79" s="105">
        <v>0.69</v>
      </c>
      <c r="O79" s="107">
        <v>0.7</v>
      </c>
      <c r="P79" s="108">
        <v>1</v>
      </c>
    </row>
    <row r="80" spans="2:18" ht="14.65" thickBot="1" x14ac:dyDescent="0.5">
      <c r="D80" s="114"/>
      <c r="R80" t="s">
        <v>419</v>
      </c>
    </row>
    <row r="81" spans="10:33" ht="14.65" thickBot="1" x14ac:dyDescent="0.5">
      <c r="K81" s="284" t="s">
        <v>403</v>
      </c>
      <c r="L81" s="370" t="s">
        <v>96</v>
      </c>
      <c r="R81" s="202" t="s">
        <v>279</v>
      </c>
      <c r="S81" s="99"/>
      <c r="T81" s="99">
        <v>53</v>
      </c>
      <c r="U81" s="99"/>
      <c r="V81" s="99">
        <v>27</v>
      </c>
      <c r="W81" s="99"/>
      <c r="X81" s="100">
        <v>12</v>
      </c>
      <c r="AA81" t="s">
        <v>268</v>
      </c>
    </row>
    <row r="82" spans="10:33" x14ac:dyDescent="0.45">
      <c r="J82" s="284" t="s">
        <v>411</v>
      </c>
      <c r="R82" s="250" t="s">
        <v>280</v>
      </c>
      <c r="S82" s="138">
        <v>150</v>
      </c>
      <c r="T82" s="93">
        <v>117</v>
      </c>
      <c r="U82" s="138"/>
      <c r="V82" s="138">
        <v>29</v>
      </c>
      <c r="W82" s="138"/>
      <c r="X82" s="137">
        <v>16</v>
      </c>
      <c r="AA82" s="243" t="s">
        <v>269</v>
      </c>
      <c r="AB82" s="96"/>
      <c r="AC82" s="96"/>
      <c r="AD82" s="96">
        <v>5</v>
      </c>
      <c r="AE82" s="96"/>
      <c r="AF82" s="96">
        <v>25</v>
      </c>
      <c r="AG82" s="97">
        <v>40</v>
      </c>
    </row>
    <row r="83" spans="10:33" ht="14.65" thickBot="1" x14ac:dyDescent="0.5">
      <c r="J83" s="110" t="s">
        <v>94</v>
      </c>
      <c r="K83" s="92">
        <v>-1.2500000000000001E-2</v>
      </c>
      <c r="M83" s="93"/>
      <c r="N83" s="93"/>
      <c r="O83" s="93"/>
      <c r="P83" s="93"/>
      <c r="R83" s="103" t="s">
        <v>4</v>
      </c>
      <c r="S83" s="104">
        <v>0</v>
      </c>
      <c r="T83" s="104">
        <v>0.28999999999999998</v>
      </c>
      <c r="U83" s="105">
        <v>0.3</v>
      </c>
      <c r="V83" s="105">
        <v>0.69</v>
      </c>
      <c r="W83" s="107">
        <v>0.7</v>
      </c>
      <c r="X83" s="108">
        <v>1</v>
      </c>
      <c r="AA83" s="28" t="s">
        <v>270</v>
      </c>
      <c r="AD83" s="92">
        <v>10</v>
      </c>
      <c r="AF83" s="92">
        <v>50</v>
      </c>
      <c r="AG83" s="109">
        <v>80</v>
      </c>
    </row>
    <row r="84" spans="10:33" x14ac:dyDescent="0.45">
      <c r="J84" s="110" t="s">
        <v>95</v>
      </c>
      <c r="K84" s="92">
        <v>0.35</v>
      </c>
      <c r="L84" s="92">
        <v>0.1</v>
      </c>
      <c r="AA84" s="28" t="s">
        <v>271</v>
      </c>
      <c r="AD84" s="92">
        <v>15</v>
      </c>
      <c r="AF84" s="92">
        <v>75</v>
      </c>
      <c r="AG84" s="109">
        <v>119</v>
      </c>
    </row>
    <row r="85" spans="10:33" ht="14.65" thickBot="1" x14ac:dyDescent="0.5">
      <c r="J85" s="110" t="s">
        <v>97</v>
      </c>
      <c r="K85" s="92">
        <v>-1.1375</v>
      </c>
      <c r="L85" s="114">
        <v>-0.2</v>
      </c>
      <c r="S85" t="str">
        <f>R82</f>
        <v>Biotype 3</v>
      </c>
      <c r="T85" t="str">
        <f>R81</f>
        <v>Biotypes 1 and 2</v>
      </c>
      <c r="AA85" s="103" t="s">
        <v>4</v>
      </c>
      <c r="AB85" s="104">
        <v>0</v>
      </c>
      <c r="AC85" s="104">
        <v>0.28999999999999998</v>
      </c>
      <c r="AD85" s="105">
        <v>0.3</v>
      </c>
      <c r="AE85" s="105">
        <v>0.69</v>
      </c>
      <c r="AF85" s="107">
        <v>0.7</v>
      </c>
      <c r="AG85" s="108">
        <v>1</v>
      </c>
    </row>
    <row r="86" spans="10:33" x14ac:dyDescent="0.45">
      <c r="L86" s="114"/>
      <c r="R86" s="92" t="s">
        <v>141</v>
      </c>
    </row>
    <row r="87" spans="10:33" x14ac:dyDescent="0.45">
      <c r="R87" s="110" t="s">
        <v>94</v>
      </c>
      <c r="S87" s="92">
        <v>-0.4</v>
      </c>
      <c r="T87" s="92">
        <v>-0.47499999999999998</v>
      </c>
      <c r="AB87" s="92" t="str">
        <f>AA82</f>
        <v>High</v>
      </c>
      <c r="AC87" s="92" t="str">
        <f>AA83</f>
        <v>Moderate</v>
      </c>
      <c r="AD87" s="92" t="str">
        <f>AA84</f>
        <v>Low</v>
      </c>
    </row>
    <row r="88" spans="10:33" x14ac:dyDescent="0.45">
      <c r="R88" s="110" t="s">
        <v>95</v>
      </c>
      <c r="S88" s="92">
        <v>2.08</v>
      </c>
      <c r="T88" s="92">
        <v>2.2033</v>
      </c>
      <c r="AA88" s="92" t="s">
        <v>171</v>
      </c>
    </row>
    <row r="89" spans="10:33" x14ac:dyDescent="0.45">
      <c r="U89" s="114"/>
      <c r="AA89" s="110" t="s">
        <v>94</v>
      </c>
      <c r="AB89" s="92">
        <v>0.02</v>
      </c>
      <c r="AC89" s="92">
        <v>0.01</v>
      </c>
      <c r="AD89" s="92">
        <v>6.7000000000000002E-3</v>
      </c>
    </row>
    <row r="90" spans="10:33" x14ac:dyDescent="0.45">
      <c r="T90" s="114"/>
      <c r="AA90" s="110" t="s">
        <v>95</v>
      </c>
      <c r="AB90" s="92">
        <v>0.2</v>
      </c>
      <c r="AC90" s="92">
        <v>0.2</v>
      </c>
      <c r="AD90" s="92">
        <v>0.19800000000000001</v>
      </c>
    </row>
    <row r="106" spans="2:16" ht="14.65" thickBot="1" x14ac:dyDescent="0.5">
      <c r="B106" s="92" t="s">
        <v>0</v>
      </c>
    </row>
    <row r="107" spans="2:16" x14ac:dyDescent="0.45">
      <c r="B107" s="345" t="s">
        <v>401</v>
      </c>
      <c r="C107" s="99"/>
      <c r="D107" s="99"/>
      <c r="E107" s="347">
        <v>1.5</v>
      </c>
      <c r="F107" s="96"/>
      <c r="G107" s="99"/>
      <c r="H107" s="100">
        <v>1</v>
      </c>
    </row>
    <row r="108" spans="2:16" x14ac:dyDescent="0.45">
      <c r="B108" s="344" t="s">
        <v>400</v>
      </c>
      <c r="C108" s="342"/>
      <c r="D108" s="346"/>
      <c r="E108" s="342"/>
      <c r="F108" s="343"/>
      <c r="G108" s="342">
        <v>0.8</v>
      </c>
      <c r="H108" s="122">
        <v>1</v>
      </c>
    </row>
    <row r="109" spans="2:16" ht="14.65" thickBot="1" x14ac:dyDescent="0.5">
      <c r="B109" s="103" t="s">
        <v>13</v>
      </c>
      <c r="C109" s="104">
        <v>0</v>
      </c>
      <c r="D109" s="104">
        <v>0.28999999999999998</v>
      </c>
      <c r="E109" s="105">
        <v>0.3</v>
      </c>
      <c r="F109" s="106">
        <v>0.69</v>
      </c>
      <c r="G109" s="107">
        <v>0.7</v>
      </c>
      <c r="H109" s="108">
        <v>1</v>
      </c>
    </row>
    <row r="110" spans="2:16" ht="14.65" thickBot="1" x14ac:dyDescent="0.5">
      <c r="J110" s="92" t="s">
        <v>76</v>
      </c>
    </row>
    <row r="111" spans="2:16" x14ac:dyDescent="0.45">
      <c r="B111" t="s">
        <v>221</v>
      </c>
      <c r="J111" s="95" t="s">
        <v>12</v>
      </c>
      <c r="K111" s="99">
        <v>75</v>
      </c>
      <c r="L111" s="99"/>
      <c r="M111" s="99"/>
      <c r="N111" s="99"/>
      <c r="O111" s="99">
        <v>10</v>
      </c>
      <c r="P111" s="100">
        <v>5</v>
      </c>
    </row>
    <row r="112" spans="2:16" ht="14.65" thickBot="1" x14ac:dyDescent="0.5">
      <c r="B112"/>
      <c r="C112" s="284" t="s">
        <v>400</v>
      </c>
      <c r="D112" s="284" t="s">
        <v>401</v>
      </c>
      <c r="J112" s="103" t="s">
        <v>13</v>
      </c>
      <c r="K112" s="104">
        <v>0</v>
      </c>
      <c r="L112" s="104">
        <v>0.28999999999999998</v>
      </c>
      <c r="M112" s="105">
        <v>0.3</v>
      </c>
      <c r="N112" s="105">
        <v>0.69</v>
      </c>
      <c r="O112" s="107">
        <v>0.7</v>
      </c>
      <c r="P112" s="108">
        <v>1</v>
      </c>
    </row>
    <row r="113" spans="2:21" x14ac:dyDescent="0.45">
      <c r="B113" s="37" t="s">
        <v>94</v>
      </c>
      <c r="C113" s="92">
        <v>1.5</v>
      </c>
      <c r="D113" s="92">
        <v>-1.4</v>
      </c>
      <c r="G113" s="112"/>
    </row>
    <row r="114" spans="2:21" x14ac:dyDescent="0.45">
      <c r="B114" s="37" t="s">
        <v>95</v>
      </c>
      <c r="C114" s="348">
        <v>-0.5</v>
      </c>
      <c r="D114" s="114">
        <v>2.4</v>
      </c>
      <c r="E114" s="114"/>
      <c r="J114" s="110"/>
      <c r="K114" s="37" t="s">
        <v>222</v>
      </c>
      <c r="L114" s="110" t="s">
        <v>73</v>
      </c>
      <c r="R114" s="110"/>
    </row>
    <row r="115" spans="2:21" x14ac:dyDescent="0.45">
      <c r="D115" s="114"/>
      <c r="J115" t="s">
        <v>194</v>
      </c>
      <c r="U115" s="114"/>
    </row>
    <row r="116" spans="2:21" x14ac:dyDescent="0.45">
      <c r="J116" s="37" t="s">
        <v>94</v>
      </c>
      <c r="K116" s="92">
        <v>-1.0699999999999999E-2</v>
      </c>
      <c r="L116" s="92">
        <v>-0.06</v>
      </c>
      <c r="T116" s="114"/>
    </row>
    <row r="117" spans="2:21" x14ac:dyDescent="0.45">
      <c r="J117" s="37" t="s">
        <v>95</v>
      </c>
      <c r="K117" s="92">
        <v>0.81240000000000001</v>
      </c>
      <c r="L117" s="114">
        <v>1.3</v>
      </c>
    </row>
    <row r="141" spans="2:16" ht="14.65" thickBot="1" x14ac:dyDescent="0.5">
      <c r="B141" s="284" t="s">
        <v>402</v>
      </c>
    </row>
    <row r="142" spans="2:16" x14ac:dyDescent="0.45">
      <c r="B142" s="95" t="s">
        <v>12</v>
      </c>
      <c r="C142" s="99"/>
      <c r="D142" s="99"/>
      <c r="E142" s="99">
        <v>2</v>
      </c>
      <c r="F142" s="99"/>
      <c r="G142" s="99">
        <v>2.4</v>
      </c>
      <c r="H142" s="100">
        <v>4.2</v>
      </c>
    </row>
    <row r="143" spans="2:16" ht="14.65" thickBot="1" x14ac:dyDescent="0.5">
      <c r="B143" s="103" t="s">
        <v>13</v>
      </c>
      <c r="C143" s="104">
        <v>0</v>
      </c>
      <c r="D143" s="104">
        <v>0.28999999999999998</v>
      </c>
      <c r="E143" s="105">
        <v>0.3</v>
      </c>
      <c r="F143" s="105">
        <v>0.69</v>
      </c>
      <c r="G143" s="107">
        <v>0.7</v>
      </c>
      <c r="H143" s="108">
        <v>1</v>
      </c>
      <c r="J143" t="s">
        <v>225</v>
      </c>
    </row>
    <row r="144" spans="2:16" x14ac:dyDescent="0.45">
      <c r="J144" s="95" t="s">
        <v>12</v>
      </c>
      <c r="K144" s="96">
        <v>30</v>
      </c>
      <c r="L144" s="96"/>
      <c r="M144" s="96"/>
      <c r="N144" s="96"/>
      <c r="O144" s="96"/>
      <c r="P144" s="97">
        <v>0</v>
      </c>
    </row>
    <row r="145" spans="2:22" ht="14.65" thickBot="1" x14ac:dyDescent="0.5">
      <c r="C145" s="110" t="s">
        <v>73</v>
      </c>
      <c r="D145" s="37" t="s">
        <v>217</v>
      </c>
      <c r="J145" s="103" t="s">
        <v>13</v>
      </c>
      <c r="K145" s="104">
        <v>0</v>
      </c>
      <c r="L145" s="104">
        <v>0.28999999999999998</v>
      </c>
      <c r="M145" s="105">
        <v>0.3</v>
      </c>
      <c r="N145" s="105">
        <v>0.69</v>
      </c>
      <c r="O145" s="107">
        <v>0.7</v>
      </c>
      <c r="P145" s="108">
        <v>1</v>
      </c>
    </row>
    <row r="146" spans="2:22" x14ac:dyDescent="0.45">
      <c r="B146" s="92" t="s">
        <v>171</v>
      </c>
    </row>
    <row r="147" spans="2:22" x14ac:dyDescent="0.45">
      <c r="B147" s="110" t="s">
        <v>94</v>
      </c>
      <c r="C147" s="92">
        <v>0.16669999999999999</v>
      </c>
      <c r="D147" s="92">
        <v>1</v>
      </c>
      <c r="J147" t="s">
        <v>194</v>
      </c>
      <c r="K147"/>
      <c r="L147"/>
      <c r="M147"/>
    </row>
    <row r="148" spans="2:22" x14ac:dyDescent="0.45">
      <c r="B148" s="110" t="s">
        <v>95</v>
      </c>
      <c r="C148" s="92">
        <v>0.3</v>
      </c>
      <c r="D148" s="92">
        <v>-1.7</v>
      </c>
      <c r="J148" s="37" t="s">
        <v>94</v>
      </c>
      <c r="K148" s="129">
        <v>-3.3300000000000003E-2</v>
      </c>
      <c r="L148"/>
      <c r="U148" s="93"/>
      <c r="V148" s="93"/>
    </row>
    <row r="149" spans="2:22" x14ac:dyDescent="0.45">
      <c r="B149" s="110"/>
      <c r="D149" s="114"/>
      <c r="J149" s="37" t="s">
        <v>95</v>
      </c>
      <c r="K149" s="129">
        <v>1</v>
      </c>
    </row>
    <row r="150" spans="2:22" x14ac:dyDescent="0.45">
      <c r="J150" s="110"/>
      <c r="M150"/>
    </row>
    <row r="156" spans="2:22" ht="17.45" customHeight="1" x14ac:dyDescent="0.45"/>
    <row r="163" spans="2:37" x14ac:dyDescent="0.45">
      <c r="AA163" s="93"/>
    </row>
    <row r="164" spans="2:37" x14ac:dyDescent="0.45">
      <c r="B164" s="94"/>
    </row>
    <row r="166" spans="2:37" x14ac:dyDescent="0.45">
      <c r="AK166" s="43" t="s">
        <v>73</v>
      </c>
    </row>
    <row r="167" spans="2:37" x14ac:dyDescent="0.45">
      <c r="AK167" s="43"/>
    </row>
    <row r="168" spans="2:37" x14ac:dyDescent="0.45">
      <c r="AK168">
        <v>0.85709999999999997</v>
      </c>
    </row>
    <row r="169" spans="2:37" x14ac:dyDescent="0.45">
      <c r="AK169">
        <v>-2.8999999999999998E-3</v>
      </c>
    </row>
    <row r="174" spans="2:37" ht="14.65" thickBot="1" x14ac:dyDescent="0.5">
      <c r="J174" s="92" t="s">
        <v>135</v>
      </c>
    </row>
    <row r="175" spans="2:37" ht="14.65" thickBot="1" x14ac:dyDescent="0.5">
      <c r="B175" s="284" t="s">
        <v>404</v>
      </c>
      <c r="J175" s="620" t="s">
        <v>12</v>
      </c>
      <c r="K175" s="130">
        <v>3</v>
      </c>
      <c r="L175" s="99"/>
      <c r="M175" s="99"/>
      <c r="N175" s="99"/>
      <c r="O175" s="99">
        <v>3.7</v>
      </c>
      <c r="P175" s="131">
        <v>4</v>
      </c>
    </row>
    <row r="176" spans="2:37" x14ac:dyDescent="0.45">
      <c r="B176" s="95" t="s">
        <v>12</v>
      </c>
      <c r="C176" s="99"/>
      <c r="D176" s="99"/>
      <c r="E176" s="99">
        <v>2</v>
      </c>
      <c r="F176" s="99"/>
      <c r="G176" s="99">
        <v>2.4</v>
      </c>
      <c r="H176" s="100">
        <v>3.9</v>
      </c>
      <c r="J176" s="621"/>
      <c r="K176" s="132">
        <f>2.8/0.3</f>
        <v>9.3333333333333339</v>
      </c>
      <c r="L176" s="93"/>
      <c r="M176" s="93"/>
      <c r="N176" s="93"/>
      <c r="O176" s="93">
        <v>7</v>
      </c>
      <c r="P176" s="122">
        <v>6</v>
      </c>
    </row>
    <row r="177" spans="2:20" ht="14.65" thickBot="1" x14ac:dyDescent="0.5">
      <c r="B177" s="103" t="s">
        <v>13</v>
      </c>
      <c r="C177" s="104">
        <v>0</v>
      </c>
      <c r="D177" s="104">
        <v>0.28999999999999998</v>
      </c>
      <c r="E177" s="105">
        <v>0.3</v>
      </c>
      <c r="F177" s="105">
        <v>0.69</v>
      </c>
      <c r="G177" s="107">
        <v>0.7</v>
      </c>
      <c r="H177" s="108">
        <v>1</v>
      </c>
      <c r="J177" s="103" t="s">
        <v>13</v>
      </c>
      <c r="K177" s="104">
        <v>0</v>
      </c>
      <c r="L177" s="104">
        <v>0.28999999999999998</v>
      </c>
      <c r="M177" s="105">
        <v>0.3</v>
      </c>
      <c r="N177" s="105">
        <v>0.69</v>
      </c>
      <c r="O177" s="107">
        <v>0.7</v>
      </c>
      <c r="P177" s="108">
        <v>1</v>
      </c>
    </row>
    <row r="179" spans="2:20" x14ac:dyDescent="0.45">
      <c r="C179" s="341" t="s">
        <v>73</v>
      </c>
      <c r="D179" s="340" t="s">
        <v>217</v>
      </c>
      <c r="K179" s="110" t="s">
        <v>138</v>
      </c>
      <c r="L179" s="110" t="s">
        <v>139</v>
      </c>
    </row>
    <row r="180" spans="2:20" x14ac:dyDescent="0.45">
      <c r="B180" s="92" t="s">
        <v>171</v>
      </c>
      <c r="J180" t="s">
        <v>221</v>
      </c>
    </row>
    <row r="181" spans="2:20" x14ac:dyDescent="0.45">
      <c r="B181" s="341" t="s">
        <v>94</v>
      </c>
      <c r="C181" s="92">
        <v>0.2</v>
      </c>
      <c r="D181" s="92">
        <v>1</v>
      </c>
      <c r="J181" s="110" t="s">
        <v>94</v>
      </c>
      <c r="K181" s="133">
        <v>1</v>
      </c>
      <c r="L181" s="133">
        <v>-0.3</v>
      </c>
    </row>
    <row r="182" spans="2:20" x14ac:dyDescent="0.45">
      <c r="B182" s="341" t="s">
        <v>95</v>
      </c>
      <c r="C182" s="92">
        <v>0.22</v>
      </c>
      <c r="D182" s="92">
        <v>-1.7</v>
      </c>
      <c r="J182" s="110" t="s">
        <v>95</v>
      </c>
      <c r="K182" s="133">
        <v>-3</v>
      </c>
      <c r="L182" s="133">
        <v>2.8</v>
      </c>
      <c r="M182" s="114"/>
    </row>
    <row r="183" spans="2:20" x14ac:dyDescent="0.45">
      <c r="B183" s="341"/>
      <c r="D183" s="114"/>
    </row>
    <row r="185" spans="2:20" ht="14.45" customHeight="1" x14ac:dyDescent="0.45"/>
    <row r="186" spans="2:20" ht="13.9" customHeight="1" x14ac:dyDescent="0.45"/>
    <row r="187" spans="2:20" ht="12.6" customHeight="1" x14ac:dyDescent="0.45"/>
    <row r="190" spans="2:20" x14ac:dyDescent="0.45">
      <c r="T190" s="93"/>
    </row>
    <row r="198" spans="2:10" x14ac:dyDescent="0.45">
      <c r="B198" s="94"/>
    </row>
    <row r="208" spans="2:10" ht="14.65" thickBot="1" x14ac:dyDescent="0.5">
      <c r="J208" s="92" t="s">
        <v>173</v>
      </c>
    </row>
    <row r="209" spans="2:16" ht="14.65" thickBot="1" x14ac:dyDescent="0.5">
      <c r="B209" s="284" t="s">
        <v>405</v>
      </c>
      <c r="J209" s="620" t="s">
        <v>12</v>
      </c>
      <c r="K209" s="134"/>
      <c r="L209" s="99"/>
      <c r="M209" s="99"/>
      <c r="N209" s="99"/>
      <c r="O209" s="99">
        <v>3</v>
      </c>
      <c r="P209" s="100">
        <v>3.7</v>
      </c>
    </row>
    <row r="210" spans="2:16" x14ac:dyDescent="0.45">
      <c r="B210" s="95" t="s">
        <v>12</v>
      </c>
      <c r="C210" s="99"/>
      <c r="D210" s="99"/>
      <c r="E210" s="99">
        <v>2</v>
      </c>
      <c r="F210" s="99"/>
      <c r="G210" s="99">
        <v>2.4</v>
      </c>
      <c r="H210" s="100">
        <v>6.7</v>
      </c>
      <c r="J210" s="621"/>
      <c r="K210" s="135"/>
      <c r="L210" s="93"/>
      <c r="M210" s="93"/>
      <c r="N210" s="93"/>
      <c r="O210" s="93">
        <v>6</v>
      </c>
      <c r="P210" s="122">
        <v>5</v>
      </c>
    </row>
    <row r="211" spans="2:16" ht="14.65" thickBot="1" x14ac:dyDescent="0.5">
      <c r="B211" s="103" t="s">
        <v>13</v>
      </c>
      <c r="C211" s="104">
        <v>0</v>
      </c>
      <c r="D211" s="104">
        <v>0.28999999999999998</v>
      </c>
      <c r="E211" s="105">
        <v>0.3</v>
      </c>
      <c r="F211" s="105">
        <v>0.69</v>
      </c>
      <c r="G211" s="107">
        <v>0.7</v>
      </c>
      <c r="H211" s="108">
        <v>1</v>
      </c>
      <c r="J211" s="103" t="s">
        <v>13</v>
      </c>
      <c r="K211" s="104">
        <v>0</v>
      </c>
      <c r="L211" s="104">
        <v>0.28999999999999998</v>
      </c>
      <c r="M211" s="105">
        <v>0.3</v>
      </c>
      <c r="N211" s="105">
        <v>0.69</v>
      </c>
      <c r="O211" s="107">
        <v>0.7</v>
      </c>
      <c r="P211" s="108">
        <v>1</v>
      </c>
    </row>
    <row r="213" spans="2:16" x14ac:dyDescent="0.45">
      <c r="C213" s="341" t="s">
        <v>73</v>
      </c>
      <c r="D213" s="340" t="s">
        <v>217</v>
      </c>
      <c r="K213" s="110" t="s">
        <v>138</v>
      </c>
      <c r="L213" s="110" t="s">
        <v>139</v>
      </c>
    </row>
    <row r="214" spans="2:16" x14ac:dyDescent="0.45">
      <c r="B214" s="92" t="s">
        <v>171</v>
      </c>
      <c r="J214" t="s">
        <v>221</v>
      </c>
    </row>
    <row r="215" spans="2:16" x14ac:dyDescent="0.45">
      <c r="B215" s="341" t="s">
        <v>94</v>
      </c>
      <c r="C215" s="92">
        <v>6.9800000000000001E-2</v>
      </c>
      <c r="D215" s="92">
        <v>1</v>
      </c>
      <c r="J215" s="37" t="s">
        <v>94</v>
      </c>
      <c r="K215" s="92">
        <v>0.42859999999999998</v>
      </c>
      <c r="L215" s="92">
        <v>-0.3</v>
      </c>
    </row>
    <row r="216" spans="2:16" x14ac:dyDescent="0.45">
      <c r="B216" s="341" t="s">
        <v>95</v>
      </c>
      <c r="C216" s="92">
        <v>0.53259999999999996</v>
      </c>
      <c r="D216" s="92">
        <v>-1.7</v>
      </c>
      <c r="J216" s="37" t="s">
        <v>95</v>
      </c>
      <c r="K216" s="92">
        <v>-0.5857</v>
      </c>
      <c r="L216" s="92">
        <v>2.5</v>
      </c>
    </row>
    <row r="217" spans="2:16" x14ac:dyDescent="0.45">
      <c r="B217" s="341"/>
      <c r="D217" s="114"/>
    </row>
    <row r="232" spans="2:2" x14ac:dyDescent="0.45">
      <c r="B232" s="94"/>
    </row>
    <row r="241" spans="2:37" ht="14.65" thickBot="1" x14ac:dyDescent="0.5">
      <c r="J241" s="92" t="s">
        <v>137</v>
      </c>
      <c r="AK241" s="110"/>
    </row>
    <row r="242" spans="2:37" x14ac:dyDescent="0.45">
      <c r="J242" s="95" t="s">
        <v>12</v>
      </c>
      <c r="K242" s="130">
        <f>-K248/K247</f>
        <v>7.5</v>
      </c>
      <c r="L242" s="99"/>
      <c r="M242" s="99"/>
      <c r="N242" s="99"/>
      <c r="O242" s="99">
        <v>4</v>
      </c>
      <c r="P242" s="100">
        <v>3</v>
      </c>
      <c r="AK242" t="s">
        <v>73</v>
      </c>
    </row>
    <row r="243" spans="2:37" ht="14.65" thickBot="1" x14ac:dyDescent="0.5">
      <c r="J243" s="103" t="s">
        <v>13</v>
      </c>
      <c r="K243" s="104">
        <v>0</v>
      </c>
      <c r="L243" s="104">
        <v>0.28999999999999998</v>
      </c>
      <c r="M243" s="105">
        <v>0.3</v>
      </c>
      <c r="N243" s="105">
        <v>0.69</v>
      </c>
      <c r="O243" s="107">
        <v>0.7</v>
      </c>
      <c r="P243" s="136">
        <v>1</v>
      </c>
      <c r="AK243"/>
    </row>
    <row r="244" spans="2:37" ht="14.65" thickBot="1" x14ac:dyDescent="0.5">
      <c r="B244" s="284" t="s">
        <v>335</v>
      </c>
      <c r="AK244">
        <v>0.85709999999999997</v>
      </c>
    </row>
    <row r="245" spans="2:37" x14ac:dyDescent="0.45">
      <c r="B245" s="95" t="s">
        <v>12</v>
      </c>
      <c r="C245" s="99"/>
      <c r="D245" s="99"/>
      <c r="E245" s="99">
        <v>1.2</v>
      </c>
      <c r="F245" s="99"/>
      <c r="G245" s="99">
        <v>1.4</v>
      </c>
      <c r="H245" s="100">
        <v>2.2000000000000002</v>
      </c>
      <c r="J245" s="110"/>
      <c r="K245" s="37" t="s">
        <v>222</v>
      </c>
      <c r="L245" s="110" t="s">
        <v>73</v>
      </c>
      <c r="AK245" s="43">
        <v>-3.7100000000000001E-2</v>
      </c>
    </row>
    <row r="246" spans="2:37" ht="14.65" thickBot="1" x14ac:dyDescent="0.5">
      <c r="B246" s="103" t="s">
        <v>13</v>
      </c>
      <c r="C246" s="104">
        <v>0</v>
      </c>
      <c r="D246" s="104">
        <v>0.28999999999999998</v>
      </c>
      <c r="E246" s="105">
        <v>0.3</v>
      </c>
      <c r="F246" s="105">
        <v>0.69</v>
      </c>
      <c r="G246" s="107">
        <v>0.7</v>
      </c>
      <c r="H246" s="108">
        <v>1</v>
      </c>
      <c r="J246" t="s">
        <v>194</v>
      </c>
    </row>
    <row r="247" spans="2:37" x14ac:dyDescent="0.45">
      <c r="J247" s="110" t="s">
        <v>94</v>
      </c>
      <c r="K247" s="92">
        <v>-0.2</v>
      </c>
      <c r="L247" s="92">
        <v>-0.3</v>
      </c>
      <c r="M247" s="114"/>
    </row>
    <row r="248" spans="2:37" x14ac:dyDescent="0.45">
      <c r="C248" s="287" t="s">
        <v>222</v>
      </c>
      <c r="D248" s="110" t="s">
        <v>73</v>
      </c>
      <c r="J248" s="110" t="s">
        <v>95</v>
      </c>
      <c r="K248" s="92">
        <v>1.5</v>
      </c>
      <c r="L248" s="114">
        <v>1.9</v>
      </c>
    </row>
    <row r="249" spans="2:37" x14ac:dyDescent="0.45">
      <c r="B249" s="92" t="s">
        <v>171</v>
      </c>
      <c r="C249" s="110"/>
      <c r="D249" s="110"/>
    </row>
    <row r="250" spans="2:37" x14ac:dyDescent="0.45">
      <c r="B250" s="110" t="s">
        <v>94</v>
      </c>
      <c r="C250" s="92">
        <v>2</v>
      </c>
      <c r="D250" s="92">
        <v>0.375</v>
      </c>
    </row>
    <row r="251" spans="2:37" x14ac:dyDescent="0.45">
      <c r="B251" s="110" t="s">
        <v>95</v>
      </c>
      <c r="C251" s="92">
        <v>-2.1</v>
      </c>
      <c r="D251" s="92">
        <v>0.17499999999999999</v>
      </c>
    </row>
    <row r="252" spans="2:37" x14ac:dyDescent="0.45">
      <c r="B252" s="110"/>
      <c r="D252" s="114"/>
    </row>
    <row r="263" spans="6:9" x14ac:dyDescent="0.45">
      <c r="F263" s="93"/>
      <c r="G263" s="93"/>
      <c r="H263" s="93"/>
    </row>
    <row r="264" spans="6:9" x14ac:dyDescent="0.45">
      <c r="F264" s="93"/>
      <c r="G264" s="93"/>
      <c r="H264" s="93"/>
    </row>
    <row r="268" spans="6:9" x14ac:dyDescent="0.45">
      <c r="I268" s="93"/>
    </row>
    <row r="269" spans="6:9" x14ac:dyDescent="0.45">
      <c r="F269" s="93"/>
      <c r="G269" s="93"/>
      <c r="H269" s="93"/>
      <c r="I269" s="93"/>
    </row>
    <row r="270" spans="6:9" x14ac:dyDescent="0.45">
      <c r="F270" s="93"/>
      <c r="G270" s="93"/>
      <c r="H270" s="93"/>
    </row>
    <row r="273" spans="2:16" ht="14.65" thickBot="1" x14ac:dyDescent="0.5">
      <c r="J273" s="92" t="s">
        <v>136</v>
      </c>
    </row>
    <row r="274" spans="2:16" x14ac:dyDescent="0.45">
      <c r="J274" s="95" t="s">
        <v>12</v>
      </c>
      <c r="K274" s="130"/>
      <c r="L274" s="99"/>
      <c r="M274" s="99"/>
      <c r="N274" s="99"/>
      <c r="O274" s="99">
        <v>6</v>
      </c>
      <c r="P274" s="100">
        <v>3.4</v>
      </c>
    </row>
    <row r="275" spans="2:16" ht="14.65" thickBot="1" x14ac:dyDescent="0.5">
      <c r="J275" s="103" t="s">
        <v>13</v>
      </c>
      <c r="K275" s="104">
        <v>0</v>
      </c>
      <c r="L275" s="104">
        <v>0.28999999999999998</v>
      </c>
      <c r="M275" s="105">
        <v>0.3</v>
      </c>
      <c r="N275" s="105">
        <v>0.69</v>
      </c>
      <c r="O275" s="107">
        <v>0.7</v>
      </c>
      <c r="P275" s="108">
        <v>1</v>
      </c>
    </row>
    <row r="277" spans="2:16" ht="14.65" thickBot="1" x14ac:dyDescent="0.5">
      <c r="B277" t="s">
        <v>284</v>
      </c>
      <c r="J277" t="s">
        <v>194</v>
      </c>
    </row>
    <row r="278" spans="2:16" x14ac:dyDescent="0.45">
      <c r="B278" s="203" t="s">
        <v>168</v>
      </c>
      <c r="C278" s="99">
        <v>0</v>
      </c>
      <c r="D278" s="99"/>
      <c r="E278" s="99">
        <v>10</v>
      </c>
      <c r="F278" s="99"/>
      <c r="G278" s="99">
        <v>50</v>
      </c>
      <c r="H278" s="100">
        <v>100</v>
      </c>
      <c r="J278" s="110" t="s">
        <v>94</v>
      </c>
      <c r="K278" s="92">
        <v>-0.1154</v>
      </c>
    </row>
    <row r="279" spans="2:16" x14ac:dyDescent="0.45">
      <c r="B279" s="215" t="s">
        <v>169</v>
      </c>
      <c r="C279" s="93">
        <v>0</v>
      </c>
      <c r="D279" s="93"/>
      <c r="E279" s="93">
        <v>5</v>
      </c>
      <c r="F279" s="93"/>
      <c r="G279" s="93">
        <v>25</v>
      </c>
      <c r="H279" s="122">
        <v>50</v>
      </c>
      <c r="J279" s="110" t="s">
        <v>95</v>
      </c>
      <c r="K279" s="92">
        <v>1.3923000000000001</v>
      </c>
      <c r="L279" s="114"/>
    </row>
    <row r="280" spans="2:16" ht="14.65" thickBot="1" x14ac:dyDescent="0.5">
      <c r="B280" s="103" t="s">
        <v>13</v>
      </c>
      <c r="C280" s="104">
        <v>0</v>
      </c>
      <c r="D280" s="104">
        <v>0.28999999999999998</v>
      </c>
      <c r="E280" s="105">
        <v>0.3</v>
      </c>
      <c r="F280" s="105">
        <v>0.69</v>
      </c>
      <c r="G280" s="107">
        <v>0.7</v>
      </c>
      <c r="H280" s="108">
        <v>1</v>
      </c>
    </row>
    <row r="282" spans="2:16" x14ac:dyDescent="0.45">
      <c r="C282" s="622" t="str">
        <f>B278</f>
        <v>Unconfined Alluvial</v>
      </c>
      <c r="D282" s="622"/>
      <c r="E282" s="622"/>
      <c r="F282" s="622" t="str">
        <f>B279</f>
        <v>Confined Alluvial</v>
      </c>
      <c r="G282" s="622"/>
      <c r="H282" s="622"/>
    </row>
    <row r="283" spans="2:16" x14ac:dyDescent="0.45">
      <c r="C283" s="43" t="s">
        <v>96</v>
      </c>
      <c r="D283" s="43" t="s">
        <v>157</v>
      </c>
      <c r="E283" s="43" t="s">
        <v>73</v>
      </c>
      <c r="F283" s="43" t="s">
        <v>96</v>
      </c>
      <c r="G283" s="43" t="s">
        <v>157</v>
      </c>
      <c r="H283" s="43" t="s">
        <v>73</v>
      </c>
    </row>
    <row r="284" spans="2:16" x14ac:dyDescent="0.45">
      <c r="B284" t="s">
        <v>221</v>
      </c>
    </row>
    <row r="285" spans="2:16" x14ac:dyDescent="0.45">
      <c r="B285" s="37" t="s">
        <v>94</v>
      </c>
      <c r="C285" s="92">
        <v>0.03</v>
      </c>
      <c r="D285" s="92">
        <v>0.01</v>
      </c>
      <c r="E285" s="92">
        <v>6.0000000000000001E-3</v>
      </c>
      <c r="F285" s="92">
        <v>0.06</v>
      </c>
      <c r="G285">
        <v>0.02</v>
      </c>
      <c r="H285">
        <v>1.2E-2</v>
      </c>
    </row>
    <row r="286" spans="2:16" x14ac:dyDescent="0.45">
      <c r="B286" s="37" t="s">
        <v>95</v>
      </c>
      <c r="C286" s="92">
        <v>0</v>
      </c>
      <c r="D286" s="92">
        <v>0.2</v>
      </c>
      <c r="E286" s="92">
        <v>0.4</v>
      </c>
      <c r="F286" s="114">
        <v>0</v>
      </c>
      <c r="G286">
        <v>0.2</v>
      </c>
      <c r="H286">
        <v>0.4</v>
      </c>
    </row>
    <row r="304" spans="10:10" ht="14.65" thickBot="1" x14ac:dyDescent="0.5">
      <c r="J304" t="s">
        <v>227</v>
      </c>
    </row>
    <row r="305" spans="2:16" x14ac:dyDescent="0.45">
      <c r="J305" s="615" t="s">
        <v>12</v>
      </c>
      <c r="K305" s="130">
        <f>1.1/0.6</f>
        <v>1.8333333333333335</v>
      </c>
      <c r="L305" s="99"/>
      <c r="M305" s="99"/>
      <c r="N305" s="99"/>
      <c r="O305" s="99">
        <v>3</v>
      </c>
      <c r="P305" s="100">
        <v>3.5</v>
      </c>
    </row>
    <row r="306" spans="2:16" x14ac:dyDescent="0.45">
      <c r="J306" s="616"/>
      <c r="K306" s="132">
        <f>2.5/0.3</f>
        <v>8.3333333333333339</v>
      </c>
      <c r="L306" s="93"/>
      <c r="M306" s="93"/>
      <c r="N306" s="93"/>
      <c r="O306" s="93">
        <v>6</v>
      </c>
      <c r="P306" s="122">
        <v>5</v>
      </c>
    </row>
    <row r="307" spans="2:16" ht="14.65" thickBot="1" x14ac:dyDescent="0.5">
      <c r="J307" s="103" t="s">
        <v>13</v>
      </c>
      <c r="K307" s="104">
        <v>0</v>
      </c>
      <c r="L307" s="104">
        <v>0.28999999999999998</v>
      </c>
      <c r="M307" s="105">
        <v>0.3</v>
      </c>
      <c r="N307" s="105">
        <v>0.69</v>
      </c>
      <c r="O307" s="107">
        <v>0.7</v>
      </c>
      <c r="P307" s="108">
        <v>1</v>
      </c>
    </row>
    <row r="309" spans="2:16" ht="17.45" customHeight="1" x14ac:dyDescent="0.45">
      <c r="K309" s="110" t="s">
        <v>138</v>
      </c>
      <c r="L309" s="110" t="s">
        <v>139</v>
      </c>
    </row>
    <row r="310" spans="2:16" x14ac:dyDescent="0.45">
      <c r="J310" t="s">
        <v>221</v>
      </c>
    </row>
    <row r="311" spans="2:16" ht="14.65" thickBot="1" x14ac:dyDescent="0.5">
      <c r="B311" t="s">
        <v>248</v>
      </c>
      <c r="J311" s="110" t="s">
        <v>94</v>
      </c>
      <c r="K311" s="92">
        <v>0.6</v>
      </c>
      <c r="L311" s="92">
        <v>-0.3</v>
      </c>
    </row>
    <row r="312" spans="2:16" x14ac:dyDescent="0.45">
      <c r="B312" s="615" t="s">
        <v>12</v>
      </c>
      <c r="C312" s="99">
        <v>0</v>
      </c>
      <c r="D312" s="99"/>
      <c r="E312" s="99"/>
      <c r="F312" s="99"/>
      <c r="G312" s="99"/>
      <c r="H312" s="100">
        <v>0.9</v>
      </c>
      <c r="J312" s="110" t="s">
        <v>95</v>
      </c>
      <c r="K312" s="92">
        <v>-1.1000000000000001</v>
      </c>
      <c r="L312" s="114">
        <v>2.5</v>
      </c>
    </row>
    <row r="313" spans="2:16" x14ac:dyDescent="0.45">
      <c r="B313" s="616"/>
      <c r="C313" s="93">
        <v>2</v>
      </c>
      <c r="D313" s="93"/>
      <c r="E313" s="93"/>
      <c r="F313" s="93"/>
      <c r="G313" s="93"/>
      <c r="H313" s="122">
        <v>1.1000000000000001</v>
      </c>
    </row>
    <row r="314" spans="2:16" ht="14.65" thickBot="1" x14ac:dyDescent="0.5">
      <c r="B314" s="103" t="s">
        <v>13</v>
      </c>
      <c r="C314" s="104">
        <v>0</v>
      </c>
      <c r="D314" s="104">
        <v>0.28999999999999998</v>
      </c>
      <c r="E314" s="105">
        <v>0.3</v>
      </c>
      <c r="F314" s="105">
        <v>0.69</v>
      </c>
      <c r="G314" s="107">
        <v>0.7</v>
      </c>
      <c r="H314" s="108">
        <v>1</v>
      </c>
    </row>
    <row r="316" spans="2:16" x14ac:dyDescent="0.45">
      <c r="C316" s="110" t="s">
        <v>138</v>
      </c>
      <c r="D316" s="110" t="s">
        <v>139</v>
      </c>
    </row>
    <row r="317" spans="2:16" x14ac:dyDescent="0.45">
      <c r="B317" t="s">
        <v>221</v>
      </c>
    </row>
    <row r="318" spans="2:16" x14ac:dyDescent="0.45">
      <c r="B318" s="37" t="s">
        <v>94</v>
      </c>
      <c r="C318" s="92">
        <v>1.1111</v>
      </c>
      <c r="D318" s="92">
        <v>-1.1111</v>
      </c>
    </row>
    <row r="319" spans="2:16" x14ac:dyDescent="0.45">
      <c r="B319" s="37" t="s">
        <v>95</v>
      </c>
      <c r="C319" s="92">
        <v>0</v>
      </c>
      <c r="D319" s="114">
        <v>2.2222</v>
      </c>
    </row>
    <row r="337" spans="10:16" ht="14.65" thickBot="1" x14ac:dyDescent="0.5">
      <c r="J337" s="92" t="s">
        <v>46</v>
      </c>
    </row>
    <row r="338" spans="10:16" x14ac:dyDescent="0.45">
      <c r="J338" s="95" t="s">
        <v>12</v>
      </c>
      <c r="K338" s="101">
        <v>1</v>
      </c>
      <c r="L338" s="99"/>
      <c r="M338" s="99"/>
      <c r="N338" s="99"/>
      <c r="O338" s="99">
        <v>2.2000000000000002</v>
      </c>
      <c r="P338" s="102">
        <v>3.2</v>
      </c>
    </row>
    <row r="339" spans="10:16" ht="14.65" thickBot="1" x14ac:dyDescent="0.5">
      <c r="J339" s="103" t="s">
        <v>13</v>
      </c>
      <c r="K339" s="104">
        <v>0</v>
      </c>
      <c r="L339" s="104">
        <v>0.28999999999999998</v>
      </c>
      <c r="M339" s="105">
        <v>0.3</v>
      </c>
      <c r="N339" s="105">
        <v>0.69</v>
      </c>
      <c r="O339" s="107">
        <v>0.7</v>
      </c>
      <c r="P339" s="108">
        <v>1</v>
      </c>
    </row>
    <row r="341" spans="10:16" x14ac:dyDescent="0.45">
      <c r="J341" s="110"/>
      <c r="K341" s="37" t="s">
        <v>222</v>
      </c>
      <c r="L341" s="110" t="s">
        <v>73</v>
      </c>
    </row>
    <row r="342" spans="10:16" x14ac:dyDescent="0.45">
      <c r="J342" t="s">
        <v>194</v>
      </c>
    </row>
    <row r="343" spans="10:16" x14ac:dyDescent="0.45">
      <c r="J343" s="37" t="s">
        <v>94</v>
      </c>
      <c r="K343" s="92">
        <v>0.58330000000000004</v>
      </c>
      <c r="L343" s="92">
        <v>0.3</v>
      </c>
    </row>
    <row r="344" spans="10:16" x14ac:dyDescent="0.45">
      <c r="J344" s="37" t="s">
        <v>95</v>
      </c>
      <c r="K344" s="92">
        <v>-0.58330000000000004</v>
      </c>
      <c r="L344" s="92">
        <v>0.04</v>
      </c>
    </row>
    <row r="345" spans="10:16" x14ac:dyDescent="0.45">
      <c r="L345" s="114"/>
    </row>
    <row r="353" spans="10:17" x14ac:dyDescent="0.45">
      <c r="J353" s="93"/>
    </row>
    <row r="354" spans="10:17" x14ac:dyDescent="0.45">
      <c r="J354" s="93"/>
    </row>
    <row r="356" spans="10:17" x14ac:dyDescent="0.45">
      <c r="J356" s="93"/>
    </row>
    <row r="357" spans="10:17" x14ac:dyDescent="0.45">
      <c r="J357" s="93"/>
    </row>
    <row r="364" spans="10:17" x14ac:dyDescent="0.45">
      <c r="J364" s="93"/>
    </row>
    <row r="365" spans="10:17" x14ac:dyDescent="0.45">
      <c r="J365" s="93"/>
    </row>
    <row r="367" spans="10:17" x14ac:dyDescent="0.45">
      <c r="J367" s="93"/>
      <c r="K367" s="93"/>
      <c r="L367" s="93"/>
      <c r="M367" s="93"/>
      <c r="N367" s="93"/>
      <c r="O367" s="93"/>
      <c r="P367" s="93"/>
    </row>
    <row r="368" spans="10:17" x14ac:dyDescent="0.45">
      <c r="J368" s="286"/>
      <c r="K368" s="285"/>
      <c r="L368" s="285"/>
      <c r="M368" s="285"/>
      <c r="N368" s="285"/>
      <c r="O368" s="285"/>
      <c r="P368" s="285"/>
      <c r="Q368" s="285"/>
    </row>
    <row r="369" spans="9:17" x14ac:dyDescent="0.45">
      <c r="I369" s="285"/>
      <c r="J369" s="285"/>
      <c r="K369" s="285"/>
      <c r="L369" s="285"/>
      <c r="M369" s="285"/>
      <c r="N369" s="285"/>
      <c r="O369" s="285"/>
      <c r="P369" s="285"/>
      <c r="Q369" s="285"/>
    </row>
    <row r="370" spans="9:17" ht="14.65" thickBot="1" x14ac:dyDescent="0.5">
      <c r="I370" s="285"/>
      <c r="J370" s="92" t="s">
        <v>146</v>
      </c>
      <c r="Q370" s="285"/>
    </row>
    <row r="371" spans="9:17" x14ac:dyDescent="0.45">
      <c r="I371" s="285"/>
      <c r="J371" s="617" t="s">
        <v>12</v>
      </c>
      <c r="K371" s="123"/>
      <c r="L371" s="99"/>
      <c r="M371" s="99"/>
      <c r="N371" s="99"/>
      <c r="O371" s="99">
        <v>39</v>
      </c>
      <c r="P371" s="100">
        <v>50</v>
      </c>
      <c r="Q371" s="285"/>
    </row>
    <row r="372" spans="9:17" x14ac:dyDescent="0.45">
      <c r="I372" s="285"/>
      <c r="J372" s="616"/>
      <c r="K372" s="138"/>
      <c r="L372" s="93"/>
      <c r="M372" s="93"/>
      <c r="N372" s="93"/>
      <c r="O372" s="93">
        <v>69</v>
      </c>
      <c r="P372" s="122">
        <v>60</v>
      </c>
      <c r="Q372" s="285"/>
    </row>
    <row r="373" spans="9:17" ht="14.65" thickBot="1" x14ac:dyDescent="0.5">
      <c r="I373" s="285"/>
      <c r="J373" s="204" t="s">
        <v>13</v>
      </c>
      <c r="K373" s="104">
        <v>0</v>
      </c>
      <c r="L373" s="104">
        <v>0.28999999999999998</v>
      </c>
      <c r="M373" s="105">
        <v>0.3</v>
      </c>
      <c r="N373" s="105">
        <v>0.69</v>
      </c>
      <c r="O373" s="107">
        <v>0.7</v>
      </c>
      <c r="P373" s="108">
        <v>1</v>
      </c>
      <c r="Q373" s="285"/>
    </row>
    <row r="374" spans="9:17" x14ac:dyDescent="0.45">
      <c r="I374" s="285"/>
      <c r="Q374" s="285"/>
    </row>
    <row r="375" spans="9:17" x14ac:dyDescent="0.45">
      <c r="I375" s="285"/>
      <c r="K375" s="110" t="s">
        <v>138</v>
      </c>
      <c r="L375" s="110" t="s">
        <v>140</v>
      </c>
      <c r="Q375" s="285"/>
    </row>
    <row r="376" spans="9:17" x14ac:dyDescent="0.45">
      <c r="I376" s="285"/>
      <c r="J376" t="s">
        <v>194</v>
      </c>
      <c r="Q376" s="285"/>
    </row>
    <row r="377" spans="9:17" x14ac:dyDescent="0.45">
      <c r="I377" s="285"/>
      <c r="J377" s="37" t="s">
        <v>94</v>
      </c>
      <c r="K377" s="92">
        <v>2.7300000000000001E-2</v>
      </c>
      <c r="L377" s="92">
        <v>-3.3300000000000003E-2</v>
      </c>
      <c r="Q377" s="285"/>
    </row>
    <row r="378" spans="9:17" x14ac:dyDescent="0.45">
      <c r="I378" s="285"/>
      <c r="J378" s="37" t="s">
        <v>95</v>
      </c>
      <c r="K378" s="92">
        <v>-0.36359999999999998</v>
      </c>
      <c r="L378" s="114">
        <v>3</v>
      </c>
      <c r="Q378" s="285"/>
    </row>
    <row r="379" spans="9:17" x14ac:dyDescent="0.45">
      <c r="I379" s="285"/>
      <c r="Q379" s="285"/>
    </row>
    <row r="380" spans="9:17" x14ac:dyDescent="0.45">
      <c r="I380" s="285"/>
      <c r="Q380" s="285"/>
    </row>
    <row r="381" spans="9:17" x14ac:dyDescent="0.45">
      <c r="I381" s="285"/>
      <c r="Q381" s="285"/>
    </row>
    <row r="382" spans="9:17" x14ac:dyDescent="0.45">
      <c r="I382" s="285"/>
      <c r="Q382" s="285"/>
    </row>
    <row r="383" spans="9:17" x14ac:dyDescent="0.45">
      <c r="I383" s="285"/>
      <c r="Q383" s="285"/>
    </row>
    <row r="384" spans="9:17" x14ac:dyDescent="0.45">
      <c r="I384" s="285"/>
      <c r="Q384" s="285"/>
    </row>
    <row r="385" spans="9:17" x14ac:dyDescent="0.45">
      <c r="I385" s="285"/>
      <c r="Q385" s="285"/>
    </row>
    <row r="386" spans="9:17" x14ac:dyDescent="0.45">
      <c r="I386" s="285"/>
      <c r="Q386" s="285"/>
    </row>
    <row r="387" spans="9:17" x14ac:dyDescent="0.45">
      <c r="I387" s="285"/>
      <c r="Q387" s="285"/>
    </row>
    <row r="388" spans="9:17" x14ac:dyDescent="0.45">
      <c r="I388" s="285"/>
      <c r="Q388" s="285"/>
    </row>
    <row r="389" spans="9:17" x14ac:dyDescent="0.45">
      <c r="I389" s="285"/>
      <c r="Q389" s="285"/>
    </row>
    <row r="390" spans="9:17" x14ac:dyDescent="0.45">
      <c r="I390" s="285"/>
      <c r="Q390" s="285"/>
    </row>
    <row r="391" spans="9:17" x14ac:dyDescent="0.45">
      <c r="I391" s="285"/>
      <c r="Q391" s="285"/>
    </row>
    <row r="392" spans="9:17" x14ac:dyDescent="0.45">
      <c r="I392" s="285"/>
      <c r="Q392" s="285"/>
    </row>
    <row r="393" spans="9:17" x14ac:dyDescent="0.45">
      <c r="I393" s="285"/>
      <c r="Q393" s="285"/>
    </row>
    <row r="394" spans="9:17" x14ac:dyDescent="0.45">
      <c r="I394" s="285"/>
      <c r="Q394" s="285"/>
    </row>
    <row r="395" spans="9:17" x14ac:dyDescent="0.45">
      <c r="I395" s="285"/>
      <c r="Q395" s="285"/>
    </row>
    <row r="396" spans="9:17" x14ac:dyDescent="0.45">
      <c r="I396" s="285"/>
      <c r="Q396" s="285"/>
    </row>
    <row r="397" spans="9:17" x14ac:dyDescent="0.45">
      <c r="I397" s="285"/>
      <c r="Q397" s="285"/>
    </row>
    <row r="398" spans="9:17" x14ac:dyDescent="0.45">
      <c r="I398" s="285"/>
      <c r="Q398" s="285"/>
    </row>
    <row r="399" spans="9:17" x14ac:dyDescent="0.45">
      <c r="I399" s="285"/>
      <c r="Q399" s="285"/>
    </row>
    <row r="400" spans="9:17" x14ac:dyDescent="0.45">
      <c r="I400" s="285"/>
      <c r="Q400" s="285"/>
    </row>
    <row r="401" spans="8:18" x14ac:dyDescent="0.45">
      <c r="I401" s="285"/>
      <c r="Q401" s="285"/>
    </row>
    <row r="402" spans="8:18" x14ac:dyDescent="0.45">
      <c r="I402" s="285"/>
      <c r="R402" s="285"/>
    </row>
    <row r="403" spans="8:18" x14ac:dyDescent="0.45">
      <c r="R403" s="285"/>
    </row>
    <row r="404" spans="8:18" ht="14.65" thickBot="1" x14ac:dyDescent="0.5">
      <c r="J404" s="92" t="s">
        <v>147</v>
      </c>
      <c r="R404" s="285"/>
    </row>
    <row r="405" spans="8:18" x14ac:dyDescent="0.45">
      <c r="J405" s="615" t="s">
        <v>12</v>
      </c>
      <c r="K405" s="139"/>
      <c r="L405" s="99"/>
      <c r="M405" s="99"/>
      <c r="N405" s="99"/>
      <c r="O405" s="99">
        <v>60</v>
      </c>
      <c r="P405" s="100">
        <v>68</v>
      </c>
      <c r="R405" s="285"/>
    </row>
    <row r="406" spans="8:18" x14ac:dyDescent="0.45">
      <c r="J406" s="616"/>
      <c r="K406" s="140"/>
      <c r="L406" s="93"/>
      <c r="M406" s="93"/>
      <c r="N406" s="93"/>
      <c r="O406" s="93">
        <v>83</v>
      </c>
      <c r="P406" s="122">
        <v>78</v>
      </c>
      <c r="R406" s="285"/>
    </row>
    <row r="407" spans="8:18" ht="14.65" thickBot="1" x14ac:dyDescent="0.5">
      <c r="J407" s="103" t="s">
        <v>13</v>
      </c>
      <c r="K407" s="104">
        <v>0</v>
      </c>
      <c r="L407" s="104">
        <v>0.28999999999999998</v>
      </c>
      <c r="M407" s="105">
        <v>0.3</v>
      </c>
      <c r="N407" s="105">
        <v>0.69</v>
      </c>
      <c r="O407" s="107">
        <v>0.7</v>
      </c>
      <c r="P407" s="108">
        <v>1</v>
      </c>
      <c r="R407" s="285"/>
    </row>
    <row r="408" spans="8:18" x14ac:dyDescent="0.45">
      <c r="R408" s="285"/>
    </row>
    <row r="409" spans="8:18" x14ac:dyDescent="0.45">
      <c r="H409" s="285"/>
      <c r="K409" s="110" t="s">
        <v>138</v>
      </c>
      <c r="L409" s="110" t="s">
        <v>140</v>
      </c>
      <c r="R409" s="285"/>
    </row>
    <row r="410" spans="8:18" x14ac:dyDescent="0.45">
      <c r="H410" s="285"/>
      <c r="J410" t="s">
        <v>194</v>
      </c>
      <c r="R410" s="285"/>
    </row>
    <row r="411" spans="8:18" x14ac:dyDescent="0.45">
      <c r="H411" s="285"/>
      <c r="J411" s="37" t="s">
        <v>94</v>
      </c>
      <c r="K411" s="92">
        <v>3.7499999999999999E-2</v>
      </c>
      <c r="L411" s="92">
        <v>-0.06</v>
      </c>
      <c r="N411" s="112"/>
      <c r="O411" s="112"/>
      <c r="R411" s="285"/>
    </row>
    <row r="412" spans="8:18" x14ac:dyDescent="0.45">
      <c r="H412" s="285"/>
      <c r="J412" s="37" t="s">
        <v>95</v>
      </c>
      <c r="K412" s="92">
        <v>-1.55</v>
      </c>
      <c r="L412" s="92">
        <v>5.68</v>
      </c>
      <c r="R412" s="285"/>
    </row>
    <row r="413" spans="8:18" x14ac:dyDescent="0.45">
      <c r="H413" s="285"/>
      <c r="L413" s="114"/>
      <c r="M413" s="114"/>
      <c r="R413" s="285"/>
    </row>
    <row r="414" spans="8:18" x14ac:dyDescent="0.45">
      <c r="H414" s="285"/>
      <c r="L414" s="114"/>
      <c r="R414" s="285"/>
    </row>
    <row r="415" spans="8:18" x14ac:dyDescent="0.45">
      <c r="H415" s="285"/>
      <c r="R415" s="285"/>
    </row>
    <row r="416" spans="8:18" x14ac:dyDescent="0.45">
      <c r="H416" s="285"/>
      <c r="R416" s="285"/>
    </row>
    <row r="417" spans="8:18" x14ac:dyDescent="0.45">
      <c r="H417" s="285"/>
      <c r="R417" s="285"/>
    </row>
    <row r="418" spans="8:18" x14ac:dyDescent="0.45">
      <c r="H418" s="285"/>
      <c r="R418" s="285"/>
    </row>
    <row r="419" spans="8:18" x14ac:dyDescent="0.45">
      <c r="H419" s="285"/>
      <c r="R419" s="285"/>
    </row>
    <row r="420" spans="8:18" x14ac:dyDescent="0.45">
      <c r="H420" s="285"/>
      <c r="R420" s="285"/>
    </row>
    <row r="421" spans="8:18" x14ac:dyDescent="0.45">
      <c r="H421" s="285"/>
      <c r="R421" s="285"/>
    </row>
    <row r="422" spans="8:18" x14ac:dyDescent="0.45">
      <c r="H422" s="285"/>
      <c r="R422" s="285"/>
    </row>
    <row r="423" spans="8:18" x14ac:dyDescent="0.45">
      <c r="H423" s="285"/>
      <c r="R423" s="285"/>
    </row>
    <row r="424" spans="8:18" x14ac:dyDescent="0.45">
      <c r="H424" s="285"/>
      <c r="R424" s="285"/>
    </row>
    <row r="425" spans="8:18" x14ac:dyDescent="0.45">
      <c r="H425" s="285"/>
      <c r="R425" s="285"/>
    </row>
    <row r="426" spans="8:18" x14ac:dyDescent="0.45">
      <c r="H426" s="285"/>
      <c r="R426" s="285"/>
    </row>
    <row r="427" spans="8:18" x14ac:dyDescent="0.45">
      <c r="H427" s="285"/>
      <c r="R427" s="285"/>
    </row>
    <row r="428" spans="8:18" x14ac:dyDescent="0.45">
      <c r="H428" s="285"/>
      <c r="R428" s="285"/>
    </row>
    <row r="429" spans="8:18" x14ac:dyDescent="0.45">
      <c r="H429" s="285"/>
      <c r="R429" s="285"/>
    </row>
    <row r="430" spans="8:18" x14ac:dyDescent="0.45">
      <c r="H430" s="285"/>
      <c r="R430" s="285"/>
    </row>
    <row r="431" spans="8:18" x14ac:dyDescent="0.45">
      <c r="H431" s="285"/>
      <c r="R431" s="285"/>
    </row>
    <row r="432" spans="8:18" x14ac:dyDescent="0.45">
      <c r="H432" s="285"/>
      <c r="R432" s="285"/>
    </row>
    <row r="433" spans="8:18" x14ac:dyDescent="0.45">
      <c r="H433" s="285"/>
      <c r="R433" s="285"/>
    </row>
    <row r="434" spans="8:18" x14ac:dyDescent="0.45">
      <c r="H434" s="285"/>
      <c r="R434" s="285"/>
    </row>
    <row r="435" spans="8:18" x14ac:dyDescent="0.45">
      <c r="H435" s="285"/>
      <c r="R435" s="285"/>
    </row>
    <row r="436" spans="8:18" x14ac:dyDescent="0.45">
      <c r="H436" s="285"/>
    </row>
    <row r="437" spans="8:18" ht="14.65" thickBot="1" x14ac:dyDescent="0.5">
      <c r="H437" s="285"/>
      <c r="J437" s="92" t="s">
        <v>142</v>
      </c>
    </row>
    <row r="438" spans="8:18" x14ac:dyDescent="0.45">
      <c r="H438" s="285"/>
      <c r="J438" s="95" t="s">
        <v>12</v>
      </c>
      <c r="K438" s="99">
        <v>1.6</v>
      </c>
      <c r="L438" s="99"/>
      <c r="M438" s="99">
        <v>1.4</v>
      </c>
      <c r="N438" s="99">
        <v>1.2</v>
      </c>
      <c r="O438" s="99"/>
      <c r="P438" s="100">
        <v>1</v>
      </c>
    </row>
    <row r="439" spans="8:18" ht="14.65" thickBot="1" x14ac:dyDescent="0.5">
      <c r="H439" s="285"/>
      <c r="J439" s="103" t="s">
        <v>13</v>
      </c>
      <c r="K439" s="104">
        <v>0</v>
      </c>
      <c r="L439" s="104">
        <v>0.28999999999999998</v>
      </c>
      <c r="M439" s="105">
        <v>0.3</v>
      </c>
      <c r="N439" s="105">
        <v>0.69</v>
      </c>
      <c r="O439" s="107">
        <v>0.7</v>
      </c>
      <c r="P439" s="108">
        <v>1</v>
      </c>
    </row>
    <row r="440" spans="8:18" x14ac:dyDescent="0.45">
      <c r="H440" s="285"/>
    </row>
    <row r="441" spans="8:18" x14ac:dyDescent="0.45">
      <c r="H441" s="285"/>
      <c r="J441" s="92" t="s">
        <v>145</v>
      </c>
    </row>
    <row r="442" spans="8:18" x14ac:dyDescent="0.45">
      <c r="H442" s="285"/>
      <c r="J442" s="110" t="s">
        <v>94</v>
      </c>
      <c r="K442" s="92">
        <v>3.5417000000000001</v>
      </c>
    </row>
    <row r="443" spans="8:18" x14ac:dyDescent="0.45">
      <c r="J443" s="110" t="s">
        <v>95</v>
      </c>
      <c r="K443" s="92">
        <v>-13.75</v>
      </c>
    </row>
    <row r="444" spans="8:18" x14ac:dyDescent="0.45">
      <c r="J444" s="110" t="s">
        <v>97</v>
      </c>
      <c r="K444" s="92">
        <v>15.808299999999999</v>
      </c>
    </row>
    <row r="445" spans="8:18" x14ac:dyDescent="0.45">
      <c r="J445" s="110" t="s">
        <v>98</v>
      </c>
      <c r="K445" s="92">
        <v>-4.5999999999999996</v>
      </c>
      <c r="L445" s="114"/>
    </row>
    <row r="471" spans="10:16" ht="14.65" thickBot="1" x14ac:dyDescent="0.5">
      <c r="J471" t="s">
        <v>409</v>
      </c>
    </row>
    <row r="472" spans="10:16" x14ac:dyDescent="0.45">
      <c r="J472" s="202" t="s">
        <v>235</v>
      </c>
      <c r="K472" s="96">
        <v>0</v>
      </c>
      <c r="L472" s="96">
        <v>30</v>
      </c>
      <c r="M472" s="149"/>
      <c r="N472" s="149"/>
      <c r="O472" s="149"/>
      <c r="P472" s="150">
        <v>100</v>
      </c>
    </row>
    <row r="473" spans="10:16" x14ac:dyDescent="0.45">
      <c r="J473" s="28" t="s">
        <v>428</v>
      </c>
      <c r="K473" s="92">
        <v>0</v>
      </c>
      <c r="L473" s="92">
        <v>60</v>
      </c>
      <c r="M473" s="151"/>
      <c r="N473" s="133"/>
      <c r="O473" s="133"/>
      <c r="P473" s="152">
        <v>100</v>
      </c>
    </row>
    <row r="474" spans="10:16" ht="14.65" thickBot="1" x14ac:dyDescent="0.5">
      <c r="J474" s="103" t="s">
        <v>13</v>
      </c>
      <c r="K474" s="104">
        <v>0</v>
      </c>
      <c r="L474" s="104">
        <v>0.28999999999999998</v>
      </c>
      <c r="M474" s="105">
        <v>0.3</v>
      </c>
      <c r="N474" s="105">
        <v>0.69</v>
      </c>
      <c r="O474" s="107">
        <v>0.7</v>
      </c>
      <c r="P474" s="108">
        <v>1</v>
      </c>
    </row>
    <row r="475" spans="10:16" x14ac:dyDescent="0.45">
      <c r="L475" s="284"/>
      <c r="M475" s="284"/>
    </row>
    <row r="476" spans="10:16" ht="75" customHeight="1" x14ac:dyDescent="0.45">
      <c r="J476" s="285"/>
      <c r="K476" s="354" t="s">
        <v>168</v>
      </c>
      <c r="L476" s="623" t="str">
        <f>J473</f>
        <v>Confined Alluvial, Colluvial/V-Shaped, or Bedrock Valleys</v>
      </c>
      <c r="M476" s="623"/>
      <c r="N476" s="129"/>
    </row>
    <row r="477" spans="10:16" ht="16.5" customHeight="1" x14ac:dyDescent="0.45">
      <c r="J477" s="285"/>
      <c r="K477" s="354"/>
      <c r="L477" s="284" t="s">
        <v>403</v>
      </c>
      <c r="M477" s="284" t="s">
        <v>96</v>
      </c>
      <c r="N477" s="129"/>
    </row>
    <row r="478" spans="10:16" x14ac:dyDescent="0.45">
      <c r="J478" s="293" t="s">
        <v>194</v>
      </c>
      <c r="K478" s="285"/>
      <c r="L478" s="293"/>
    </row>
    <row r="479" spans="10:16" x14ac:dyDescent="0.45">
      <c r="J479" s="349" t="s">
        <v>94</v>
      </c>
      <c r="K479" s="285">
        <v>1.0024999999999999E-2</v>
      </c>
      <c r="L479" s="285">
        <v>1.7749999999999998E-2</v>
      </c>
      <c r="M479" s="92">
        <v>4.8329999999999996E-3</v>
      </c>
      <c r="O479" s="284"/>
    </row>
    <row r="480" spans="10:16" x14ac:dyDescent="0.45">
      <c r="J480" s="349" t="s">
        <v>95</v>
      </c>
      <c r="K480" s="285">
        <v>-4.4299999999999999E-3</v>
      </c>
      <c r="L480" s="285">
        <v>-0.77500000000000002</v>
      </c>
      <c r="M480" s="92">
        <v>0</v>
      </c>
    </row>
    <row r="506" spans="10:16" ht="14.65" thickBot="1" x14ac:dyDescent="0.5">
      <c r="J506" t="s">
        <v>226</v>
      </c>
    </row>
    <row r="507" spans="10:16" x14ac:dyDescent="0.45">
      <c r="J507" s="203" t="s">
        <v>218</v>
      </c>
      <c r="K507" s="99">
        <v>0</v>
      </c>
      <c r="L507" s="157"/>
      <c r="M507" s="99"/>
      <c r="N507" s="157"/>
      <c r="O507" s="99">
        <v>69</v>
      </c>
      <c r="P507" s="158">
        <v>122</v>
      </c>
    </row>
    <row r="508" spans="10:16" ht="14.65" thickBot="1" x14ac:dyDescent="0.5">
      <c r="J508" s="103" t="s">
        <v>13</v>
      </c>
      <c r="K508" s="125">
        <v>0</v>
      </c>
      <c r="L508" s="125">
        <v>0.28999999999999998</v>
      </c>
      <c r="M508" s="126">
        <v>0.3</v>
      </c>
      <c r="N508" s="126">
        <v>0.69</v>
      </c>
      <c r="O508" s="127">
        <v>0.7</v>
      </c>
      <c r="P508" s="128">
        <v>1</v>
      </c>
    </row>
    <row r="510" spans="10:16" x14ac:dyDescent="0.45">
      <c r="J510" s="293" t="s">
        <v>194</v>
      </c>
      <c r="K510" s="285"/>
      <c r="L510" s="293"/>
      <c r="M510" s="124"/>
    </row>
    <row r="511" spans="10:16" x14ac:dyDescent="0.45">
      <c r="J511" s="293"/>
      <c r="K511" s="352" t="s">
        <v>222</v>
      </c>
      <c r="L511" s="293" t="s">
        <v>73</v>
      </c>
      <c r="M511" s="124"/>
    </row>
    <row r="512" spans="10:16" x14ac:dyDescent="0.45">
      <c r="J512" s="349" t="s">
        <v>94</v>
      </c>
      <c r="K512" s="285">
        <v>1.01E-2</v>
      </c>
      <c r="L512" s="285">
        <v>5.6600000000000001E-3</v>
      </c>
      <c r="O512" s="284"/>
    </row>
    <row r="513" spans="10:12" x14ac:dyDescent="0.45">
      <c r="J513" s="349" t="s">
        <v>95</v>
      </c>
      <c r="K513" s="352">
        <v>0</v>
      </c>
      <c r="L513" s="285">
        <v>0.30943399999999999</v>
      </c>
    </row>
    <row r="514" spans="10:12" x14ac:dyDescent="0.45">
      <c r="J514" s="349"/>
      <c r="K514" s="285"/>
      <c r="L514" s="285"/>
    </row>
    <row r="515" spans="10:12" x14ac:dyDescent="0.45">
      <c r="J515" s="110"/>
    </row>
    <row r="533" spans="10:17" x14ac:dyDescent="0.45">
      <c r="Q533" s="93"/>
    </row>
    <row r="534" spans="10:17" x14ac:dyDescent="0.45">
      <c r="Q534" s="93"/>
    </row>
    <row r="539" spans="10:17" x14ac:dyDescent="0.45">
      <c r="Q539" s="93"/>
    </row>
    <row r="540" spans="10:17" ht="14.65" thickBot="1" x14ac:dyDescent="0.5">
      <c r="J540" t="s">
        <v>226</v>
      </c>
      <c r="Q540" s="93"/>
    </row>
    <row r="541" spans="10:17" x14ac:dyDescent="0.45">
      <c r="J541" s="618" t="s">
        <v>144</v>
      </c>
      <c r="K541" s="123">
        <v>0</v>
      </c>
      <c r="L541" s="161"/>
      <c r="M541" s="123"/>
      <c r="N541" s="161"/>
      <c r="O541" s="123"/>
      <c r="P541" s="162">
        <v>69</v>
      </c>
    </row>
    <row r="542" spans="10:17" x14ac:dyDescent="0.45">
      <c r="J542" s="619"/>
      <c r="K542" s="138"/>
      <c r="L542" s="159">
        <v>101</v>
      </c>
      <c r="M542" s="138"/>
      <c r="N542" s="159"/>
      <c r="O542" s="138"/>
      <c r="P542" s="160">
        <v>76</v>
      </c>
    </row>
    <row r="543" spans="10:17" ht="14.65" thickBot="1" x14ac:dyDescent="0.5">
      <c r="J543" s="103" t="s">
        <v>13</v>
      </c>
      <c r="K543" s="125">
        <v>0</v>
      </c>
      <c r="L543" s="125">
        <v>0.28999999999999998</v>
      </c>
      <c r="M543" s="126">
        <v>0.3</v>
      </c>
      <c r="N543" s="126">
        <v>0.69</v>
      </c>
      <c r="O543" s="127">
        <v>0.7</v>
      </c>
      <c r="P543" s="128">
        <v>1</v>
      </c>
    </row>
    <row r="545" spans="10:17" x14ac:dyDescent="0.45">
      <c r="J545" s="285"/>
      <c r="K545" s="350" t="s">
        <v>196</v>
      </c>
      <c r="L545" s="350" t="s">
        <v>197</v>
      </c>
      <c r="M545" s="116"/>
      <c r="Q545" s="93"/>
    </row>
    <row r="546" spans="10:17" x14ac:dyDescent="0.45">
      <c r="J546" s="293" t="s">
        <v>194</v>
      </c>
      <c r="K546" s="285"/>
      <c r="L546" s="285"/>
      <c r="Q546" s="93"/>
    </row>
    <row r="547" spans="10:17" x14ac:dyDescent="0.45">
      <c r="J547" s="351" t="s">
        <v>94</v>
      </c>
      <c r="K547" s="285">
        <v>1.4500000000000001E-2</v>
      </c>
      <c r="L547" s="285">
        <v>-2.8400000000000002E-2</v>
      </c>
    </row>
    <row r="548" spans="10:17" x14ac:dyDescent="0.45">
      <c r="J548" s="351" t="s">
        <v>95</v>
      </c>
      <c r="K548" s="285">
        <v>0</v>
      </c>
      <c r="L548" s="285">
        <v>3.1583999999999999</v>
      </c>
    </row>
    <row r="549" spans="10:17" x14ac:dyDescent="0.45">
      <c r="J549" s="110"/>
    </row>
    <row r="572" spans="10:16" ht="14.65" thickBot="1" x14ac:dyDescent="0.5">
      <c r="J572" t="s">
        <v>223</v>
      </c>
    </row>
    <row r="573" spans="10:16" x14ac:dyDescent="0.45">
      <c r="J573" s="163" t="s">
        <v>234</v>
      </c>
      <c r="K573" s="96">
        <v>34</v>
      </c>
      <c r="L573" s="96"/>
      <c r="M573" s="96"/>
      <c r="N573" s="96"/>
      <c r="O573" s="96">
        <v>73</v>
      </c>
      <c r="P573" s="97">
        <v>120</v>
      </c>
    </row>
    <row r="574" spans="10:16" ht="14.65" thickBot="1" x14ac:dyDescent="0.5">
      <c r="J574" s="103" t="s">
        <v>13</v>
      </c>
      <c r="K574" s="104">
        <v>0</v>
      </c>
      <c r="L574" s="104">
        <v>0.28999999999999998</v>
      </c>
      <c r="M574" s="105">
        <v>0.3</v>
      </c>
      <c r="N574" s="105">
        <v>0.69</v>
      </c>
      <c r="O574" s="107">
        <v>0.7</v>
      </c>
      <c r="P574" s="108">
        <v>1</v>
      </c>
    </row>
    <row r="576" spans="10:16" x14ac:dyDescent="0.45">
      <c r="J576" s="285"/>
      <c r="K576" s="293"/>
      <c r="L576" s="293" t="str">
        <f>J573</f>
        <v>Herbaceous Reference Vegetation Cover</v>
      </c>
      <c r="M576"/>
    </row>
    <row r="577" spans="10:13" x14ac:dyDescent="0.45">
      <c r="J577" s="293" t="s">
        <v>228</v>
      </c>
      <c r="K577" s="353"/>
      <c r="L577" s="285"/>
    </row>
    <row r="578" spans="10:13" x14ac:dyDescent="0.45">
      <c r="J578" s="293"/>
      <c r="K578" s="355" t="s">
        <v>222</v>
      </c>
      <c r="L578" s="352" t="s">
        <v>73</v>
      </c>
    </row>
    <row r="579" spans="10:13" x14ac:dyDescent="0.45">
      <c r="J579" s="351" t="s">
        <v>94</v>
      </c>
      <c r="K579" s="353">
        <v>1.7949E-2</v>
      </c>
      <c r="L579" s="285">
        <v>6.3829999999999998E-3</v>
      </c>
    </row>
    <row r="580" spans="10:13" x14ac:dyDescent="0.45">
      <c r="J580" s="351" t="s">
        <v>95</v>
      </c>
      <c r="K580" s="353">
        <v>-0.61025600000000002</v>
      </c>
      <c r="L580" s="285">
        <v>0.234043</v>
      </c>
      <c r="M580"/>
    </row>
    <row r="581" spans="10:13" x14ac:dyDescent="0.45">
      <c r="J581" s="110"/>
    </row>
    <row r="605" spans="10:16" ht="14.65" thickBot="1" x14ac:dyDescent="0.5">
      <c r="J605" t="s">
        <v>224</v>
      </c>
    </row>
    <row r="606" spans="10:16" x14ac:dyDescent="0.45">
      <c r="J606" s="163" t="s">
        <v>12</v>
      </c>
      <c r="K606" s="96"/>
      <c r="L606" s="96"/>
      <c r="M606" s="96">
        <v>65</v>
      </c>
      <c r="N606" s="96">
        <v>91</v>
      </c>
      <c r="O606" s="96"/>
      <c r="P606" s="97">
        <v>100</v>
      </c>
    </row>
    <row r="607" spans="10:16" ht="14.65" thickBot="1" x14ac:dyDescent="0.5">
      <c r="J607" s="103" t="s">
        <v>13</v>
      </c>
      <c r="K607" s="104">
        <v>0</v>
      </c>
      <c r="L607" s="104">
        <v>0.28999999999999998</v>
      </c>
      <c r="M607" s="105">
        <v>0.3</v>
      </c>
      <c r="N607" s="105">
        <v>0.69</v>
      </c>
      <c r="O607" s="107">
        <v>0.7</v>
      </c>
      <c r="P607" s="108">
        <v>1</v>
      </c>
    </row>
    <row r="609" spans="10:13" x14ac:dyDescent="0.45">
      <c r="J609" t="s">
        <v>194</v>
      </c>
      <c r="K609"/>
      <c r="L609"/>
      <c r="M609"/>
    </row>
    <row r="610" spans="10:13" x14ac:dyDescent="0.45">
      <c r="J610"/>
      <c r="K610" t="s">
        <v>222</v>
      </c>
      <c r="L610" t="s">
        <v>73</v>
      </c>
      <c r="M610"/>
    </row>
    <row r="611" spans="10:13" x14ac:dyDescent="0.45">
      <c r="J611" s="37" t="s">
        <v>94</v>
      </c>
      <c r="K611">
        <v>1.4999999999999999E-2</v>
      </c>
      <c r="L611" s="129">
        <v>3.44E-2</v>
      </c>
    </row>
    <row r="612" spans="10:13" x14ac:dyDescent="0.45">
      <c r="J612" s="37" t="s">
        <v>95</v>
      </c>
      <c r="K612" s="92">
        <v>-0.67500000000000004</v>
      </c>
      <c r="L612" s="129">
        <v>-2.4443999999999999</v>
      </c>
    </row>
    <row r="613" spans="10:13" x14ac:dyDescent="0.45">
      <c r="J613" s="110"/>
      <c r="M613"/>
    </row>
    <row r="700" ht="14.45" customHeight="1" x14ac:dyDescent="0.45"/>
    <row r="857" ht="18.600000000000001" customHeight="1" x14ac:dyDescent="0.45"/>
    <row r="858" ht="23.45" customHeight="1" x14ac:dyDescent="0.45"/>
    <row r="859" ht="20.45" customHeight="1" x14ac:dyDescent="0.45"/>
  </sheetData>
  <sheetProtection algorithmName="SHA-512" hashValue="oSPXcovLzCRpPnyOviwH43tFIAEr7/brEvrJTVo8/wfSX94PMBT+Fn2r2RpNlj0oHtlf3qqyS6XUt3IJhp2Z6w==" saltValue="YnNPheFFBj+hILZs7gozBA==" spinCount="100000" sheet="1" formatColumns="0" formatRows="0"/>
  <mergeCells count="17">
    <mergeCell ref="J305:J306"/>
    <mergeCell ref="J371:J372"/>
    <mergeCell ref="J541:J542"/>
    <mergeCell ref="J405:J406"/>
    <mergeCell ref="B6:H7"/>
    <mergeCell ref="J6:P7"/>
    <mergeCell ref="J175:J176"/>
    <mergeCell ref="J209:J210"/>
    <mergeCell ref="B312:B313"/>
    <mergeCell ref="C282:E282"/>
    <mergeCell ref="F282:H282"/>
    <mergeCell ref="L476:M476"/>
    <mergeCell ref="AH15:AJ15"/>
    <mergeCell ref="AA6:AG7"/>
    <mergeCell ref="R6:Y7"/>
    <mergeCell ref="AB15:AD15"/>
    <mergeCell ref="AE15:AG15"/>
  </mergeCells>
  <printOptions gridLines="1"/>
  <pageMargins left="0.7" right="0.7" top="0.75" bottom="0.75" header="0.3" footer="0.3"/>
  <pageSetup scale="20" fitToWidth="3" fitToHeight="0" orientation="portrait" r:id="rId1"/>
  <rowBreaks count="3" manualBreakCount="3">
    <brk id="362" max="16383" man="1"/>
    <brk id="521" max="16383" man="1"/>
    <brk id="680" max="16383" man="1"/>
  </rowBreaks>
  <colBreaks count="2" manualBreakCount="2">
    <brk id="8" max="1048575" man="1"/>
    <brk id="25"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67"/>
  <sheetViews>
    <sheetView topLeftCell="A111" workbookViewId="0">
      <selection activeCell="D116" sqref="D116"/>
    </sheetView>
  </sheetViews>
  <sheetFormatPr defaultRowHeight="14.25" x14ac:dyDescent="0.45"/>
  <cols>
    <col min="1" max="1" width="8.86328125" style="1"/>
    <col min="2" max="2" width="15.59765625" customWidth="1"/>
  </cols>
  <sheetData>
    <row r="1" spans="1:4" x14ac:dyDescent="0.45">
      <c r="A1" s="1" t="s">
        <v>354</v>
      </c>
      <c r="B1" s="1"/>
    </row>
    <row r="2" spans="1:4" x14ac:dyDescent="0.45">
      <c r="B2" t="s">
        <v>16</v>
      </c>
    </row>
    <row r="3" spans="1:4" x14ac:dyDescent="0.45">
      <c r="B3" t="s">
        <v>133</v>
      </c>
    </row>
    <row r="4" spans="1:4" x14ac:dyDescent="0.45">
      <c r="B4" t="s">
        <v>10</v>
      </c>
    </row>
    <row r="5" spans="1:4" x14ac:dyDescent="0.45">
      <c r="B5" t="s">
        <v>11</v>
      </c>
    </row>
    <row r="6" spans="1:4" x14ac:dyDescent="0.45">
      <c r="B6" t="s">
        <v>8</v>
      </c>
    </row>
    <row r="7" spans="1:4" x14ac:dyDescent="0.45">
      <c r="B7" t="s">
        <v>134</v>
      </c>
    </row>
    <row r="8" spans="1:4" x14ac:dyDescent="0.45">
      <c r="B8" t="s">
        <v>9</v>
      </c>
    </row>
    <row r="9" spans="1:4" x14ac:dyDescent="0.45">
      <c r="B9" t="s">
        <v>73</v>
      </c>
    </row>
    <row r="10" spans="1:4" x14ac:dyDescent="0.45">
      <c r="B10" t="s">
        <v>325</v>
      </c>
    </row>
    <row r="11" spans="1:4" x14ac:dyDescent="0.45">
      <c r="B11" t="s">
        <v>74</v>
      </c>
    </row>
    <row r="12" spans="1:4" x14ac:dyDescent="0.45">
      <c r="B12" t="s">
        <v>77</v>
      </c>
    </row>
    <row r="13" spans="1:4" x14ac:dyDescent="0.45">
      <c r="B13" t="s">
        <v>326</v>
      </c>
    </row>
    <row r="14" spans="1:4" x14ac:dyDescent="0.45">
      <c r="B14" t="s">
        <v>327</v>
      </c>
    </row>
    <row r="15" spans="1:4" x14ac:dyDescent="0.45">
      <c r="A15" s="295"/>
      <c r="B15" s="293"/>
      <c r="C15" s="293"/>
      <c r="D15" s="293"/>
    </row>
    <row r="16" spans="1:4" x14ac:dyDescent="0.45">
      <c r="A16" s="295" t="s">
        <v>125</v>
      </c>
      <c r="B16" s="295"/>
      <c r="C16" s="293"/>
      <c r="D16" s="293"/>
    </row>
    <row r="17" spans="1:2" x14ac:dyDescent="0.45">
      <c r="B17" t="s">
        <v>204</v>
      </c>
    </row>
    <row r="18" spans="1:2" x14ac:dyDescent="0.45">
      <c r="B18" t="s">
        <v>17</v>
      </c>
    </row>
    <row r="19" spans="1:2" x14ac:dyDescent="0.45">
      <c r="B19" t="s">
        <v>205</v>
      </c>
    </row>
    <row r="20" spans="1:2" x14ac:dyDescent="0.45">
      <c r="B20" t="s">
        <v>206</v>
      </c>
    </row>
    <row r="21" spans="1:2" x14ac:dyDescent="0.45">
      <c r="B21" t="s">
        <v>207</v>
      </c>
    </row>
    <row r="22" spans="1:2" x14ac:dyDescent="0.45">
      <c r="B22" t="s">
        <v>208</v>
      </c>
    </row>
    <row r="24" spans="1:2" x14ac:dyDescent="0.45">
      <c r="A24" s="1" t="s">
        <v>126</v>
      </c>
      <c r="B24" s="1"/>
    </row>
    <row r="25" spans="1:2" x14ac:dyDescent="0.45">
      <c r="B25" t="s">
        <v>319</v>
      </c>
    </row>
    <row r="26" spans="1:2" x14ac:dyDescent="0.45">
      <c r="B26" t="s">
        <v>320</v>
      </c>
    </row>
    <row r="27" spans="1:2" x14ac:dyDescent="0.45">
      <c r="B27" t="s">
        <v>321</v>
      </c>
    </row>
    <row r="28" spans="1:2" x14ac:dyDescent="0.45">
      <c r="B28" t="s">
        <v>322</v>
      </c>
    </row>
    <row r="29" spans="1:2" x14ac:dyDescent="0.45">
      <c r="B29" t="s">
        <v>323</v>
      </c>
    </row>
    <row r="30" spans="1:2" x14ac:dyDescent="0.45">
      <c r="B30" t="s">
        <v>324</v>
      </c>
    </row>
    <row r="31" spans="1:2" x14ac:dyDescent="0.45">
      <c r="B31" t="s">
        <v>21</v>
      </c>
    </row>
    <row r="32" spans="1:2" x14ac:dyDescent="0.45">
      <c r="B32" t="s">
        <v>22</v>
      </c>
    </row>
    <row r="33" spans="2:2" x14ac:dyDescent="0.45">
      <c r="B33" t="s">
        <v>23</v>
      </c>
    </row>
    <row r="34" spans="2:2" x14ac:dyDescent="0.45">
      <c r="B34" t="s">
        <v>24</v>
      </c>
    </row>
    <row r="35" spans="2:2" x14ac:dyDescent="0.45">
      <c r="B35" t="s">
        <v>25</v>
      </c>
    </row>
    <row r="36" spans="2:2" x14ac:dyDescent="0.45">
      <c r="B36" t="s">
        <v>30</v>
      </c>
    </row>
    <row r="37" spans="2:2" x14ac:dyDescent="0.45">
      <c r="B37" t="s">
        <v>26</v>
      </c>
    </row>
    <row r="38" spans="2:2" x14ac:dyDescent="0.45">
      <c r="B38" t="s">
        <v>27</v>
      </c>
    </row>
    <row r="39" spans="2:2" x14ac:dyDescent="0.45">
      <c r="B39" t="s">
        <v>28</v>
      </c>
    </row>
    <row r="40" spans="2:2" x14ac:dyDescent="0.45">
      <c r="B40" t="s">
        <v>29</v>
      </c>
    </row>
    <row r="41" spans="2:2" x14ac:dyDescent="0.45">
      <c r="B41" t="s">
        <v>79</v>
      </c>
    </row>
    <row r="42" spans="2:2" x14ac:dyDescent="0.45">
      <c r="B42" t="s">
        <v>78</v>
      </c>
    </row>
    <row r="43" spans="2:2" x14ac:dyDescent="0.45">
      <c r="B43" t="s">
        <v>80</v>
      </c>
    </row>
    <row r="44" spans="2:2" x14ac:dyDescent="0.45">
      <c r="B44" t="s">
        <v>31</v>
      </c>
    </row>
    <row r="45" spans="2:2" x14ac:dyDescent="0.45">
      <c r="B45" t="s">
        <v>32</v>
      </c>
    </row>
    <row r="46" spans="2:2" x14ac:dyDescent="0.45">
      <c r="B46" t="s">
        <v>33</v>
      </c>
    </row>
    <row r="47" spans="2:2" x14ac:dyDescent="0.45">
      <c r="B47" t="s">
        <v>81</v>
      </c>
    </row>
    <row r="48" spans="2:2" x14ac:dyDescent="0.45">
      <c r="B48" t="s">
        <v>36</v>
      </c>
    </row>
    <row r="49" spans="1:2" x14ac:dyDescent="0.45">
      <c r="B49" t="s">
        <v>34</v>
      </c>
    </row>
    <row r="50" spans="1:2" x14ac:dyDescent="0.45">
      <c r="B50" t="s">
        <v>82</v>
      </c>
    </row>
    <row r="51" spans="1:2" x14ac:dyDescent="0.45">
      <c r="B51" t="s">
        <v>83</v>
      </c>
    </row>
    <row r="52" spans="1:2" x14ac:dyDescent="0.45">
      <c r="B52" t="s">
        <v>84</v>
      </c>
    </row>
    <row r="53" spans="1:2" x14ac:dyDescent="0.45">
      <c r="B53" t="s">
        <v>40</v>
      </c>
    </row>
    <row r="54" spans="1:2" x14ac:dyDescent="0.45">
      <c r="B54" t="s">
        <v>85</v>
      </c>
    </row>
    <row r="55" spans="1:2" x14ac:dyDescent="0.45">
      <c r="B55" t="s">
        <v>35</v>
      </c>
    </row>
    <row r="56" spans="1:2" x14ac:dyDescent="0.45">
      <c r="B56" t="s">
        <v>86</v>
      </c>
    </row>
    <row r="57" spans="1:2" x14ac:dyDescent="0.45">
      <c r="B57" t="s">
        <v>37</v>
      </c>
    </row>
    <row r="58" spans="1:2" x14ac:dyDescent="0.45">
      <c r="B58" t="s">
        <v>38</v>
      </c>
    </row>
    <row r="59" spans="1:2" x14ac:dyDescent="0.45">
      <c r="B59" t="s">
        <v>39</v>
      </c>
    </row>
    <row r="60" spans="1:2" x14ac:dyDescent="0.45">
      <c r="B60" t="s">
        <v>41</v>
      </c>
    </row>
    <row r="63" spans="1:2" x14ac:dyDescent="0.45">
      <c r="A63" s="1" t="s">
        <v>127</v>
      </c>
    </row>
    <row r="64" spans="1:2" x14ac:dyDescent="0.45">
      <c r="B64" t="s">
        <v>216</v>
      </c>
    </row>
    <row r="65" spans="1:2" x14ac:dyDescent="0.45">
      <c r="B65" t="s">
        <v>215</v>
      </c>
    </row>
    <row r="67" spans="1:2" x14ac:dyDescent="0.45">
      <c r="A67" s="1" t="s">
        <v>275</v>
      </c>
    </row>
    <row r="68" spans="1:2" x14ac:dyDescent="0.45">
      <c r="B68" t="s">
        <v>143</v>
      </c>
    </row>
    <row r="69" spans="1:2" x14ac:dyDescent="0.45">
      <c r="B69" t="s">
        <v>276</v>
      </c>
    </row>
    <row r="70" spans="1:2" x14ac:dyDescent="0.45">
      <c r="B70" t="s">
        <v>144</v>
      </c>
    </row>
    <row r="72" spans="1:2" x14ac:dyDescent="0.45">
      <c r="A72" s="1" t="s">
        <v>128</v>
      </c>
    </row>
    <row r="73" spans="1:2" x14ac:dyDescent="0.45">
      <c r="B73" t="s">
        <v>52</v>
      </c>
    </row>
    <row r="74" spans="1:2" x14ac:dyDescent="0.45">
      <c r="B74" t="s">
        <v>53</v>
      </c>
    </row>
    <row r="76" spans="1:2" x14ac:dyDescent="0.45">
      <c r="A76" s="1" t="s">
        <v>64</v>
      </c>
    </row>
    <row r="77" spans="1:2" x14ac:dyDescent="0.45">
      <c r="B77" t="s">
        <v>163</v>
      </c>
    </row>
    <row r="78" spans="1:2" x14ac:dyDescent="0.45">
      <c r="B78" t="s">
        <v>416</v>
      </c>
    </row>
    <row r="79" spans="1:2" x14ac:dyDescent="0.45">
      <c r="B79" t="s">
        <v>63</v>
      </c>
    </row>
    <row r="81" spans="1:2" x14ac:dyDescent="0.45">
      <c r="A81" s="1" t="s">
        <v>267</v>
      </c>
    </row>
    <row r="82" spans="1:2" x14ac:dyDescent="0.45">
      <c r="B82" s="249">
        <v>1</v>
      </c>
    </row>
    <row r="83" spans="1:2" x14ac:dyDescent="0.45">
      <c r="B83" s="249">
        <v>2</v>
      </c>
    </row>
    <row r="84" spans="1:2" x14ac:dyDescent="0.45">
      <c r="B84" s="249">
        <v>3</v>
      </c>
    </row>
    <row r="86" spans="1:2" x14ac:dyDescent="0.45">
      <c r="A86" s="1" t="s">
        <v>130</v>
      </c>
    </row>
    <row r="87" spans="1:2" x14ac:dyDescent="0.45">
      <c r="B87" t="s">
        <v>236</v>
      </c>
    </row>
    <row r="88" spans="1:2" x14ac:dyDescent="0.45">
      <c r="B88" t="s">
        <v>237</v>
      </c>
    </row>
    <row r="89" spans="1:2" x14ac:dyDescent="0.45">
      <c r="B89" t="s">
        <v>238</v>
      </c>
    </row>
    <row r="90" spans="1:2" x14ac:dyDescent="0.45">
      <c r="B90" t="s">
        <v>239</v>
      </c>
    </row>
    <row r="91" spans="1:2" x14ac:dyDescent="0.45">
      <c r="B91" t="s">
        <v>240</v>
      </c>
    </row>
    <row r="92" spans="1:2" x14ac:dyDescent="0.45">
      <c r="B92" t="s">
        <v>241</v>
      </c>
    </row>
    <row r="94" spans="1:2" x14ac:dyDescent="0.45">
      <c r="A94" s="1" t="s">
        <v>131</v>
      </c>
    </row>
    <row r="95" spans="1:2" x14ac:dyDescent="0.45">
      <c r="B95" t="s">
        <v>104</v>
      </c>
    </row>
    <row r="96" spans="1:2" x14ac:dyDescent="0.45">
      <c r="B96" t="s">
        <v>73</v>
      </c>
    </row>
    <row r="97" spans="1:2" x14ac:dyDescent="0.45">
      <c r="B97" t="s">
        <v>74</v>
      </c>
    </row>
    <row r="99" spans="1:2" x14ac:dyDescent="0.45">
      <c r="A99" s="1" t="s">
        <v>277</v>
      </c>
    </row>
    <row r="100" spans="1:2" x14ac:dyDescent="0.45">
      <c r="B100" t="s">
        <v>269</v>
      </c>
    </row>
    <row r="101" spans="1:2" x14ac:dyDescent="0.45">
      <c r="B101" t="s">
        <v>270</v>
      </c>
    </row>
    <row r="102" spans="1:2" x14ac:dyDescent="0.45">
      <c r="B102" t="s">
        <v>271</v>
      </c>
    </row>
    <row r="104" spans="1:2" x14ac:dyDescent="0.45">
      <c r="A104" s="1" t="s">
        <v>148</v>
      </c>
    </row>
    <row r="105" spans="1:2" x14ac:dyDescent="0.45">
      <c r="B105" t="s">
        <v>410</v>
      </c>
    </row>
    <row r="106" spans="1:2" x14ac:dyDescent="0.45">
      <c r="B106" t="s">
        <v>149</v>
      </c>
    </row>
    <row r="108" spans="1:2" x14ac:dyDescent="0.45">
      <c r="A108" s="1" t="s">
        <v>160</v>
      </c>
    </row>
    <row r="109" spans="1:2" x14ac:dyDescent="0.45">
      <c r="B109" t="s">
        <v>168</v>
      </c>
    </row>
    <row r="110" spans="1:2" x14ac:dyDescent="0.45">
      <c r="B110" t="s">
        <v>169</v>
      </c>
    </row>
    <row r="111" spans="1:2" x14ac:dyDescent="0.45">
      <c r="B111" t="s">
        <v>170</v>
      </c>
    </row>
    <row r="112" spans="1:2" x14ac:dyDescent="0.45">
      <c r="B112" t="s">
        <v>208</v>
      </c>
    </row>
    <row r="114" spans="1:2" x14ac:dyDescent="0.45">
      <c r="A114" s="1" t="s">
        <v>129</v>
      </c>
    </row>
    <row r="115" spans="1:2" x14ac:dyDescent="0.45">
      <c r="B115" t="s">
        <v>285</v>
      </c>
    </row>
    <row r="116" spans="1:2" x14ac:dyDescent="0.45">
      <c r="B116" t="s">
        <v>286</v>
      </c>
    </row>
    <row r="117" spans="1:2" x14ac:dyDescent="0.45">
      <c r="B117" t="s">
        <v>424</v>
      </c>
    </row>
    <row r="118" spans="1:2" x14ac:dyDescent="0.45">
      <c r="B118" t="s">
        <v>287</v>
      </c>
    </row>
    <row r="119" spans="1:2" x14ac:dyDescent="0.45">
      <c r="B119" t="s">
        <v>288</v>
      </c>
    </row>
    <row r="120" spans="1:2" x14ac:dyDescent="0.45">
      <c r="B120" t="s">
        <v>289</v>
      </c>
    </row>
    <row r="121" spans="1:2" x14ac:dyDescent="0.45">
      <c r="B121" t="s">
        <v>290</v>
      </c>
    </row>
    <row r="122" spans="1:2" x14ac:dyDescent="0.45">
      <c r="B122" t="s">
        <v>328</v>
      </c>
    </row>
    <row r="123" spans="1:2" x14ac:dyDescent="0.45">
      <c r="B123" t="s">
        <v>291</v>
      </c>
    </row>
    <row r="124" spans="1:2" x14ac:dyDescent="0.45">
      <c r="B124" t="s">
        <v>292</v>
      </c>
    </row>
    <row r="125" spans="1:2" x14ac:dyDescent="0.45">
      <c r="B125" t="s">
        <v>293</v>
      </c>
    </row>
    <row r="126" spans="1:2" x14ac:dyDescent="0.45">
      <c r="B126" t="s">
        <v>294</v>
      </c>
    </row>
    <row r="127" spans="1:2" x14ac:dyDescent="0.45">
      <c r="B127" t="s">
        <v>295</v>
      </c>
    </row>
    <row r="129" spans="1:2" x14ac:dyDescent="0.45">
      <c r="A129" s="1" t="s">
        <v>355</v>
      </c>
    </row>
    <row r="130" spans="1:2" x14ac:dyDescent="0.45">
      <c r="B130" t="s">
        <v>356</v>
      </c>
    </row>
    <row r="131" spans="1:2" x14ac:dyDescent="0.45">
      <c r="B131" t="s">
        <v>357</v>
      </c>
    </row>
    <row r="132" spans="1:2" x14ac:dyDescent="0.45">
      <c r="B132" t="s">
        <v>358</v>
      </c>
    </row>
    <row r="134" spans="1:2" x14ac:dyDescent="0.45">
      <c r="A134" s="1" t="s">
        <v>360</v>
      </c>
    </row>
    <row r="135" spans="1:2" x14ac:dyDescent="0.45">
      <c r="B135" t="s">
        <v>361</v>
      </c>
    </row>
    <row r="136" spans="1:2" x14ac:dyDescent="0.45">
      <c r="B136" t="s">
        <v>363</v>
      </c>
    </row>
    <row r="137" spans="1:2" x14ac:dyDescent="0.45">
      <c r="B137" t="s">
        <v>362</v>
      </c>
    </row>
    <row r="138" spans="1:2" x14ac:dyDescent="0.45">
      <c r="B138" t="s">
        <v>364</v>
      </c>
    </row>
    <row r="139" spans="1:2" x14ac:dyDescent="0.45">
      <c r="B139" t="s">
        <v>365</v>
      </c>
    </row>
    <row r="141" spans="1:2" x14ac:dyDescent="0.45">
      <c r="A141" s="1" t="s">
        <v>370</v>
      </c>
    </row>
    <row r="142" spans="1:2" x14ac:dyDescent="0.45">
      <c r="A142" s="1" t="s">
        <v>369</v>
      </c>
      <c r="B142" s="374" t="s">
        <v>371</v>
      </c>
    </row>
    <row r="143" spans="1:2" x14ac:dyDescent="0.45">
      <c r="B143" s="375" t="s">
        <v>400</v>
      </c>
    </row>
    <row r="144" spans="1:2" x14ac:dyDescent="0.45">
      <c r="B144" s="376" t="s">
        <v>372</v>
      </c>
    </row>
    <row r="145" spans="1:2" x14ac:dyDescent="0.45">
      <c r="A145" s="1" t="s">
        <v>373</v>
      </c>
      <c r="B145" s="374" t="s">
        <v>374</v>
      </c>
    </row>
    <row r="146" spans="1:2" x14ac:dyDescent="0.45">
      <c r="B146" s="376" t="s">
        <v>375</v>
      </c>
    </row>
    <row r="147" spans="1:2" x14ac:dyDescent="0.45">
      <c r="B147" s="374" t="s">
        <v>376</v>
      </c>
    </row>
    <row r="148" spans="1:2" x14ac:dyDescent="0.45">
      <c r="B148" s="375" t="s">
        <v>377</v>
      </c>
    </row>
    <row r="149" spans="1:2" x14ac:dyDescent="0.45">
      <c r="B149" s="375" t="s">
        <v>378</v>
      </c>
    </row>
    <row r="150" spans="1:2" x14ac:dyDescent="0.45">
      <c r="B150" s="375" t="s">
        <v>379</v>
      </c>
    </row>
    <row r="151" spans="1:2" x14ac:dyDescent="0.45">
      <c r="B151" s="376" t="s">
        <v>380</v>
      </c>
    </row>
    <row r="152" spans="1:2" x14ac:dyDescent="0.45">
      <c r="A152" s="1" t="s">
        <v>51</v>
      </c>
      <c r="B152" s="374" t="s">
        <v>381</v>
      </c>
    </row>
    <row r="153" spans="1:2" x14ac:dyDescent="0.45">
      <c r="B153" s="375" t="s">
        <v>382</v>
      </c>
    </row>
    <row r="154" spans="1:2" x14ac:dyDescent="0.45">
      <c r="B154" s="376" t="s">
        <v>383</v>
      </c>
    </row>
    <row r="155" spans="1:2" x14ac:dyDescent="0.45">
      <c r="B155" s="374" t="s">
        <v>384</v>
      </c>
    </row>
    <row r="156" spans="1:2" x14ac:dyDescent="0.45">
      <c r="B156" s="375" t="s">
        <v>385</v>
      </c>
    </row>
    <row r="157" spans="1:2" x14ac:dyDescent="0.45">
      <c r="B157" s="375" t="s">
        <v>386</v>
      </c>
    </row>
    <row r="158" spans="1:2" x14ac:dyDescent="0.45">
      <c r="B158" s="375" t="s">
        <v>387</v>
      </c>
    </row>
    <row r="159" spans="1:2" x14ac:dyDescent="0.45">
      <c r="B159" s="376" t="s">
        <v>388</v>
      </c>
    </row>
    <row r="160" spans="1:2" x14ac:dyDescent="0.45">
      <c r="B160" s="374" t="s">
        <v>389</v>
      </c>
    </row>
    <row r="161" spans="1:2" x14ac:dyDescent="0.45">
      <c r="B161" s="375" t="s">
        <v>390</v>
      </c>
    </row>
    <row r="162" spans="1:2" x14ac:dyDescent="0.45">
      <c r="B162" s="375" t="s">
        <v>391</v>
      </c>
    </row>
    <row r="163" spans="1:2" x14ac:dyDescent="0.45">
      <c r="B163" s="375" t="s">
        <v>392</v>
      </c>
    </row>
    <row r="164" spans="1:2" x14ac:dyDescent="0.45">
      <c r="B164" s="376" t="s">
        <v>393</v>
      </c>
    </row>
    <row r="165" spans="1:2" x14ac:dyDescent="0.45">
      <c r="A165" s="1" t="s">
        <v>394</v>
      </c>
      <c r="B165" t="s">
        <v>269</v>
      </c>
    </row>
    <row r="166" spans="1:2" x14ac:dyDescent="0.45">
      <c r="B166" t="s">
        <v>270</v>
      </c>
    </row>
    <row r="167" spans="1:2" x14ac:dyDescent="0.45">
      <c r="B167" t="s">
        <v>271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Project Assessment</vt:lpstr>
      <vt:lpstr>Catchment Assessment</vt:lpstr>
      <vt:lpstr>Quantification Tool</vt:lpstr>
      <vt:lpstr>Monitoring Data</vt:lpstr>
      <vt:lpstr>Data Summary</vt:lpstr>
      <vt:lpstr>Flow Alteration Module</vt:lpstr>
      <vt:lpstr>Reference Curves</vt:lpstr>
      <vt:lpstr>Pull Down Notes</vt:lpstr>
      <vt:lpstr>BedMaterial</vt:lpstr>
      <vt:lpstr>BEHI.NBS</vt:lpstr>
      <vt:lpstr>CatchmentAssessment</vt:lpstr>
      <vt:lpstr>Level</vt:lpstr>
      <vt:lpstr>'Flow Alteration Module'!Print_Area</vt:lpstr>
      <vt:lpstr>'Monitoring Data'!Print_Area</vt:lpstr>
      <vt:lpstr>'Project Assessment'!Print_Area</vt:lpstr>
      <vt:lpstr>'Quantification Tool'!Print_Area</vt:lpstr>
      <vt:lpstr>'Reference Curves'!Print_Area</vt:lpstr>
      <vt:lpstr>ProgramGoals</vt:lpstr>
      <vt:lpstr>RiverBasins</vt:lpstr>
      <vt:lpstr>StreamType</vt:lpstr>
      <vt:lpstr>WaterTypes</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cjones</cp:lastModifiedBy>
  <cp:lastPrinted>2020-07-06T18:44:27Z</cp:lastPrinted>
  <dcterms:created xsi:type="dcterms:W3CDTF">2014-08-22T20:36:47Z</dcterms:created>
  <dcterms:modified xsi:type="dcterms:W3CDTF">2020-07-06T18:46:41Z</dcterms:modified>
</cp:coreProperties>
</file>