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Y:\Shared\EPR Folder\Alaska\SQT Regionalization\Debit Tool\"/>
    </mc:Choice>
  </mc:AlternateContent>
  <xr:revisionPtr revIDLastSave="0" documentId="13_ncr:1_{B96FF3AC-660A-4BC4-A271-1249F21938C9}" xr6:coauthVersionLast="47" xr6:coauthVersionMax="47" xr10:uidLastSave="{00000000-0000-0000-0000-000000000000}"/>
  <bookViews>
    <workbookView xWindow="-120" yWindow="-120" windowWidth="29040" windowHeight="15840" tabRatio="710" xr2:uid="{D45A5A14-B556-4E12-8812-BB4F1B19B036}"/>
  </bookViews>
  <sheets>
    <sheet name="Project Assessment" sheetId="10" r:id="rId1"/>
    <sheet name="Catchment Assessment" sheetId="15" r:id="rId2"/>
    <sheet name="Debit Calculator" sheetId="12" r:id="rId3"/>
    <sheet name="Existing Conditions" sheetId="2" r:id="rId4"/>
    <sheet name="Proposed Conditions" sheetId="14" r:id="rId5"/>
    <sheet name="Reference Curves" sheetId="1" state="hidden" r:id="rId6"/>
    <sheet name="Pull Down Notes" sheetId="3" state="hidden" r:id="rId7"/>
  </sheets>
  <definedNames>
    <definedName name="BedMaterial">'Pull Down Notes'!$B$16:$B$21</definedName>
    <definedName name="BedType">'Pull Down Notes'!#REF!</definedName>
    <definedName name="BEHI.NBS">'Pull Down Notes'!$B$29:$B$58</definedName>
    <definedName name="CatchmentAssessment">'Pull Down Notes'!#REF!</definedName>
    <definedName name="CatchmentAssessmentQuat">'Pull Down Notes'!#REF!</definedName>
    <definedName name="DrainageArea">'Pull Down Notes'!#REF!</definedName>
    <definedName name="Flow.Type">'Pull Down Notes'!#REF!</definedName>
    <definedName name="Level">'Pull Down Notes'!#REF!</definedName>
    <definedName name="_xlnm.Print_Area" localSheetId="1">'Catchment Assessment'!$A$1:$G$24</definedName>
    <definedName name="_xlnm.Print_Area" localSheetId="2">'Debit Calculator'!$A$1:$I$40</definedName>
    <definedName name="_xlnm.Print_Area" localSheetId="3">'Existing Conditions'!$A$3:$J$381</definedName>
    <definedName name="_xlnm.Print_Area" localSheetId="0">'Project Assessment'!$A$4:$I$19</definedName>
    <definedName name="_xlnm.Print_Area" localSheetId="4">'Proposed Conditions'!$A$3:$J$381</definedName>
    <definedName name="_xlnm.Print_Titles" localSheetId="1">'Catchment Assessment'!$1:$8</definedName>
    <definedName name="ProgramGoals">'Pull Down Notes'!#REF!</definedName>
    <definedName name="Region">'Pull Down Notes'!#REF!</definedName>
    <definedName name="RiverBasins">'Pull Down Notes'!#REF!</definedName>
    <definedName name="StreamType">'Pull Down Notes'!$B$1:$B$13</definedName>
    <definedName name="WaterTypes">'Pull Down Notes'!#REF!</definedName>
    <definedName name="Yes.No">'Pull Down Notes'!$B$62:$B$63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8" i="2" l="1"/>
  <c r="A25" i="12" s="1"/>
  <c r="B119" i="2"/>
  <c r="F35" i="14" l="1"/>
  <c r="F73" i="14"/>
  <c r="F111" i="14"/>
  <c r="F149" i="14"/>
  <c r="F187" i="14"/>
  <c r="F225" i="14"/>
  <c r="F263" i="14"/>
  <c r="G263" i="14" s="1"/>
  <c r="H263" i="14" s="1"/>
  <c r="I263" i="14" s="1"/>
  <c r="F301" i="14"/>
  <c r="F339" i="14"/>
  <c r="F377" i="14"/>
  <c r="G377" i="14" s="1"/>
  <c r="H377" i="14" s="1"/>
  <c r="I377" i="14" s="1"/>
  <c r="F377" i="2"/>
  <c r="F339" i="2"/>
  <c r="F301" i="2"/>
  <c r="F263" i="2"/>
  <c r="F225" i="2"/>
  <c r="F187" i="2"/>
  <c r="F149" i="2"/>
  <c r="G149" i="2" s="1"/>
  <c r="H149" i="2" s="1"/>
  <c r="I149" i="2" s="1"/>
  <c r="F111" i="2"/>
  <c r="F73" i="2"/>
  <c r="F35" i="2"/>
  <c r="F363" i="14"/>
  <c r="G363" i="14" s="1"/>
  <c r="F325" i="14"/>
  <c r="G325" i="14" s="1"/>
  <c r="H325" i="14" s="1"/>
  <c r="F287" i="14"/>
  <c r="F249" i="14"/>
  <c r="F211" i="14"/>
  <c r="F173" i="14"/>
  <c r="F135" i="14"/>
  <c r="F97" i="14"/>
  <c r="F59" i="14"/>
  <c r="F363" i="2"/>
  <c r="G363" i="2" s="1"/>
  <c r="F325" i="2"/>
  <c r="F287" i="2"/>
  <c r="F249" i="2"/>
  <c r="F211" i="2"/>
  <c r="F173" i="2"/>
  <c r="F135" i="2"/>
  <c r="F97" i="2"/>
  <c r="F59" i="2"/>
  <c r="G59" i="2" s="1"/>
  <c r="F21" i="2"/>
  <c r="G21" i="2" s="1"/>
  <c r="C31" i="12"/>
  <c r="C30" i="12"/>
  <c r="C29" i="12"/>
  <c r="C28" i="12"/>
  <c r="C27" i="12"/>
  <c r="C26" i="12"/>
  <c r="C25" i="12"/>
  <c r="C24" i="12"/>
  <c r="C23" i="12"/>
  <c r="C22" i="12"/>
  <c r="H298" i="2"/>
  <c r="H260" i="2"/>
  <c r="H222" i="2"/>
  <c r="H184" i="2"/>
  <c r="H146" i="2"/>
  <c r="H70" i="2"/>
  <c r="B31" i="12"/>
  <c r="B30" i="12"/>
  <c r="B29" i="12"/>
  <c r="B28" i="12"/>
  <c r="B27" i="12"/>
  <c r="B26" i="12"/>
  <c r="B22" i="12"/>
  <c r="F8" i="12"/>
  <c r="G8" i="12" s="1"/>
  <c r="H8" i="12" s="1"/>
  <c r="H336" i="14"/>
  <c r="H298" i="14"/>
  <c r="H260" i="14"/>
  <c r="H222" i="14"/>
  <c r="H184" i="14"/>
  <c r="H146" i="14"/>
  <c r="H70" i="14"/>
  <c r="H32" i="14"/>
  <c r="J349" i="14"/>
  <c r="J348" i="14"/>
  <c r="J347" i="14"/>
  <c r="J346" i="14"/>
  <c r="J311" i="14"/>
  <c r="J310" i="14"/>
  <c r="J309" i="14"/>
  <c r="J308" i="14"/>
  <c r="B308" i="14"/>
  <c r="D308" i="14"/>
  <c r="F308" i="14"/>
  <c r="B309" i="14"/>
  <c r="D309" i="14"/>
  <c r="F309" i="14"/>
  <c r="B310" i="14"/>
  <c r="D310" i="14"/>
  <c r="F310" i="14"/>
  <c r="J273" i="14"/>
  <c r="J272" i="14"/>
  <c r="J271" i="14"/>
  <c r="J270" i="14"/>
  <c r="J235" i="14"/>
  <c r="J234" i="14"/>
  <c r="J233" i="14"/>
  <c r="J232" i="14"/>
  <c r="J197" i="14"/>
  <c r="J196" i="14"/>
  <c r="J195" i="14"/>
  <c r="J194" i="14"/>
  <c r="J159" i="14"/>
  <c r="J158" i="14"/>
  <c r="J157" i="14"/>
  <c r="J156" i="14"/>
  <c r="J121" i="14"/>
  <c r="J120" i="14"/>
  <c r="J119" i="14"/>
  <c r="J118" i="14"/>
  <c r="J83" i="14"/>
  <c r="J82" i="14"/>
  <c r="J81" i="14"/>
  <c r="J80" i="14"/>
  <c r="J45" i="14"/>
  <c r="J44" i="14"/>
  <c r="J43" i="14"/>
  <c r="J42" i="14"/>
  <c r="J5" i="14"/>
  <c r="J6" i="14"/>
  <c r="J7" i="14"/>
  <c r="J4" i="14"/>
  <c r="B2" i="12"/>
  <c r="D349" i="14"/>
  <c r="D348" i="14"/>
  <c r="D347" i="14"/>
  <c r="D346" i="14"/>
  <c r="D311" i="14"/>
  <c r="D273" i="14"/>
  <c r="D272" i="14"/>
  <c r="D271" i="14"/>
  <c r="D270" i="14"/>
  <c r="D235" i="14"/>
  <c r="D234" i="14"/>
  <c r="D233" i="14"/>
  <c r="D232" i="14"/>
  <c r="D197" i="14"/>
  <c r="D196" i="14"/>
  <c r="D195" i="14"/>
  <c r="D194" i="14"/>
  <c r="D159" i="14"/>
  <c r="D158" i="14"/>
  <c r="D157" i="14"/>
  <c r="D156" i="14"/>
  <c r="D121" i="14"/>
  <c r="D120" i="14"/>
  <c r="D119" i="14"/>
  <c r="D118" i="14"/>
  <c r="D7" i="14"/>
  <c r="D6" i="14"/>
  <c r="D5" i="14"/>
  <c r="D4" i="14"/>
  <c r="G348" i="14"/>
  <c r="F348" i="14"/>
  <c r="G347" i="14"/>
  <c r="F347" i="14"/>
  <c r="G346" i="14"/>
  <c r="F346" i="14"/>
  <c r="G272" i="14"/>
  <c r="F272" i="14"/>
  <c r="G271" i="14"/>
  <c r="F271" i="14"/>
  <c r="G270" i="14"/>
  <c r="F270" i="14"/>
  <c r="G234" i="14"/>
  <c r="F234" i="14"/>
  <c r="G233" i="14"/>
  <c r="F233" i="14"/>
  <c r="G232" i="14"/>
  <c r="F232" i="14"/>
  <c r="G196" i="14"/>
  <c r="F196" i="14"/>
  <c r="G195" i="14"/>
  <c r="F195" i="14"/>
  <c r="G194" i="14"/>
  <c r="F194" i="14"/>
  <c r="G158" i="14"/>
  <c r="F158" i="14"/>
  <c r="G157" i="14"/>
  <c r="F157" i="14"/>
  <c r="G156" i="14"/>
  <c r="F156" i="14"/>
  <c r="G120" i="14"/>
  <c r="F120" i="14"/>
  <c r="G119" i="14"/>
  <c r="F119" i="14"/>
  <c r="G118" i="14"/>
  <c r="F118" i="14"/>
  <c r="G6" i="14"/>
  <c r="F6" i="14"/>
  <c r="G5" i="14"/>
  <c r="F5" i="14"/>
  <c r="F21" i="14" s="1"/>
  <c r="G21" i="14" s="1"/>
  <c r="G4" i="14"/>
  <c r="F4" i="14"/>
  <c r="G44" i="14"/>
  <c r="F44" i="14"/>
  <c r="G43" i="14"/>
  <c r="F43" i="14"/>
  <c r="G42" i="14"/>
  <c r="F42" i="14"/>
  <c r="D45" i="14"/>
  <c r="D44" i="14"/>
  <c r="D43" i="14"/>
  <c r="D42" i="14"/>
  <c r="F81" i="14"/>
  <c r="G81" i="14"/>
  <c r="F82" i="14"/>
  <c r="G82" i="14"/>
  <c r="G80" i="14"/>
  <c r="F80" i="14"/>
  <c r="D81" i="14"/>
  <c r="D82" i="14"/>
  <c r="D83" i="14"/>
  <c r="D80" i="14"/>
  <c r="G326" i="14"/>
  <c r="G288" i="14"/>
  <c r="G250" i="14"/>
  <c r="G212" i="14"/>
  <c r="G174" i="14"/>
  <c r="G136" i="14"/>
  <c r="G60" i="14"/>
  <c r="G250" i="2"/>
  <c r="G136" i="2"/>
  <c r="F12" i="12"/>
  <c r="G12" i="12" s="1"/>
  <c r="H12" i="12" s="1"/>
  <c r="F13" i="12"/>
  <c r="G13" i="12" s="1"/>
  <c r="H13" i="12" s="1"/>
  <c r="F14" i="12"/>
  <c r="G14" i="12" s="1"/>
  <c r="H14" i="12" s="1"/>
  <c r="F15" i="12"/>
  <c r="G15" i="12" s="1"/>
  <c r="H15" i="12" s="1"/>
  <c r="F16" i="12"/>
  <c r="G16" i="12" s="1"/>
  <c r="H16" i="12" s="1"/>
  <c r="F17" i="12"/>
  <c r="G17" i="12" s="1"/>
  <c r="H17" i="12" s="1"/>
  <c r="F37" i="14"/>
  <c r="F75" i="14"/>
  <c r="F113" i="14"/>
  <c r="F151" i="14"/>
  <c r="F189" i="14"/>
  <c r="F227" i="14"/>
  <c r="F265" i="14"/>
  <c r="F303" i="14"/>
  <c r="F341" i="14"/>
  <c r="F379" i="14"/>
  <c r="F37" i="2"/>
  <c r="F75" i="2"/>
  <c r="F113" i="2"/>
  <c r="F151" i="2"/>
  <c r="F189" i="2"/>
  <c r="F227" i="2"/>
  <c r="F265" i="2"/>
  <c r="F303" i="2"/>
  <c r="F341" i="2"/>
  <c r="F379" i="2"/>
  <c r="F34" i="2"/>
  <c r="G34" i="2" s="1"/>
  <c r="F33" i="2"/>
  <c r="G33" i="2" s="1"/>
  <c r="F32" i="2"/>
  <c r="G32" i="2" s="1"/>
  <c r="F380" i="14"/>
  <c r="F378" i="14"/>
  <c r="F376" i="14"/>
  <c r="G376" i="14" s="1"/>
  <c r="F375" i="14"/>
  <c r="G375" i="14" s="1"/>
  <c r="F374" i="14"/>
  <c r="G374" i="14" s="1"/>
  <c r="F373" i="14"/>
  <c r="F372" i="14"/>
  <c r="G371" i="14" s="1"/>
  <c r="F371" i="14"/>
  <c r="F370" i="14"/>
  <c r="F369" i="14"/>
  <c r="F368" i="14"/>
  <c r="F367" i="14"/>
  <c r="G367" i="14"/>
  <c r="F366" i="14"/>
  <c r="F365" i="14"/>
  <c r="F364" i="14"/>
  <c r="F362" i="14"/>
  <c r="G362" i="14"/>
  <c r="F361" i="14"/>
  <c r="F360" i="14"/>
  <c r="F359" i="14"/>
  <c r="F358" i="14"/>
  <c r="F357" i="14"/>
  <c r="F356" i="14"/>
  <c r="F355" i="14"/>
  <c r="F354" i="14"/>
  <c r="F353" i="14"/>
  <c r="B348" i="14"/>
  <c r="B347" i="14"/>
  <c r="B346" i="14"/>
  <c r="A351" i="14" s="1"/>
  <c r="F342" i="14"/>
  <c r="F340" i="14"/>
  <c r="G339" i="14"/>
  <c r="H339" i="14" s="1"/>
  <c r="I339" i="14" s="1"/>
  <c r="F338" i="14"/>
  <c r="G338" i="14"/>
  <c r="F337" i="14"/>
  <c r="G337" i="14"/>
  <c r="F336" i="14"/>
  <c r="G336" i="14"/>
  <c r="F335" i="14"/>
  <c r="F334" i="14"/>
  <c r="F333" i="14"/>
  <c r="F332" i="14"/>
  <c r="F331" i="14"/>
  <c r="F330" i="14"/>
  <c r="F329" i="14"/>
  <c r="G329" i="14"/>
  <c r="F328" i="14"/>
  <c r="F327" i="14"/>
  <c r="F326" i="14"/>
  <c r="F324" i="14"/>
  <c r="G324" i="14"/>
  <c r="F323" i="14"/>
  <c r="F322" i="14"/>
  <c r="F321" i="14"/>
  <c r="F320" i="14"/>
  <c r="F319" i="14"/>
  <c r="F318" i="14"/>
  <c r="F317" i="14"/>
  <c r="F316" i="14"/>
  <c r="F315" i="14"/>
  <c r="A313" i="14"/>
  <c r="F304" i="14"/>
  <c r="F302" i="14"/>
  <c r="G301" i="14"/>
  <c r="H301" i="14" s="1"/>
  <c r="I301" i="14" s="1"/>
  <c r="F300" i="14"/>
  <c r="G300" i="14"/>
  <c r="F299" i="14"/>
  <c r="G299" i="14"/>
  <c r="F298" i="14"/>
  <c r="G298" i="14"/>
  <c r="F297" i="14"/>
  <c r="F296" i="14"/>
  <c r="F295" i="14"/>
  <c r="F294" i="14"/>
  <c r="F293" i="14"/>
  <c r="F292" i="14"/>
  <c r="F291" i="14"/>
  <c r="G291" i="14"/>
  <c r="F290" i="14"/>
  <c r="F289" i="14"/>
  <c r="F288" i="14"/>
  <c r="G287" i="14"/>
  <c r="H287" i="14" s="1"/>
  <c r="F286" i="14"/>
  <c r="G286" i="14"/>
  <c r="F285" i="14"/>
  <c r="F284" i="14"/>
  <c r="F283" i="14"/>
  <c r="F282" i="14"/>
  <c r="F281" i="14"/>
  <c r="F280" i="14"/>
  <c r="F279" i="14"/>
  <c r="F278" i="14"/>
  <c r="F277" i="14"/>
  <c r="B272" i="14"/>
  <c r="B271" i="14"/>
  <c r="B270" i="14"/>
  <c r="A275" i="14"/>
  <c r="F266" i="14"/>
  <c r="F264" i="14"/>
  <c r="F262" i="14"/>
  <c r="G262" i="14"/>
  <c r="F261" i="14"/>
  <c r="G261" i="14"/>
  <c r="F260" i="14"/>
  <c r="G260" i="14"/>
  <c r="F259" i="14"/>
  <c r="F258" i="14"/>
  <c r="F257" i="14"/>
  <c r="F256" i="14"/>
  <c r="F255" i="14"/>
  <c r="F254" i="14"/>
  <c r="F253" i="14"/>
  <c r="G253" i="14"/>
  <c r="F252" i="14"/>
  <c r="F251" i="14"/>
  <c r="F250" i="14"/>
  <c r="G249" i="14"/>
  <c r="H249" i="14" s="1"/>
  <c r="F248" i="14"/>
  <c r="G248" i="14"/>
  <c r="F247" i="14"/>
  <c r="F246" i="14"/>
  <c r="F245" i="14"/>
  <c r="F244" i="14"/>
  <c r="F243" i="14"/>
  <c r="F242" i="14"/>
  <c r="F241" i="14"/>
  <c r="F240" i="14"/>
  <c r="F239" i="14"/>
  <c r="B234" i="14"/>
  <c r="B233" i="14"/>
  <c r="B232" i="14"/>
  <c r="A237" i="14"/>
  <c r="F228" i="14"/>
  <c r="F226" i="14"/>
  <c r="G225" i="14"/>
  <c r="F224" i="14"/>
  <c r="G224" i="14"/>
  <c r="F223" i="14"/>
  <c r="G223" i="14"/>
  <c r="F222" i="14"/>
  <c r="G222" i="14"/>
  <c r="F221" i="14"/>
  <c r="F220" i="14"/>
  <c r="F219" i="14"/>
  <c r="F218" i="14"/>
  <c r="F217" i="14"/>
  <c r="F216" i="14"/>
  <c r="F215" i="14"/>
  <c r="G215" i="14"/>
  <c r="F214" i="14"/>
  <c r="F213" i="14"/>
  <c r="F212" i="14"/>
  <c r="G211" i="14"/>
  <c r="H211" i="14" s="1"/>
  <c r="F210" i="14"/>
  <c r="G210" i="14"/>
  <c r="F209" i="14"/>
  <c r="F208" i="14"/>
  <c r="F207" i="14"/>
  <c r="F206" i="14"/>
  <c r="F205" i="14"/>
  <c r="F204" i="14"/>
  <c r="F203" i="14"/>
  <c r="F202" i="14"/>
  <c r="F201" i="14"/>
  <c r="B196" i="14"/>
  <c r="B195" i="14"/>
  <c r="B194" i="14"/>
  <c r="A199" i="14"/>
  <c r="F190" i="14"/>
  <c r="F188" i="14"/>
  <c r="G187" i="14"/>
  <c r="F186" i="14"/>
  <c r="G186" i="14"/>
  <c r="F185" i="14"/>
  <c r="G185" i="14"/>
  <c r="F184" i="14"/>
  <c r="G184" i="14"/>
  <c r="F183" i="14"/>
  <c r="F182" i="14"/>
  <c r="F181" i="14"/>
  <c r="F180" i="14"/>
  <c r="F179" i="14"/>
  <c r="F178" i="14"/>
  <c r="F177" i="14"/>
  <c r="G177" i="14"/>
  <c r="F176" i="14"/>
  <c r="F175" i="14"/>
  <c r="F174" i="14"/>
  <c r="G173" i="14"/>
  <c r="F172" i="14"/>
  <c r="G172" i="14"/>
  <c r="F171" i="14"/>
  <c r="G170" i="14"/>
  <c r="F170" i="14"/>
  <c r="F169" i="14"/>
  <c r="F168" i="14"/>
  <c r="F167" i="14"/>
  <c r="F166" i="14"/>
  <c r="F165" i="14"/>
  <c r="F164" i="14"/>
  <c r="F163" i="14"/>
  <c r="B158" i="14"/>
  <c r="B157" i="14"/>
  <c r="B156" i="14"/>
  <c r="A161" i="14" s="1"/>
  <c r="F152" i="14"/>
  <c r="F150" i="14"/>
  <c r="G149" i="14"/>
  <c r="H149" i="14" s="1"/>
  <c r="I149" i="14" s="1"/>
  <c r="F148" i="14"/>
  <c r="G148" i="14"/>
  <c r="F147" i="14"/>
  <c r="G147" i="14"/>
  <c r="F146" i="14"/>
  <c r="G146" i="14"/>
  <c r="F145" i="14"/>
  <c r="F144" i="14"/>
  <c r="F143" i="14"/>
  <c r="F142" i="14"/>
  <c r="F141" i="14"/>
  <c r="F140" i="14"/>
  <c r="F139" i="14"/>
  <c r="G139" i="14"/>
  <c r="F138" i="14"/>
  <c r="F137" i="14"/>
  <c r="F136" i="14"/>
  <c r="G135" i="14"/>
  <c r="H135" i="14" s="1"/>
  <c r="F134" i="14"/>
  <c r="G134" i="14"/>
  <c r="F133" i="14"/>
  <c r="F132" i="14"/>
  <c r="F131" i="14"/>
  <c r="F130" i="14"/>
  <c r="F129" i="14"/>
  <c r="F128" i="14"/>
  <c r="F127" i="14"/>
  <c r="F126" i="14"/>
  <c r="F125" i="14"/>
  <c r="B120" i="14"/>
  <c r="B119" i="14"/>
  <c r="B118" i="14"/>
  <c r="A123" i="14"/>
  <c r="F114" i="14"/>
  <c r="F112" i="14"/>
  <c r="G111" i="14"/>
  <c r="H111" i="14" s="1"/>
  <c r="I111" i="14" s="1"/>
  <c r="F110" i="14"/>
  <c r="G110" i="14"/>
  <c r="F109" i="14"/>
  <c r="G109" i="14"/>
  <c r="F108" i="14"/>
  <c r="G108" i="14"/>
  <c r="H108" i="14"/>
  <c r="F107" i="14"/>
  <c r="F106" i="14"/>
  <c r="G105" i="14" s="1"/>
  <c r="F105" i="14"/>
  <c r="F104" i="14"/>
  <c r="F103" i="14"/>
  <c r="F102" i="14"/>
  <c r="F101" i="14"/>
  <c r="G101" i="14"/>
  <c r="F100" i="14"/>
  <c r="F99" i="14"/>
  <c r="F98" i="14"/>
  <c r="G97" i="14"/>
  <c r="F96" i="14"/>
  <c r="G96" i="14"/>
  <c r="F95" i="14"/>
  <c r="F94" i="14"/>
  <c r="F93" i="14"/>
  <c r="F92" i="14"/>
  <c r="F91" i="14"/>
  <c r="F90" i="14"/>
  <c r="F89" i="14"/>
  <c r="F88" i="14"/>
  <c r="F87" i="14"/>
  <c r="B82" i="14"/>
  <c r="B81" i="14"/>
  <c r="B80" i="14"/>
  <c r="A85" i="14" s="1"/>
  <c r="F76" i="14"/>
  <c r="F74" i="14"/>
  <c r="G73" i="14"/>
  <c r="H73" i="14" s="1"/>
  <c r="I73" i="14" s="1"/>
  <c r="F72" i="14"/>
  <c r="G72" i="14"/>
  <c r="F71" i="14"/>
  <c r="G71" i="14"/>
  <c r="F70" i="14"/>
  <c r="G70" i="14"/>
  <c r="F69" i="14"/>
  <c r="F68" i="14"/>
  <c r="G67" i="14" s="1"/>
  <c r="F67" i="14"/>
  <c r="F66" i="14"/>
  <c r="F65" i="14"/>
  <c r="F64" i="14"/>
  <c r="F63" i="14"/>
  <c r="G63" i="14"/>
  <c r="F62" i="14"/>
  <c r="F61" i="14"/>
  <c r="F60" i="14"/>
  <c r="G59" i="14"/>
  <c r="F58" i="14"/>
  <c r="G58" i="14"/>
  <c r="F57" i="14"/>
  <c r="F56" i="14"/>
  <c r="F55" i="14"/>
  <c r="F54" i="14"/>
  <c r="F53" i="14"/>
  <c r="F52" i="14"/>
  <c r="F51" i="14"/>
  <c r="F50" i="14"/>
  <c r="F49" i="14"/>
  <c r="B44" i="14"/>
  <c r="B43" i="14"/>
  <c r="B42" i="14"/>
  <c r="A47" i="14"/>
  <c r="F38" i="14"/>
  <c r="F36" i="14"/>
  <c r="G35" i="14"/>
  <c r="H35" i="14" s="1"/>
  <c r="I35" i="14" s="1"/>
  <c r="F34" i="14"/>
  <c r="G34" i="14"/>
  <c r="F33" i="14"/>
  <c r="G33" i="14"/>
  <c r="F32" i="14"/>
  <c r="G32" i="14"/>
  <c r="F31" i="14"/>
  <c r="F30" i="14"/>
  <c r="G29" i="14" s="1"/>
  <c r="F29" i="14"/>
  <c r="F28" i="14"/>
  <c r="F27" i="14"/>
  <c r="F26" i="14"/>
  <c r="F25" i="14"/>
  <c r="G25" i="14"/>
  <c r="F24" i="14"/>
  <c r="F23" i="14"/>
  <c r="F22" i="14"/>
  <c r="F20" i="14"/>
  <c r="G20" i="14"/>
  <c r="F19" i="14"/>
  <c r="F18" i="14"/>
  <c r="G18" i="14" s="1"/>
  <c r="H18" i="14" s="1"/>
  <c r="I18" i="14" s="1"/>
  <c r="F17" i="14"/>
  <c r="F16" i="14"/>
  <c r="F15" i="14"/>
  <c r="F14" i="14"/>
  <c r="F13" i="14"/>
  <c r="F12" i="14"/>
  <c r="F11" i="14"/>
  <c r="B6" i="14"/>
  <c r="B5" i="14"/>
  <c r="B4" i="14"/>
  <c r="A9" i="14" s="1"/>
  <c r="G326" i="2"/>
  <c r="G364" i="14"/>
  <c r="G98" i="14"/>
  <c r="G22" i="14"/>
  <c r="G378" i="14"/>
  <c r="G87" i="14"/>
  <c r="G102" i="14"/>
  <c r="G132" i="14"/>
  <c r="H132" i="14"/>
  <c r="I132" i="14"/>
  <c r="G188" i="14"/>
  <c r="H187" i="14"/>
  <c r="I187" i="14"/>
  <c r="I70" i="14"/>
  <c r="G242" i="14"/>
  <c r="G257" i="14"/>
  <c r="G322" i="14"/>
  <c r="H322" i="14"/>
  <c r="I322" i="14"/>
  <c r="G368" i="14"/>
  <c r="G246" i="14"/>
  <c r="H246" i="14"/>
  <c r="I246" i="14"/>
  <c r="G150" i="14"/>
  <c r="G143" i="14"/>
  <c r="G94" i="14"/>
  <c r="H94" i="14"/>
  <c r="I94" i="14"/>
  <c r="G52" i="14"/>
  <c r="G74" i="14"/>
  <c r="G284" i="14"/>
  <c r="H284" i="14"/>
  <c r="I284" i="14"/>
  <c r="G356" i="14"/>
  <c r="G208" i="14"/>
  <c r="H208" i="14"/>
  <c r="I208" i="14"/>
  <c r="G302" i="14"/>
  <c r="G264" i="14"/>
  <c r="G280" i="14"/>
  <c r="G295" i="14"/>
  <c r="G353" i="14"/>
  <c r="G360" i="14"/>
  <c r="H360" i="14"/>
  <c r="I360" i="14"/>
  <c r="G340" i="14"/>
  <c r="G318" i="14"/>
  <c r="G333" i="14"/>
  <c r="I336" i="14"/>
  <c r="G315" i="14"/>
  <c r="H315" i="14"/>
  <c r="G330" i="14"/>
  <c r="I298" i="14"/>
  <c r="G277" i="14"/>
  <c r="G292" i="14"/>
  <c r="I260" i="14"/>
  <c r="G239" i="14"/>
  <c r="G254" i="14"/>
  <c r="G204" i="14"/>
  <c r="G219" i="14"/>
  <c r="G226" i="14"/>
  <c r="H225" i="14"/>
  <c r="I225" i="14" s="1"/>
  <c r="I222" i="14"/>
  <c r="G201" i="14"/>
  <c r="G216" i="14"/>
  <c r="G166" i="14"/>
  <c r="G181" i="14"/>
  <c r="I184" i="14"/>
  <c r="G163" i="14"/>
  <c r="H170" i="14"/>
  <c r="I170" i="14"/>
  <c r="G178" i="14"/>
  <c r="G125" i="14"/>
  <c r="G140" i="14"/>
  <c r="G128" i="14"/>
  <c r="I146" i="14"/>
  <c r="G90" i="14"/>
  <c r="H87" i="14"/>
  <c r="G112" i="14"/>
  <c r="I108" i="14"/>
  <c r="G49" i="14"/>
  <c r="G56" i="14"/>
  <c r="H56" i="14"/>
  <c r="I56" i="14"/>
  <c r="G64" i="14"/>
  <c r="G36" i="14"/>
  <c r="G14" i="14"/>
  <c r="I32" i="14"/>
  <c r="G11" i="14"/>
  <c r="G26" i="14"/>
  <c r="H201" i="14"/>
  <c r="I201" i="14"/>
  <c r="H173" i="14"/>
  <c r="I173" i="14" s="1"/>
  <c r="H163" i="14"/>
  <c r="I163" i="14"/>
  <c r="H239" i="14"/>
  <c r="I239" i="14"/>
  <c r="H49" i="14"/>
  <c r="I49" i="14"/>
  <c r="H277" i="14"/>
  <c r="I277" i="14"/>
  <c r="H353" i="14"/>
  <c r="I353" i="14"/>
  <c r="H125" i="14"/>
  <c r="H11" i="14"/>
  <c r="I315" i="14"/>
  <c r="I87" i="14"/>
  <c r="I125" i="14"/>
  <c r="I11" i="14"/>
  <c r="F380" i="2"/>
  <c r="F378" i="2"/>
  <c r="G377" i="2"/>
  <c r="H377" i="2" s="1"/>
  <c r="I377" i="2" s="1"/>
  <c r="F376" i="2"/>
  <c r="G376" i="2" s="1"/>
  <c r="F375" i="2"/>
  <c r="G375" i="2" s="1"/>
  <c r="F374" i="2"/>
  <c r="G374" i="2" s="1"/>
  <c r="F373" i="2"/>
  <c r="F372" i="2"/>
  <c r="F371" i="2"/>
  <c r="G371" i="2" s="1"/>
  <c r="F370" i="2"/>
  <c r="F369" i="2"/>
  <c r="F368" i="2"/>
  <c r="F367" i="2"/>
  <c r="G367" i="2" s="1"/>
  <c r="F366" i="2"/>
  <c r="F365" i="2"/>
  <c r="F364" i="2"/>
  <c r="G364" i="2" s="1"/>
  <c r="F362" i="2"/>
  <c r="G362" i="2"/>
  <c r="F361" i="2"/>
  <c r="F360" i="2"/>
  <c r="F359" i="2"/>
  <c r="F358" i="2"/>
  <c r="F357" i="2"/>
  <c r="F356" i="2"/>
  <c r="F355" i="2"/>
  <c r="F354" i="2"/>
  <c r="F353" i="2"/>
  <c r="F342" i="2"/>
  <c r="F340" i="2"/>
  <c r="G339" i="2"/>
  <c r="H339" i="2" s="1"/>
  <c r="I339" i="2" s="1"/>
  <c r="F338" i="2"/>
  <c r="G338" i="2"/>
  <c r="F337" i="2"/>
  <c r="G337" i="2"/>
  <c r="F336" i="2"/>
  <c r="G336" i="2"/>
  <c r="H336" i="2" s="1"/>
  <c r="I336" i="2" s="1"/>
  <c r="F335" i="2"/>
  <c r="F334" i="2"/>
  <c r="F333" i="2"/>
  <c r="F332" i="2"/>
  <c r="F331" i="2"/>
  <c r="F330" i="2"/>
  <c r="G330" i="2"/>
  <c r="F329" i="2"/>
  <c r="G329" i="2"/>
  <c r="F328" i="2"/>
  <c r="F327" i="2"/>
  <c r="F326" i="2"/>
  <c r="G325" i="2"/>
  <c r="F324" i="2"/>
  <c r="G324" i="2"/>
  <c r="F323" i="2"/>
  <c r="F322" i="2"/>
  <c r="F321" i="2"/>
  <c r="F320" i="2"/>
  <c r="F319" i="2"/>
  <c r="F318" i="2"/>
  <c r="F317" i="2"/>
  <c r="F316" i="2"/>
  <c r="F315" i="2"/>
  <c r="F304" i="2"/>
  <c r="F302" i="2"/>
  <c r="G301" i="2"/>
  <c r="H301" i="2" s="1"/>
  <c r="I301" i="2" s="1"/>
  <c r="F300" i="2"/>
  <c r="G300" i="2"/>
  <c r="F299" i="2"/>
  <c r="G299" i="2"/>
  <c r="F298" i="2"/>
  <c r="G298" i="2"/>
  <c r="F297" i="2"/>
  <c r="F296" i="2"/>
  <c r="F295" i="2"/>
  <c r="F294" i="2"/>
  <c r="F293" i="2"/>
  <c r="F292" i="2"/>
  <c r="F291" i="2"/>
  <c r="G291" i="2"/>
  <c r="F290" i="2"/>
  <c r="F289" i="2"/>
  <c r="G288" i="2"/>
  <c r="F288" i="2"/>
  <c r="G287" i="2"/>
  <c r="F286" i="2"/>
  <c r="G286" i="2"/>
  <c r="F285" i="2"/>
  <c r="F284" i="2"/>
  <c r="F283" i="2"/>
  <c r="F282" i="2"/>
  <c r="F281" i="2"/>
  <c r="F280" i="2"/>
  <c r="F279" i="2"/>
  <c r="F278" i="2"/>
  <c r="F277" i="2"/>
  <c r="F266" i="2"/>
  <c r="F264" i="2"/>
  <c r="G263" i="2"/>
  <c r="H263" i="2" s="1"/>
  <c r="I263" i="2" s="1"/>
  <c r="F262" i="2"/>
  <c r="G262" i="2"/>
  <c r="F261" i="2"/>
  <c r="G261" i="2"/>
  <c r="F260" i="2"/>
  <c r="G260" i="2"/>
  <c r="F259" i="2"/>
  <c r="F258" i="2"/>
  <c r="F257" i="2"/>
  <c r="F256" i="2"/>
  <c r="F255" i="2"/>
  <c r="F254" i="2"/>
  <c r="F253" i="2"/>
  <c r="G253" i="2"/>
  <c r="F252" i="2"/>
  <c r="F251" i="2"/>
  <c r="F250" i="2"/>
  <c r="G249" i="2"/>
  <c r="H249" i="2" s="1"/>
  <c r="F248" i="2"/>
  <c r="G248" i="2"/>
  <c r="F247" i="2"/>
  <c r="F246" i="2"/>
  <c r="F245" i="2"/>
  <c r="F244" i="2"/>
  <c r="F243" i="2"/>
  <c r="F242" i="2"/>
  <c r="F241" i="2"/>
  <c r="F240" i="2"/>
  <c r="F239" i="2"/>
  <c r="F228" i="2"/>
  <c r="F226" i="2"/>
  <c r="G225" i="2"/>
  <c r="H225" i="2" s="1"/>
  <c r="I225" i="2" s="1"/>
  <c r="F224" i="2"/>
  <c r="G224" i="2"/>
  <c r="F223" i="2"/>
  <c r="G223" i="2"/>
  <c r="F222" i="2"/>
  <c r="G222" i="2"/>
  <c r="F221" i="2"/>
  <c r="F220" i="2"/>
  <c r="F219" i="2"/>
  <c r="F218" i="2"/>
  <c r="F217" i="2"/>
  <c r="F216" i="2"/>
  <c r="F215" i="2"/>
  <c r="G215" i="2"/>
  <c r="F214" i="2"/>
  <c r="F213" i="2"/>
  <c r="F212" i="2"/>
  <c r="G212" i="2"/>
  <c r="G211" i="2"/>
  <c r="H211" i="2" s="1"/>
  <c r="F210" i="2"/>
  <c r="G210" i="2"/>
  <c r="F209" i="2"/>
  <c r="F208" i="2"/>
  <c r="F207" i="2"/>
  <c r="F206" i="2"/>
  <c r="F205" i="2"/>
  <c r="F204" i="2"/>
  <c r="F203" i="2"/>
  <c r="F202" i="2"/>
  <c r="F201" i="2"/>
  <c r="F190" i="2"/>
  <c r="F188" i="2"/>
  <c r="G187" i="2"/>
  <c r="H187" i="2" s="1"/>
  <c r="I187" i="2" s="1"/>
  <c r="F186" i="2"/>
  <c r="G186" i="2"/>
  <c r="F185" i="2"/>
  <c r="G185" i="2"/>
  <c r="F184" i="2"/>
  <c r="G184" i="2"/>
  <c r="F183" i="2"/>
  <c r="F182" i="2"/>
  <c r="F181" i="2"/>
  <c r="F180" i="2"/>
  <c r="F179" i="2"/>
  <c r="F178" i="2"/>
  <c r="F177" i="2"/>
  <c r="G177" i="2"/>
  <c r="F176" i="2"/>
  <c r="F175" i="2"/>
  <c r="G174" i="2"/>
  <c r="F174" i="2"/>
  <c r="G173" i="2"/>
  <c r="H173" i="2" s="1"/>
  <c r="F172" i="2"/>
  <c r="G172" i="2"/>
  <c r="F171" i="2"/>
  <c r="F170" i="2"/>
  <c r="F169" i="2"/>
  <c r="F168" i="2"/>
  <c r="F167" i="2"/>
  <c r="F166" i="2"/>
  <c r="F165" i="2"/>
  <c r="F164" i="2"/>
  <c r="F163" i="2"/>
  <c r="F114" i="2"/>
  <c r="F112" i="2"/>
  <c r="G111" i="2"/>
  <c r="H111" i="2" s="1"/>
  <c r="I111" i="2" s="1"/>
  <c r="F110" i="2"/>
  <c r="G110" i="2"/>
  <c r="F109" i="2"/>
  <c r="G109" i="2"/>
  <c r="F108" i="2"/>
  <c r="G108" i="2"/>
  <c r="H108" i="2" s="1"/>
  <c r="I108" i="2" s="1"/>
  <c r="F107" i="2"/>
  <c r="F106" i="2"/>
  <c r="F105" i="2"/>
  <c r="F104" i="2"/>
  <c r="F103" i="2"/>
  <c r="F102" i="2"/>
  <c r="F101" i="2"/>
  <c r="G101" i="2"/>
  <c r="F100" i="2"/>
  <c r="F99" i="2"/>
  <c r="F98" i="2"/>
  <c r="G97" i="2"/>
  <c r="F96" i="2"/>
  <c r="G96" i="2"/>
  <c r="F95" i="2"/>
  <c r="F94" i="2"/>
  <c r="F93" i="2"/>
  <c r="F92" i="2"/>
  <c r="F91" i="2"/>
  <c r="F90" i="2"/>
  <c r="F89" i="2"/>
  <c r="F88" i="2"/>
  <c r="F87" i="2"/>
  <c r="F76" i="2"/>
  <c r="F74" i="2"/>
  <c r="G73" i="2"/>
  <c r="H73" i="2" s="1"/>
  <c r="I73" i="2" s="1"/>
  <c r="F72" i="2"/>
  <c r="G72" i="2"/>
  <c r="F71" i="2"/>
  <c r="G71" i="2"/>
  <c r="F70" i="2"/>
  <c r="G70" i="2"/>
  <c r="F69" i="2"/>
  <c r="F68" i="2"/>
  <c r="G67" i="2" s="1"/>
  <c r="F67" i="2"/>
  <c r="F66" i="2"/>
  <c r="F65" i="2"/>
  <c r="F64" i="2"/>
  <c r="F63" i="2"/>
  <c r="G63" i="2"/>
  <c r="F62" i="2"/>
  <c r="F61" i="2"/>
  <c r="F60" i="2"/>
  <c r="F58" i="2"/>
  <c r="G58" i="2" s="1"/>
  <c r="F57" i="2"/>
  <c r="F56" i="2"/>
  <c r="G56" i="2" s="1"/>
  <c r="H56" i="2" s="1"/>
  <c r="I56" i="2" s="1"/>
  <c r="F55" i="2"/>
  <c r="F54" i="2"/>
  <c r="F53" i="2"/>
  <c r="F52" i="2"/>
  <c r="F51" i="2"/>
  <c r="F50" i="2"/>
  <c r="F49" i="2"/>
  <c r="F152" i="2"/>
  <c r="F150" i="2"/>
  <c r="F148" i="2"/>
  <c r="G148" i="2"/>
  <c r="F147" i="2"/>
  <c r="G147" i="2"/>
  <c r="F146" i="2"/>
  <c r="G146" i="2"/>
  <c r="F145" i="2"/>
  <c r="F144" i="2"/>
  <c r="F143" i="2"/>
  <c r="F142" i="2"/>
  <c r="F141" i="2"/>
  <c r="F140" i="2"/>
  <c r="F139" i="2"/>
  <c r="G139" i="2"/>
  <c r="F138" i="2"/>
  <c r="F137" i="2"/>
  <c r="F136" i="2"/>
  <c r="G135" i="2"/>
  <c r="H135" i="2" s="1"/>
  <c r="F134" i="2"/>
  <c r="G134" i="2"/>
  <c r="F133" i="2"/>
  <c r="F132" i="2"/>
  <c r="F131" i="2"/>
  <c r="F130" i="2"/>
  <c r="F129" i="2"/>
  <c r="F128" i="2"/>
  <c r="F127" i="2"/>
  <c r="F126" i="2"/>
  <c r="F125" i="2"/>
  <c r="G98" i="2"/>
  <c r="G60" i="2"/>
  <c r="G128" i="2"/>
  <c r="G49" i="2"/>
  <c r="G216" i="2"/>
  <c r="G378" i="2"/>
  <c r="G74" i="2"/>
  <c r="G322" i="2"/>
  <c r="H322" i="2"/>
  <c r="I322" i="2"/>
  <c r="G150" i="2"/>
  <c r="G125" i="2"/>
  <c r="G264" i="2"/>
  <c r="G353" i="2"/>
  <c r="G181" i="2"/>
  <c r="G208" i="2"/>
  <c r="H208" i="2"/>
  <c r="I208" i="2"/>
  <c r="G302" i="2"/>
  <c r="G356" i="2"/>
  <c r="G284" i="2"/>
  <c r="H284" i="2"/>
  <c r="I284" i="2"/>
  <c r="G166" i="2"/>
  <c r="G201" i="2"/>
  <c r="I260" i="2"/>
  <c r="G295" i="2"/>
  <c r="G94" i="2"/>
  <c r="H94" i="2" s="1"/>
  <c r="I94" i="2" s="1"/>
  <c r="G226" i="2"/>
  <c r="G132" i="2"/>
  <c r="H132" i="2"/>
  <c r="I132" i="2"/>
  <c r="G140" i="2"/>
  <c r="G112" i="2"/>
  <c r="G204" i="2"/>
  <c r="G239" i="2"/>
  <c r="I298" i="2"/>
  <c r="I146" i="2"/>
  <c r="G102" i="2"/>
  <c r="G280" i="2"/>
  <c r="G315" i="2"/>
  <c r="G52" i="2"/>
  <c r="G87" i="2"/>
  <c r="I184" i="2"/>
  <c r="G219" i="2"/>
  <c r="G246" i="2"/>
  <c r="H246" i="2"/>
  <c r="I246" i="2"/>
  <c r="G254" i="2"/>
  <c r="G340" i="2"/>
  <c r="G333" i="2"/>
  <c r="G360" i="2"/>
  <c r="H360" i="2" s="1"/>
  <c r="I360" i="2" s="1"/>
  <c r="G368" i="2"/>
  <c r="I70" i="2"/>
  <c r="G105" i="2"/>
  <c r="G170" i="2"/>
  <c r="H170" i="2"/>
  <c r="I170" i="2"/>
  <c r="G178" i="2"/>
  <c r="G318" i="2"/>
  <c r="G90" i="2"/>
  <c r="G163" i="2"/>
  <c r="H163" i="2"/>
  <c r="I163" i="2"/>
  <c r="G257" i="2"/>
  <c r="G292" i="2"/>
  <c r="H125" i="2"/>
  <c r="I125" i="2"/>
  <c r="G143" i="2"/>
  <c r="G64" i="2"/>
  <c r="G188" i="2"/>
  <c r="G242" i="2"/>
  <c r="H239" i="2"/>
  <c r="I239" i="2"/>
  <c r="G277" i="2"/>
  <c r="I222" i="2"/>
  <c r="H49" i="2"/>
  <c r="I49" i="2"/>
  <c r="H287" i="2"/>
  <c r="I287" i="2" s="1"/>
  <c r="H353" i="2"/>
  <c r="I353" i="2"/>
  <c r="H201" i="2"/>
  <c r="I201" i="2"/>
  <c r="H315" i="2"/>
  <c r="H277" i="2"/>
  <c r="I277" i="2"/>
  <c r="H87" i="2"/>
  <c r="I87" i="2"/>
  <c r="B25" i="12"/>
  <c r="F11" i="12"/>
  <c r="G11" i="12" s="1"/>
  <c r="H11" i="12" s="1"/>
  <c r="B23" i="12"/>
  <c r="I315" i="2"/>
  <c r="B348" i="2"/>
  <c r="B347" i="2"/>
  <c r="B310" i="2"/>
  <c r="B309" i="2"/>
  <c r="B308" i="2"/>
  <c r="A30" i="12" s="1"/>
  <c r="B272" i="2"/>
  <c r="B271" i="2"/>
  <c r="B270" i="2"/>
  <c r="A29" i="12" s="1"/>
  <c r="B234" i="2"/>
  <c r="B233" i="2"/>
  <c r="B232" i="2"/>
  <c r="A237" i="2" s="1"/>
  <c r="B196" i="2"/>
  <c r="B195" i="2"/>
  <c r="B120" i="2"/>
  <c r="B158" i="2"/>
  <c r="B157" i="2"/>
  <c r="B6" i="2"/>
  <c r="B44" i="2"/>
  <c r="B82" i="2"/>
  <c r="B81" i="2"/>
  <c r="B43" i="2"/>
  <c r="B5" i="2"/>
  <c r="B346" i="2"/>
  <c r="A31" i="12" s="1"/>
  <c r="B194" i="2"/>
  <c r="B156" i="2"/>
  <c r="A161" i="2" s="1"/>
  <c r="B80" i="2"/>
  <c r="A24" i="12" s="1"/>
  <c r="B42" i="2"/>
  <c r="A23" i="12" s="1"/>
  <c r="B4" i="2"/>
  <c r="A9" i="2" s="1"/>
  <c r="B4" i="12"/>
  <c r="B3" i="12"/>
  <c r="B24" i="12"/>
  <c r="F10" i="12"/>
  <c r="G10" i="12" s="1"/>
  <c r="H10" i="12" s="1"/>
  <c r="F9" i="12"/>
  <c r="G9" i="12" s="1"/>
  <c r="H9" i="12" s="1"/>
  <c r="F38" i="2"/>
  <c r="F36" i="2"/>
  <c r="F31" i="2"/>
  <c r="F30" i="2"/>
  <c r="G29" i="2" s="1"/>
  <c r="F25" i="2"/>
  <c r="F26" i="2"/>
  <c r="F28" i="2"/>
  <c r="F29" i="2"/>
  <c r="F27" i="2"/>
  <c r="G26" i="2" s="1"/>
  <c r="F22" i="2"/>
  <c r="F23" i="2"/>
  <c r="F24" i="2"/>
  <c r="F20" i="2"/>
  <c r="F19" i="2"/>
  <c r="F18" i="2"/>
  <c r="G18" i="2" s="1"/>
  <c r="H18" i="2" s="1"/>
  <c r="I18" i="2" s="1"/>
  <c r="F17" i="2"/>
  <c r="F16" i="2"/>
  <c r="F13" i="2"/>
  <c r="F15" i="2"/>
  <c r="F12" i="2"/>
  <c r="F14" i="2"/>
  <c r="F11" i="2"/>
  <c r="G22" i="2"/>
  <c r="G25" i="2"/>
  <c r="G14" i="2"/>
  <c r="I9" i="12"/>
  <c r="I10" i="12"/>
  <c r="I11" i="12"/>
  <c r="I12" i="12"/>
  <c r="I13" i="12"/>
  <c r="I14" i="12"/>
  <c r="I15" i="12"/>
  <c r="I16" i="12"/>
  <c r="I17" i="12"/>
  <c r="I8" i="12"/>
  <c r="A8" i="12"/>
  <c r="A9" i="12"/>
  <c r="A10" i="12"/>
  <c r="A11" i="12"/>
  <c r="A12" i="12"/>
  <c r="A13" i="12"/>
  <c r="A14" i="12"/>
  <c r="A15" i="12"/>
  <c r="A16" i="12"/>
  <c r="A17" i="12"/>
  <c r="A28" i="12"/>
  <c r="A27" i="12"/>
  <c r="A26" i="12"/>
  <c r="A313" i="2"/>
  <c r="A275" i="2"/>
  <c r="A199" i="2"/>
  <c r="A123" i="2"/>
  <c r="A85" i="2"/>
  <c r="G20" i="2"/>
  <c r="G11" i="2"/>
  <c r="H11" i="2"/>
  <c r="I11" i="2" s="1"/>
  <c r="G36" i="2"/>
  <c r="G35" i="2"/>
  <c r="H35" i="2" s="1"/>
  <c r="I35" i="2" s="1"/>
  <c r="A22" i="12"/>
  <c r="H374" i="14" l="1"/>
  <c r="I374" i="14" s="1"/>
  <c r="H374" i="2"/>
  <c r="I374" i="2" s="1"/>
  <c r="H363" i="2"/>
  <c r="I363" i="2" s="1"/>
  <c r="H325" i="2"/>
  <c r="I325" i="2" s="1"/>
  <c r="H97" i="2"/>
  <c r="H32" i="2"/>
  <c r="I32" i="2" s="1"/>
  <c r="A351" i="2"/>
  <c r="A47" i="2"/>
  <c r="J163" i="2"/>
  <c r="H363" i="14"/>
  <c r="I363" i="14" s="1"/>
  <c r="H97" i="14"/>
  <c r="I97" i="14" s="1"/>
  <c r="H59" i="14"/>
  <c r="J49" i="14" s="1"/>
  <c r="H59" i="2"/>
  <c r="J49" i="2" s="1"/>
  <c r="H21" i="2"/>
  <c r="J11" i="2" s="1"/>
  <c r="H21" i="14"/>
  <c r="I21" i="14" s="1"/>
  <c r="J163" i="14"/>
  <c r="J277" i="2"/>
  <c r="J201" i="2"/>
  <c r="I211" i="2"/>
  <c r="I135" i="2"/>
  <c r="J125" i="2"/>
  <c r="J277" i="14"/>
  <c r="I287" i="14"/>
  <c r="J239" i="2"/>
  <c r="I249" i="2"/>
  <c r="I97" i="2"/>
  <c r="J87" i="2"/>
  <c r="I249" i="14"/>
  <c r="J239" i="14"/>
  <c r="I325" i="14"/>
  <c r="J315" i="14"/>
  <c r="I135" i="14"/>
  <c r="J125" i="14"/>
  <c r="H18" i="12"/>
  <c r="G6" i="10" s="1"/>
  <c r="J353" i="14"/>
  <c r="I211" i="14"/>
  <c r="J201" i="14"/>
  <c r="I173" i="2"/>
  <c r="J353" i="2" l="1"/>
  <c r="J315" i="2"/>
  <c r="I21" i="2"/>
  <c r="I59" i="2"/>
  <c r="J87" i="14"/>
  <c r="I59" i="14"/>
  <c r="J11" i="14"/>
</calcChain>
</file>

<file path=xl/sharedStrings.xml><?xml version="1.0" encoding="utf-8"?>
<sst xmlns="http://schemas.openxmlformats.org/spreadsheetml/2006/main" count="1921" uniqueCount="368">
  <si>
    <t>Bank Height Ratio (BHR)</t>
  </si>
  <si>
    <t>Functional Category</t>
  </si>
  <si>
    <t>Function-Based Parameters</t>
  </si>
  <si>
    <t>Floodplain Connectivity</t>
  </si>
  <si>
    <t>C</t>
  </si>
  <si>
    <t>E</t>
  </si>
  <si>
    <t>B</t>
  </si>
  <si>
    <t>Bc</t>
  </si>
  <si>
    <t>Field Value</t>
  </si>
  <si>
    <t>Index Value</t>
  </si>
  <si>
    <t>Roll Up Scoring</t>
  </si>
  <si>
    <t>Parameter</t>
  </si>
  <si>
    <t>Category</t>
  </si>
  <si>
    <t>A</t>
  </si>
  <si>
    <t>Sand</t>
  </si>
  <si>
    <t>Gravel</t>
  </si>
  <si>
    <t>Geomorphology</t>
  </si>
  <si>
    <t>L/L</t>
  </si>
  <si>
    <t>L/M</t>
  </si>
  <si>
    <t>L/H</t>
  </si>
  <si>
    <t>L/VH</t>
  </si>
  <si>
    <t>M/VL</t>
  </si>
  <si>
    <t>M/L</t>
  </si>
  <si>
    <t>M/M</t>
  </si>
  <si>
    <t>M/H</t>
  </si>
  <si>
    <t>L/Ex</t>
  </si>
  <si>
    <t>H/L</t>
  </si>
  <si>
    <t>H/M</t>
  </si>
  <si>
    <t>H/H</t>
  </si>
  <si>
    <t>VH/VL</t>
  </si>
  <si>
    <t>Ex/VL</t>
  </si>
  <si>
    <t>H/Ex</t>
  </si>
  <si>
    <t>Ex/M</t>
  </si>
  <si>
    <t>Ex/H</t>
  </si>
  <si>
    <t>Ex/VH</t>
  </si>
  <si>
    <t>VH/VH</t>
  </si>
  <si>
    <t>Ex/Ex</t>
  </si>
  <si>
    <t>Dominant BEHI/NBS</t>
  </si>
  <si>
    <t>Riparian Vegetation</t>
  </si>
  <si>
    <t>Bed Form Diversity</t>
  </si>
  <si>
    <t>Pool Depth Ratio</t>
  </si>
  <si>
    <t>Physicochemical</t>
  </si>
  <si>
    <t>Biology</t>
  </si>
  <si>
    <t>Yes</t>
  </si>
  <si>
    <t>No</t>
  </si>
  <si>
    <t>Fish</t>
  </si>
  <si>
    <t>F</t>
  </si>
  <si>
    <t>G</t>
  </si>
  <si>
    <t>Percent Streambank Erosion (%)</t>
  </si>
  <si>
    <t>Gc</t>
  </si>
  <si>
    <t>M/Ex</t>
  </si>
  <si>
    <t>M/VH</t>
  </si>
  <si>
    <t>H/VL</t>
  </si>
  <si>
    <t>H/VH</t>
  </si>
  <si>
    <t>VH/L</t>
  </si>
  <si>
    <t>VH/M</t>
  </si>
  <si>
    <t>VH/H</t>
  </si>
  <si>
    <t>VH/Ex</t>
  </si>
  <si>
    <t>Ex/L</t>
  </si>
  <si>
    <t>Reach ID:</t>
  </si>
  <si>
    <t>a</t>
  </si>
  <si>
    <t>b</t>
  </si>
  <si>
    <t>NF</t>
  </si>
  <si>
    <t>Reach Runoff</t>
  </si>
  <si>
    <t>Version Last Updated</t>
  </si>
  <si>
    <t>Existing and Proposed Stream Types</t>
  </si>
  <si>
    <t>Proposed Bed Material</t>
  </si>
  <si>
    <t>BEHI/NBS Scores</t>
  </si>
  <si>
    <t>Yes/No</t>
  </si>
  <si>
    <t>Coefficients - Y = a * X + b</t>
  </si>
  <si>
    <t>FAR</t>
  </si>
  <si>
    <t>Rising Limb</t>
  </si>
  <si>
    <t>Falling Limb</t>
  </si>
  <si>
    <t>Valley Type:</t>
  </si>
  <si>
    <t>Valley Type</t>
  </si>
  <si>
    <t>Unconfined Alluvial</t>
  </si>
  <si>
    <t>Confined Alluvial</t>
  </si>
  <si>
    <t>U.S. Environmental Protection Agency</t>
  </si>
  <si>
    <t>Contractors:</t>
  </si>
  <si>
    <t>Percent Riffle (%)</t>
  </si>
  <si>
    <t>Macroinvertebrates</t>
  </si>
  <si>
    <t>Bedrock</t>
  </si>
  <si>
    <t>Boulders</t>
  </si>
  <si>
    <t>Cobble</t>
  </si>
  <si>
    <t>Silt/Clay</t>
  </si>
  <si>
    <t>ECS</t>
  </si>
  <si>
    <t>Impact Severity Tier</t>
  </si>
  <si>
    <t>Tier 0</t>
  </si>
  <si>
    <t>Impact Severity Tiers</t>
  </si>
  <si>
    <t>Percent Functional Loss</t>
  </si>
  <si>
    <t>Tier 1</t>
  </si>
  <si>
    <t>Tier 2</t>
  </si>
  <si>
    <t>Tier 3</t>
  </si>
  <si>
    <t>Tier 4</t>
  </si>
  <si>
    <t>Tier 5</t>
  </si>
  <si>
    <t>Users select values from a pull-down menu</t>
  </si>
  <si>
    <t>Users Input Values</t>
  </si>
  <si>
    <t xml:space="preserve">Coefficients - Y = a * X + b </t>
  </si>
  <si>
    <t>Percent Armoring (%)</t>
  </si>
  <si>
    <t>Lateral Migration</t>
  </si>
  <si>
    <t>Stream ID 
by Reach</t>
  </si>
  <si>
    <t>Total Functional Loss (Debits in FF):</t>
  </si>
  <si>
    <t>Upstream Latitude:</t>
  </si>
  <si>
    <t>Upstream Longitude:</t>
  </si>
  <si>
    <t>Downstream Latitude:</t>
  </si>
  <si>
    <t>Downstream Longitude:</t>
  </si>
  <si>
    <t>Project Name</t>
  </si>
  <si>
    <t>Total Debits
 (FF)</t>
  </si>
  <si>
    <t>Applicant</t>
  </si>
  <si>
    <r>
      <t xml:space="preserve">Project ID/Permit Number(s) 
</t>
    </r>
    <r>
      <rPr>
        <b/>
        <sz val="11"/>
        <color theme="1"/>
        <rFont val="Calibri"/>
        <family val="2"/>
        <scheme val="minor"/>
      </rPr>
      <t>(optional)</t>
    </r>
  </si>
  <si>
    <t>Date</t>
  </si>
  <si>
    <t>Project Description</t>
  </si>
  <si>
    <t>Latitude</t>
  </si>
  <si>
    <t>Longitude</t>
  </si>
  <si>
    <t>Land Use Coefficient</t>
  </si>
  <si>
    <t>Temperature</t>
  </si>
  <si>
    <t>Ba</t>
  </si>
  <si>
    <t>Cb</t>
  </si>
  <si>
    <t>VL/VL</t>
  </si>
  <si>
    <t>VL/L</t>
  </si>
  <si>
    <t>VL/M</t>
  </si>
  <si>
    <t>VL/H</t>
  </si>
  <si>
    <t>VL/VH</t>
  </si>
  <si>
    <t>VL/Ex</t>
  </si>
  <si>
    <t xml:space="preserve">Coefficients - Y = a * X+ b </t>
  </si>
  <si>
    <t>Concentrated Flow Points / 1,000 ft</t>
  </si>
  <si>
    <t>Coefficients - Y = a  * X + b</t>
  </si>
  <si>
    <t>NF/FAR</t>
  </si>
  <si>
    <t>Pool Spacing Ratio for Bc Stream Types</t>
  </si>
  <si>
    <t>Falling limb</t>
  </si>
  <si>
    <t>PCS</t>
  </si>
  <si>
    <t>Debit Option</t>
  </si>
  <si>
    <t>Date:</t>
  </si>
  <si>
    <t>Debit
Option</t>
  </si>
  <si>
    <t>DA</t>
  </si>
  <si>
    <t>CS-II</t>
  </si>
  <si>
    <t>Land use coefficient</t>
  </si>
  <si>
    <t>Pool Spacing Ratio for C Streams</t>
  </si>
  <si>
    <t>Pool Spacing Ratio for B and Ba Stream Types</t>
  </si>
  <si>
    <t>Pool Spacing Ratio for E Stream Types</t>
  </si>
  <si>
    <t>Percent Riffle &lt; 3 % slope</t>
  </si>
  <si>
    <t>Percent Riffle &gt;= 3 % slope</t>
  </si>
  <si>
    <t>Riparian Extent</t>
  </si>
  <si>
    <t>FAR/F</t>
  </si>
  <si>
    <t>Confined alluvial or colluvial/v-shaped valleys</t>
  </si>
  <si>
    <t>Percent Native Cover</t>
  </si>
  <si>
    <t>CS-I (MWF)</t>
  </si>
  <si>
    <t>CS-I</t>
  </si>
  <si>
    <t>WS-I</t>
  </si>
  <si>
    <t>WS-II</t>
  </si>
  <si>
    <t>WS-III</t>
  </si>
  <si>
    <t>Herbaceous</t>
  </si>
  <si>
    <t>Biotype</t>
  </si>
  <si>
    <t>Stream Temperature</t>
  </si>
  <si>
    <t>Colluvial/V-Shaped</t>
  </si>
  <si>
    <t>Reference Vegetation Cover:</t>
  </si>
  <si>
    <t>Ecoregion:</t>
  </si>
  <si>
    <t>Strahler Stream Order:</t>
  </si>
  <si>
    <t>Flow Type</t>
  </si>
  <si>
    <t>Perennial</t>
  </si>
  <si>
    <t>Intermittent</t>
  </si>
  <si>
    <t>Ephemeral</t>
  </si>
  <si>
    <t>Strahler Stream order</t>
  </si>
  <si>
    <t>Ecoregion</t>
  </si>
  <si>
    <t>Coefficients - Y = a * X^2 + b * X + c</t>
  </si>
  <si>
    <t>Reach ID</t>
  </si>
  <si>
    <t>FUNCTIONAL LOSS SUMMARY</t>
  </si>
  <si>
    <t>Site Information and Reference Selection</t>
  </si>
  <si>
    <t>Reference Stream Type:</t>
  </si>
  <si>
    <t>Stream Order</t>
  </si>
  <si>
    <t>Existing Reach Length</t>
  </si>
  <si>
    <t>Proposed Reach  Length</t>
  </si>
  <si>
    <t>Existing Condition Score (ECS)</t>
  </si>
  <si>
    <t>Proposed Condition Score (PCS)</t>
  </si>
  <si>
    <r>
      <t>Change in
Functional Feet (</t>
    </r>
    <r>
      <rPr>
        <b/>
        <sz val="11"/>
        <color theme="1"/>
        <rFont val="Grotesque"/>
        <family val="2"/>
      </rPr>
      <t>Δ</t>
    </r>
    <r>
      <rPr>
        <b/>
        <sz val="11"/>
        <color theme="1"/>
        <rFont val="Calibri"/>
        <family val="2"/>
      </rPr>
      <t>FF)</t>
    </r>
  </si>
  <si>
    <t>Steering Committee:</t>
  </si>
  <si>
    <t>Salcha-Delta Soil and Water Conservation District</t>
  </si>
  <si>
    <t>U.S. Army Corps of Engineers, Alaska District</t>
  </si>
  <si>
    <t>U.S. Bureau of Land Management</t>
  </si>
  <si>
    <t>Alaska Department of Environmental Conservation</t>
  </si>
  <si>
    <t xml:space="preserve">National Park Service </t>
  </si>
  <si>
    <t>U.S. Fish and Wildlife Service</t>
  </si>
  <si>
    <t>Ecosystem Planning and Restoration (EPR) through a contract with the U.S. Environmental Projection Agency (Contract No. EP-C-17-001).</t>
  </si>
  <si>
    <t>Select from drop-down</t>
  </si>
  <si>
    <t>Users input values</t>
  </si>
  <si>
    <t>Reach and Impact Description</t>
  </si>
  <si>
    <t>Insert Aerial Photo of Project Area</t>
  </si>
  <si>
    <t>Impervious Cover</t>
  </si>
  <si>
    <t>Anthropogenic Land Cover</t>
  </si>
  <si>
    <t>Width/Depth Ratio</t>
  </si>
  <si>
    <t>Rising limb</t>
  </si>
  <si>
    <t>Rising limb of curve only used when BHR &gt;1.2</t>
  </si>
  <si>
    <t>LWD Frequency</t>
  </si>
  <si>
    <t>Alaska Range</t>
  </si>
  <si>
    <t>Brooks Range</t>
  </si>
  <si>
    <t>Interior Bottomlands</t>
  </si>
  <si>
    <t>Interior Forested Lowlands/Uplands and Highlands</t>
  </si>
  <si>
    <t>Percent Fines &lt; 2mm</t>
  </si>
  <si>
    <t>Gravel Bed</t>
  </si>
  <si>
    <t>Cobble, Boulder, Bedrock</t>
  </si>
  <si>
    <t>B &amp; Ba Streams</t>
  </si>
  <si>
    <t>All other Streams</t>
  </si>
  <si>
    <t>Vegetative Complexity</t>
  </si>
  <si>
    <t>Alaska &amp; Brooks Range</t>
  </si>
  <si>
    <t>Interior Highlands</t>
  </si>
  <si>
    <t>Interior Forested Lowlands/Uplands</t>
  </si>
  <si>
    <t>Daily Maximum Temperature</t>
  </si>
  <si>
    <t>Daily Average Turbidity</t>
  </si>
  <si>
    <t>Diatoms Index</t>
  </si>
  <si>
    <t>Fish Species Richness</t>
  </si>
  <si>
    <t>Anadromous</t>
  </si>
  <si>
    <t>Non-anadromous</t>
  </si>
  <si>
    <t>Flow Type:</t>
  </si>
  <si>
    <t>4+</t>
  </si>
  <si>
    <t>Yukon Flats</t>
  </si>
  <si>
    <t>Reference Vegetation Cover Type</t>
  </si>
  <si>
    <t>Forested</t>
  </si>
  <si>
    <t>Scrub-shrub</t>
  </si>
  <si>
    <t>Tundra</t>
  </si>
  <si>
    <t>Fish Assemblage</t>
  </si>
  <si>
    <t>Fish Assemblage:</t>
  </si>
  <si>
    <t>Impervious Cover (%)</t>
  </si>
  <si>
    <t>Anthropogenic Land Cover (%)</t>
  </si>
  <si>
    <t>Hydrology</t>
  </si>
  <si>
    <t>Catchment Hydrology</t>
  </si>
  <si>
    <t>Concentrated Flow Points (#/1,000ft)</t>
  </si>
  <si>
    <t>Hydraulics</t>
  </si>
  <si>
    <t>Bank Height Ratio (ft/ft)</t>
  </si>
  <si>
    <t>Entrenchment Ratio (ft/ft)</t>
  </si>
  <si>
    <t>Flow Dynamics</t>
  </si>
  <si>
    <t>Width/Depth Ratio (% of Expected)</t>
  </si>
  <si>
    <t>Large Woody Debris (LWD)</t>
  </si>
  <si>
    <t>LWD Frequency (#/100m)</t>
  </si>
  <si>
    <t>Percent Streambank Armoring (%)</t>
  </si>
  <si>
    <t>Bed Material Characterization</t>
  </si>
  <si>
    <t>Percent Fines &lt; 2mm (%)</t>
  </si>
  <si>
    <t>Pool Spacing Ratio (ft/ft)</t>
  </si>
  <si>
    <t>Pool Depth Ratio (ft/ft)</t>
  </si>
  <si>
    <t>Riparian Extent (% of Expected)</t>
  </si>
  <si>
    <t>Native Cover (%)</t>
  </si>
  <si>
    <t>Turbidity</t>
  </si>
  <si>
    <t>Diatoms</t>
  </si>
  <si>
    <t>Fish Species Richness (% of Expected)</t>
  </si>
  <si>
    <t>Species Biomass (O/E)</t>
  </si>
  <si>
    <t>Scoring</t>
  </si>
  <si>
    <t>Entrenchment Ratio (ER) E Stream Types</t>
  </si>
  <si>
    <t>Entrenchment Ratio (ER) B Stream Types</t>
  </si>
  <si>
    <t>Entrenchment Ratio (ER) C Stream Types</t>
  </si>
  <si>
    <t>Stream Mechanics through a contract with Salcha-Delta Soil and Water Conservation District.</t>
  </si>
  <si>
    <t>PROJECT INFORMATION</t>
  </si>
  <si>
    <r>
      <t>PCS</t>
    </r>
    <r>
      <rPr>
        <b/>
        <vertAlign val="superscript"/>
        <sz val="11"/>
        <color theme="1"/>
        <rFont val="Calibri"/>
        <family val="2"/>
        <scheme val="minor"/>
      </rPr>
      <t>2</t>
    </r>
  </si>
  <si>
    <t>Project ID / Permit Number(s):</t>
  </si>
  <si>
    <t>Applicable Reach IDs:</t>
  </si>
  <si>
    <t>Notes</t>
  </si>
  <si>
    <t>Watershed Name (HUC 8) and Number:</t>
  </si>
  <si>
    <t>1. Users input values or text</t>
  </si>
  <si>
    <t xml:space="preserve">Overall Watershed Condition       </t>
  </si>
  <si>
    <t>2. Users select values from a pull-down menu</t>
  </si>
  <si>
    <t>Data Source</t>
  </si>
  <si>
    <t>Description of Catchment Condition</t>
  </si>
  <si>
    <t>Rating (P/F/G)</t>
  </si>
  <si>
    <t>Poor (P)</t>
  </si>
  <si>
    <t>Fair (F)</t>
  </si>
  <si>
    <t>Good (G)</t>
  </si>
  <si>
    <t>Riparian Buffer Vegetation</t>
  </si>
  <si>
    <t>Imagery</t>
  </si>
  <si>
    <t>Sediment Supply</t>
  </si>
  <si>
    <t>Imagery &amp; 
Site data</t>
  </si>
  <si>
    <t>Substantially altered sediment supply from upstream bank erosion and surface runoff. Sources of excess sediment (e.g. placer tailings, gravel stockpiles) within 1 mile of the project reach.</t>
  </si>
  <si>
    <t>Moderately altered sediment supply from upstream bank erosion and surface runoff. Sources of excess sediment (e.g. placer tailings, gravel stockpiles) are present in catchment but not within 1 mile of the project reach.</t>
  </si>
  <si>
    <t xml:space="preserve">Low anthropogenic-caused alteration to sediment supply (increase or decrease). </t>
  </si>
  <si>
    <t>Alaska Impaired Water Body Status (303(d) listed stream)</t>
  </si>
  <si>
    <t>ADEC database</t>
  </si>
  <si>
    <t>Category 5 due to nonsupport of aquatic life uses OR Category 4 and aquatic life impairment not actively being mitigated.</t>
  </si>
  <si>
    <t>Category 4 due to nonsupport of aquatic life uses and aquatic life impairment actively being mitigated.</t>
  </si>
  <si>
    <t>Contaminants</t>
  </si>
  <si>
    <t>In-situ sampling or ADEC database</t>
  </si>
  <si>
    <t>Regulated Discharges (APDES permits)</t>
  </si>
  <si>
    <t xml:space="preserve">Two or more in catchment and at least 1 within 1 mile of project reach. </t>
  </si>
  <si>
    <t xml:space="preserve">Less than two in catchment but none within 1 mile of project reach. </t>
  </si>
  <si>
    <t xml:space="preserve">None in catchment or within 1 mile of project reach. </t>
  </si>
  <si>
    <t>Organism Recruitment</t>
  </si>
  <si>
    <t xml:space="preserve">Within 1 mile of project reach, the channel is concrete, piped, or hardened. </t>
  </si>
  <si>
    <t>Within 1 mile of the project reach, the channel has native bed and bank material that is highly embedded by fine sediment.</t>
  </si>
  <si>
    <t>Within 1 mile of the project reach, the channel has native bed and bank material.</t>
  </si>
  <si>
    <t>Barriers/Fish Passage</t>
  </si>
  <si>
    <t>ADF&amp;G Web Mapper &amp; Imagery</t>
  </si>
  <si>
    <t>Anthropogenic barriers exist that entirely blocks anadromous fish access to the project reach and/or interferes with the necessary life history movements of resident fish that use the project reach.</t>
  </si>
  <si>
    <t>No anthropogenic barriers upstream or downstream of the reach.</t>
  </si>
  <si>
    <t>Flow Alteration</t>
  </si>
  <si>
    <t>ADNR, ADF&amp;G flow regulation &amp; water rights data</t>
  </si>
  <si>
    <t xml:space="preserve">Moderate (10-20%) change in the flow volume from natural flow conditions. </t>
  </si>
  <si>
    <t>Minimal (less than 10%) change in flow volume from natural flow conditions.</t>
  </si>
  <si>
    <t>Roads and Trail Networks</t>
  </si>
  <si>
    <t>Imagery &amp; Spatial data</t>
  </si>
  <si>
    <t xml:space="preserve">Roads/trails are located in close proximity to the stream and within the floodplain. As a result, roads/trails directly alter runoff processes; sediment loading, transport, and deposition; channel morphology and stability; water quality; and riparian conditions within the catchment. </t>
  </si>
  <si>
    <t>Roads/trails exist in the catchment but are largely outside of the floodplain and have minimal effect on natural sediment and hydrologic regimes.</t>
  </si>
  <si>
    <t xml:space="preserve">No roads or trails exist in the catchment. </t>
  </si>
  <si>
    <t>Urbanization</t>
  </si>
  <si>
    <t>Imagery &amp; NLCD</t>
  </si>
  <si>
    <t>Urban or rapidly urbanizing with ongoing or imminent large-scale development.</t>
  </si>
  <si>
    <t>Low density or rural communities or slow urban or suburban growth.</t>
  </si>
  <si>
    <t>Predominantly natural land cover; or rural.</t>
  </si>
  <si>
    <t>Resource Development: Oil, Gas, Wind, Pipeline, Mining, Timber Harvest, Roads</t>
  </si>
  <si>
    <t>USACE and other Permits</t>
  </si>
  <si>
    <t xml:space="preserve">High development in contributing catchment or some within 1 mile of project reach, or &gt;1 mile but available information indicates high potential for impacts to project reach. </t>
  </si>
  <si>
    <t xml:space="preserve">Moderate development or moderate potential for impacts and none within 1 mile of project reach. </t>
  </si>
  <si>
    <t>No development or no potential for impacts.</t>
  </si>
  <si>
    <t>Aufeis</t>
  </si>
  <si>
    <t>Site data</t>
  </si>
  <si>
    <t>Aufeis formation caused by land disturbance is minor or nonexistent within, extends into the reach from downstream, or is found upstream of the project reach.</t>
  </si>
  <si>
    <t>Permafrost Degradation</t>
  </si>
  <si>
    <t>Imagery, Permafrost mapping, &amp; Site data</t>
  </si>
  <si>
    <t>Areas of permafrost degradation exist within or upstream of the project reach contributing to hillslope slumping or increased erosion but are not resulting in impacts to water quality.</t>
  </si>
  <si>
    <t>No areas of permafrost degradation in the catchment area have been observed.</t>
  </si>
  <si>
    <t>Other</t>
  </si>
  <si>
    <t>Metric</t>
  </si>
  <si>
    <t>Watershed Condition</t>
  </si>
  <si>
    <t xml:space="preserve">Reach ID </t>
  </si>
  <si>
    <t>Poor</t>
  </si>
  <si>
    <t>Fair</t>
  </si>
  <si>
    <t>Good</t>
  </si>
  <si>
    <t>Relative Abundance (O/E)</t>
  </si>
  <si>
    <t>Relative Abundance and Species Biomass metrics</t>
  </si>
  <si>
    <r>
      <rPr>
        <b/>
        <sz val="11"/>
        <color theme="1"/>
        <rFont val="Calibri"/>
        <family val="2"/>
        <scheme val="minor"/>
      </rPr>
      <t xml:space="preserve">*NOTE: </t>
    </r>
    <r>
      <rPr>
        <sz val="11"/>
        <color theme="1"/>
        <rFont val="Calibri"/>
        <family val="2"/>
        <scheme val="minor"/>
      </rPr>
      <t>This table populates from the Existing Conditions and Proposed Conditions worksheets.</t>
    </r>
  </si>
  <si>
    <t>ECS and PCS Summary Table*
For Debit Options 1 &amp; 2</t>
  </si>
  <si>
    <r>
      <t>Assess existing condition using Existing Conditions worksheet.</t>
    </r>
    <r>
      <rPr>
        <vertAlign val="superscript"/>
        <sz val="11"/>
        <color theme="1"/>
        <rFont val="Calibri"/>
        <family val="2"/>
        <scheme val="minor"/>
      </rPr>
      <t>1</t>
    </r>
  </si>
  <si>
    <t>Estimate proposed condition based on impact severity tier.</t>
  </si>
  <si>
    <t>Estimate proposed condition using Proposed Conditions worksheet.</t>
  </si>
  <si>
    <r>
      <t xml:space="preserve">Impact Factors
</t>
    </r>
    <r>
      <rPr>
        <sz val="11"/>
        <color theme="1"/>
        <rFont val="Calibri"/>
        <family val="2"/>
        <scheme val="minor"/>
      </rPr>
      <t>Used to determine the PCS for Debit Options 2 &amp; 3</t>
    </r>
  </si>
  <si>
    <r>
      <t xml:space="preserve">Description 
</t>
    </r>
    <r>
      <rPr>
        <sz val="11"/>
        <rFont val="Calibri"/>
        <family val="2"/>
        <scheme val="minor"/>
      </rPr>
      <t>Impacts to function-based parameters</t>
    </r>
  </si>
  <si>
    <t>Flow Type 
and 
Stream Order</t>
  </si>
  <si>
    <t>Minor impacts, primarily to riparian vegetation and/or lateral migration.</t>
  </si>
  <si>
    <r>
      <t xml:space="preserve">Minor impact to floodplain connectivity </t>
    </r>
    <r>
      <rPr>
        <b/>
        <sz val="11"/>
        <color theme="1"/>
        <rFont val="Calibri"/>
        <family val="2"/>
        <scheme val="minor"/>
      </rPr>
      <t>OR</t>
    </r>
    <r>
      <rPr>
        <sz val="11"/>
        <color theme="1"/>
        <rFont val="Calibri"/>
        <family val="2"/>
        <scheme val="minor"/>
      </rPr>
      <t xml:space="preserve"> minor to moderate impacts to bed form diversity and flow dynamics. Typically accompanied by moderate to severe impacts to riparian vegetation and lateral migration. Minor impacts to some physicochemical and biology functions possible.</t>
    </r>
  </si>
  <si>
    <t>Moderate impacts to floodplain connectivity. Typically accompanied by moderate to severe impacts to riparian vegetation, lateral migration, bed form diversity, and flow dynamics. Minor to moderate impacts to some physicochemical and biology functions.</t>
  </si>
  <si>
    <t>Loss of all aquatic functions.</t>
  </si>
  <si>
    <t>Moderate to severe impacts to most hydraulic and geomorphic functions. Moderate to severe impacts to physicochemical and biology functions.</t>
  </si>
  <si>
    <t xml:space="preserve">Natural plant community occupies less than 1/3 of the valley bottom or gaps in riparian corridor exceed 30% of the contributing stream length. </t>
  </si>
  <si>
    <t xml:space="preserve">Natural plant community occupies at least 1/3 of the valley bottom and gaps in riparian corridor do not exceed 30% of the contributing stream length. </t>
  </si>
  <si>
    <t>Natural plant community occupies more than 2/3 of the valley bottom and riparian corridor is contiguous for at least 90% of the contributing stream length.</t>
  </si>
  <si>
    <t>Daily Maximum Temperature (O/E)</t>
  </si>
  <si>
    <t>Daily Average Turbidity (O/E)</t>
  </si>
  <si>
    <t>Restoration Potential</t>
  </si>
  <si>
    <t>No streams within the catchment are on the 303(d) list.</t>
  </si>
  <si>
    <t>Water testing from within the project reach has identified contaminant(s) in concentrations that may limit aquatic life uses, or Testing was not conducted but 1 source of contamination within the catchment was identified.</t>
  </si>
  <si>
    <t xml:space="preserve">No sources of contamination within the catchment were identified and water testing was not conducted, or Water testing from within the project reach  identified no contaminant(s) in concentrations that negatively affect aquatic life uses. </t>
  </si>
  <si>
    <t>Anthropogenic barriers exist but do not block anadromous fish access at all times, and do not interfere with the necessary life history movements of resident fish that use the project reach, e.g., spawning, rearing, and overwintering habitats all occur within the isolated reach.</t>
  </si>
  <si>
    <t>Substantial (more than 20%) change in the flow volume from natural flow conditions.</t>
  </si>
  <si>
    <t>Aufeis formation caused by land disturbance is extensive within, extends into the reach from downstream, or is found within 1 kilometer (0.62 miles) upstream of the project reach.</t>
  </si>
  <si>
    <t>Aufeis formation caused by land disturbance is moderate within, extends into the reach from downstream, or is found within 1 kilometer (0.62 miles) upstream of the project reach.</t>
  </si>
  <si>
    <t>Areas of permafrost degradation exist within or upstream of the project reach, contributing to hillslope slumping, increased erosion, and/or water quality impacts.</t>
  </si>
  <si>
    <t>Project Name:</t>
  </si>
  <si>
    <r>
      <rPr>
        <vertAlign val="superscript"/>
        <sz val="10"/>
        <color theme="1"/>
        <rFont val="Calibri"/>
        <family val="2"/>
        <scheme val="minor"/>
      </rPr>
      <t>1</t>
    </r>
    <r>
      <rPr>
        <sz val="10"/>
        <color theme="1"/>
        <rFont val="Calibri"/>
        <family val="2"/>
        <scheme val="minor"/>
      </rPr>
      <t xml:space="preserve"> If physiochemical and biology parameters are not evaluated, a 1.00 score is assigned to these functional categories.
</t>
    </r>
    <r>
      <rPr>
        <vertAlign val="superscript"/>
        <sz val="10"/>
        <color theme="1"/>
        <rFont val="Calibri"/>
        <family val="2"/>
        <scheme val="minor"/>
      </rPr>
      <t>2</t>
    </r>
    <r>
      <rPr>
        <sz val="10"/>
        <color theme="1"/>
        <rFont val="Calibri"/>
        <family val="2"/>
        <scheme val="minor"/>
      </rPr>
      <t xml:space="preserve"> For complete stream removals/fill or complete piping PCS score is 0.00.</t>
    </r>
  </si>
  <si>
    <t>Use this worksheet to calculate functional loss using Debit Options 1 and 2.</t>
  </si>
  <si>
    <t>Use this worksheet to calculate functional loss using Debit Option 1.</t>
  </si>
  <si>
    <t>Diatom Index</t>
  </si>
  <si>
    <r>
      <rPr>
        <b/>
        <sz val="10"/>
        <rFont val="Arial"/>
        <family val="2"/>
      </rPr>
      <t xml:space="preserve">Notes: </t>
    </r>
    <r>
      <rPr>
        <sz val="10"/>
        <rFont val="Arial"/>
        <family val="2"/>
      </rPr>
      <t xml:space="preserve">  ADEC = Alaska Department of Environmental Conservation          ADF&amp;G = Alaska Department of Game and Fish               NLCD = National Land Cover Database</t>
    </r>
  </si>
  <si>
    <t xml:space="preserve">      APDES = Alaska Pollutant Discharge Elimination                            ADNR =  Alaska Department of Natural Resources          USACE = US Army Corps of Engineers</t>
  </si>
  <si>
    <t>No permanent impact on any of the key function-based parameters:  flow dynamics, floodplain connectivity, lateral migration, bed form diversity, and riparian vegetation.</t>
  </si>
  <si>
    <t>Proposed Stream Slope (%):</t>
  </si>
  <si>
    <t>Proposed Bed Material:</t>
  </si>
  <si>
    <t>AKSQTint Debit Calculator</t>
  </si>
  <si>
    <t>The Stream Quantification Tool Credits:</t>
  </si>
  <si>
    <t xml:space="preserve">Use standard score. ECS = </t>
  </si>
  <si>
    <t>Purpose: This form is used to provide an overall condition determination (good, fair, or poor) of the catchment which gives context for the hydrologic, physicochemical and biological existing conditions. The catchment assessment is performed on the catchment and contributing area for the project reach. Note the contributing area may be downstream as well, as in the case where a dam exists downstream which restricts movement/recovery of aquatic communities.</t>
  </si>
  <si>
    <t xml:space="preserve">Water testing from within the project reach has identified contaminant(s) in concentrations that would limit aquatic life uses, or Testing was not conducted but 2 or more sources of contamination within the catchment were identified, or Testing was not conducted but evidence indicates a contaminant source is toxic to aquatic life. </t>
  </si>
  <si>
    <t>Alaskan Interior MMI</t>
  </si>
  <si>
    <t>Debit Calculator v1.0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</si>
</sst>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00"/>
    <numFmt numFmtId="166" formatCode="0.000000"/>
    <numFmt numFmtId="167" formatCode="m/d/yy;@"/>
    <numFmt numFmtId="168" formatCode="0.0000"/>
    <numFmt numFmtId="169" formatCode="0.000"/>
  </numFmts>
  <fonts count="29" x14ac:knownFonts="1">
    <font>
      <sz val="11"/>
      <color theme="1"/>
      <name val="Calibri"/>
      <family val="2"/>
      <scheme val="minor"/>
    </font>
    <font>
      <b/>
      <sz val="11"/>
      <color theme="1"/>
      <name val="Calibri"/>
      <family val="2"/>
      <scheme val="minor"/>
    </font>
    <font>
      <sz val="10"/>
      <name val="Arial"/>
      <family val="2"/>
    </font>
    <font>
      <b/>
      <sz val="16"/>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sz val="12"/>
      <color rgb="FF000000"/>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b/>
      <sz val="11"/>
      <name val="Calibri"/>
      <family val="2"/>
      <scheme val="minor"/>
    </font>
    <font>
      <sz val="11"/>
      <color rgb="FF000000"/>
      <name val="Calibri"/>
      <family val="2"/>
      <scheme val="minor"/>
    </font>
    <font>
      <sz val="10.5"/>
      <name val="Calibri"/>
      <family val="2"/>
      <scheme val="minor"/>
    </font>
    <font>
      <vertAlign val="superscript"/>
      <sz val="11"/>
      <color theme="1"/>
      <name val="Calibri"/>
      <family val="2"/>
      <scheme val="minor"/>
    </font>
    <font>
      <b/>
      <vertAlign val="superscript"/>
      <sz val="11"/>
      <color theme="1"/>
      <name val="Calibri"/>
      <family val="2"/>
      <scheme val="minor"/>
    </font>
    <font>
      <sz val="8"/>
      <name val="Calibri"/>
      <family val="2"/>
      <scheme val="minor"/>
    </font>
    <font>
      <b/>
      <sz val="11"/>
      <color theme="1"/>
      <name val="Calibri"/>
      <family val="2"/>
    </font>
    <font>
      <b/>
      <sz val="11"/>
      <color theme="1"/>
      <name val="Grotesque"/>
      <family val="2"/>
    </font>
    <font>
      <sz val="10.5"/>
      <color rgb="FF000000"/>
      <name val="Calibri"/>
      <family val="2"/>
      <scheme val="minor"/>
    </font>
    <font>
      <b/>
      <sz val="11"/>
      <color rgb="FFFF0000"/>
      <name val="Calibri"/>
      <family val="2"/>
      <scheme val="minor"/>
    </font>
    <font>
      <b/>
      <sz val="12"/>
      <name val="Arial"/>
      <family val="2"/>
    </font>
    <font>
      <sz val="11"/>
      <name val="Arial"/>
      <family val="2"/>
    </font>
    <font>
      <b/>
      <sz val="14"/>
      <name val="Arial"/>
      <family val="2"/>
    </font>
    <font>
      <sz val="10"/>
      <color rgb="FF212121"/>
      <name val="Arial"/>
      <family val="2"/>
    </font>
    <font>
      <sz val="10"/>
      <color theme="1"/>
      <name val="Calibri"/>
      <family val="2"/>
      <scheme val="minor"/>
    </font>
    <font>
      <vertAlign val="superscript"/>
      <sz val="10"/>
      <color theme="1"/>
      <name val="Calibri"/>
      <family val="2"/>
      <scheme val="minor"/>
    </font>
    <font>
      <b/>
      <sz val="10"/>
      <name val="Arial"/>
      <family val="2"/>
    </font>
  </fonts>
  <fills count="12">
    <fill>
      <patternFill patternType="none"/>
    </fill>
    <fill>
      <patternFill patternType="gray125"/>
    </fill>
    <fill>
      <patternFill patternType="solid">
        <fgColor theme="0" tint="-0.249977111117893"/>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4" tint="0.59999389629810485"/>
        <bgColor indexed="65"/>
      </patternFill>
    </fill>
    <fill>
      <patternFill patternType="solid">
        <fgColor theme="3"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medium">
        <color indexed="64"/>
      </bottom>
      <diagonal/>
    </border>
  </borders>
  <cellStyleXfs count="4">
    <xf numFmtId="0" fontId="0" fillId="0" borderId="0"/>
    <xf numFmtId="0" fontId="2" fillId="0" borderId="0"/>
    <xf numFmtId="0" fontId="8" fillId="6" borderId="0" applyNumberFormat="0" applyBorder="0" applyAlignment="0" applyProtection="0"/>
    <xf numFmtId="9" fontId="8" fillId="0" borderId="0" applyFont="0" applyFill="0" applyBorder="0" applyAlignment="0" applyProtection="0"/>
  </cellStyleXfs>
  <cellXfs count="512">
    <xf numFmtId="0" fontId="0" fillId="0" borderId="0" xfId="0"/>
    <xf numFmtId="0" fontId="0" fillId="0" borderId="0" xfId="0" applyFill="1" applyBorder="1"/>
    <xf numFmtId="0" fontId="0" fillId="0" borderId="0" xfId="0" applyFill="1" applyBorder="1" applyAlignment="1">
      <alignment vertical="center" wrapText="1"/>
    </xf>
    <xf numFmtId="0" fontId="0" fillId="0" borderId="0" xfId="0" applyFill="1"/>
    <xf numFmtId="0" fontId="0" fillId="0" borderId="0" xfId="0"/>
    <xf numFmtId="0" fontId="1" fillId="0" borderId="0" xfId="0" applyFont="1"/>
    <xf numFmtId="0" fontId="0" fillId="0" borderId="0" xfId="0" applyFill="1" applyBorder="1" applyAlignment="1">
      <alignment vertical="center"/>
    </xf>
    <xf numFmtId="0" fontId="0" fillId="0" borderId="0" xfId="0" applyBorder="1" applyAlignment="1">
      <alignment horizontal="center"/>
    </xf>
    <xf numFmtId="2" fontId="0" fillId="0" borderId="0" xfId="0" applyNumberFormat="1"/>
    <xf numFmtId="0" fontId="0" fillId="0" borderId="0" xfId="0" applyBorder="1"/>
    <xf numFmtId="0" fontId="1" fillId="0" borderId="0" xfId="0" applyFont="1" applyBorder="1" applyAlignment="1"/>
    <xf numFmtId="0" fontId="0" fillId="0" borderId="0" xfId="0" applyBorder="1" applyAlignment="1">
      <alignment vertical="center" wrapText="1"/>
    </xf>
    <xf numFmtId="0" fontId="5" fillId="0" borderId="1" xfId="0" applyFont="1" applyBorder="1" applyAlignment="1">
      <alignment horizontal="center"/>
    </xf>
    <xf numFmtId="0" fontId="4" fillId="3" borderId="0" xfId="0" applyFont="1" applyFill="1" applyBorder="1"/>
    <xf numFmtId="0" fontId="4" fillId="4" borderId="8" xfId="0" applyFont="1" applyFill="1" applyBorder="1"/>
    <xf numFmtId="0" fontId="4" fillId="2" borderId="15" xfId="0" applyFont="1" applyFill="1" applyBorder="1" applyAlignment="1" applyProtection="1">
      <alignment horizontal="center"/>
      <protection locked="0"/>
    </xf>
    <xf numFmtId="0" fontId="4" fillId="4" borderId="9" xfId="0" applyFont="1" applyFill="1" applyBorder="1"/>
    <xf numFmtId="0" fontId="4" fillId="4" borderId="12" xfId="0" applyFont="1" applyFill="1" applyBorder="1"/>
    <xf numFmtId="0" fontId="4" fillId="4" borderId="15" xfId="0" applyFont="1" applyFill="1" applyBorder="1"/>
    <xf numFmtId="0" fontId="0" fillId="0" borderId="0" xfId="0" applyAlignment="1"/>
    <xf numFmtId="0" fontId="0" fillId="0" borderId="0" xfId="0" applyAlignment="1">
      <alignment horizontal="left"/>
    </xf>
    <xf numFmtId="0" fontId="0" fillId="0" borderId="0" xfId="0" applyFill="1" applyBorder="1" applyAlignment="1"/>
    <xf numFmtId="0" fontId="0" fillId="0" borderId="0" xfId="0" applyBorder="1" applyAlignment="1">
      <alignment vertical="center"/>
    </xf>
    <xf numFmtId="0" fontId="1" fillId="0" borderId="0" xfId="0" applyFont="1" applyFill="1"/>
    <xf numFmtId="0" fontId="3" fillId="0" borderId="0" xfId="0" applyFont="1" applyBorder="1" applyAlignment="1"/>
    <xf numFmtId="0" fontId="0" fillId="0" borderId="0" xfId="0" applyBorder="1" applyAlignment="1"/>
    <xf numFmtId="0" fontId="4" fillId="5" borderId="15" xfId="0" applyFont="1" applyFill="1" applyBorder="1"/>
    <xf numFmtId="0" fontId="0" fillId="0" borderId="0" xfId="0" applyFill="1" applyAlignment="1"/>
    <xf numFmtId="0" fontId="4" fillId="2" borderId="2" xfId="0" applyFont="1" applyFill="1" applyBorder="1" applyAlignment="1" applyProtection="1">
      <alignment horizontal="center"/>
      <protection locked="0"/>
    </xf>
    <xf numFmtId="0" fontId="5" fillId="0" borderId="6" xfId="0" applyFont="1" applyBorder="1" applyAlignment="1">
      <alignment horizontal="center"/>
    </xf>
    <xf numFmtId="0" fontId="5" fillId="0" borderId="1" xfId="0" applyFont="1" applyBorder="1" applyAlignment="1">
      <alignment horizontal="center"/>
    </xf>
    <xf numFmtId="165" fontId="0" fillId="0" borderId="0" xfId="0" applyNumberFormat="1"/>
    <xf numFmtId="0" fontId="4" fillId="2" borderId="14"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2" borderId="9"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4" fillId="2" borderId="12" xfId="0" applyFont="1" applyFill="1" applyBorder="1" applyAlignment="1" applyProtection="1">
      <alignment horizontal="center"/>
      <protection locked="0"/>
    </xf>
    <xf numFmtId="1" fontId="4" fillId="0" borderId="0" xfId="0" applyNumberFormat="1" applyFont="1" applyBorder="1" applyAlignment="1">
      <alignment horizontal="center"/>
    </xf>
    <xf numFmtId="0" fontId="0" fillId="0" borderId="10" xfId="0" applyBorder="1"/>
    <xf numFmtId="0" fontId="0" fillId="0" borderId="0" xfId="0" applyBorder="1" applyAlignment="1">
      <alignment horizontal="left"/>
    </xf>
    <xf numFmtId="0" fontId="0" fillId="0" borderId="0" xfId="0" applyAlignment="1">
      <alignment horizontal="left" vertical="center"/>
    </xf>
    <xf numFmtId="0" fontId="4" fillId="4" borderId="7" xfId="0" applyFont="1" applyFill="1" applyBorder="1"/>
    <xf numFmtId="0" fontId="0" fillId="0" borderId="0" xfId="2" applyFont="1" applyFill="1" applyBorder="1" applyAlignment="1">
      <alignment horizontal="center" vertical="center"/>
    </xf>
    <xf numFmtId="0" fontId="0" fillId="0" borderId="0" xfId="0" applyFill="1" applyAlignment="1">
      <alignment horizontal="center"/>
    </xf>
    <xf numFmtId="0" fontId="0" fillId="0" borderId="0" xfId="0" applyFill="1" applyBorder="1" applyAlignment="1" applyProtection="1">
      <alignment horizontal="left"/>
      <protection locked="0"/>
    </xf>
    <xf numFmtId="0" fontId="0" fillId="0" borderId="0" xfId="0"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0" fontId="0" fillId="0" borderId="0" xfId="0" applyAlignment="1">
      <alignment wrapText="1"/>
    </xf>
    <xf numFmtId="0" fontId="4" fillId="0" borderId="0" xfId="0" applyFont="1" applyBorder="1" applyAlignment="1">
      <alignment wrapText="1"/>
    </xf>
    <xf numFmtId="0" fontId="5" fillId="0" borderId="1" xfId="0" applyFont="1" applyBorder="1" applyAlignment="1">
      <alignment horizontal="center" wrapText="1"/>
    </xf>
    <xf numFmtId="0" fontId="4" fillId="0" borderId="0" xfId="0" applyFont="1" applyBorder="1" applyAlignment="1"/>
    <xf numFmtId="0" fontId="11" fillId="0" borderId="0" xfId="0" applyFont="1" applyFill="1" applyAlignment="1">
      <alignment horizontal="center"/>
    </xf>
    <xf numFmtId="0" fontId="11" fillId="0" borderId="0" xfId="0" applyFont="1"/>
    <xf numFmtId="0" fontId="0" fillId="0" borderId="0" xfId="0" applyBorder="1" applyAlignment="1">
      <alignment horizontal="center"/>
    </xf>
    <xf numFmtId="0" fontId="0" fillId="0" borderId="10" xfId="0" applyBorder="1" applyAlignment="1">
      <alignment horizontal="center"/>
    </xf>
    <xf numFmtId="0" fontId="0" fillId="0" borderId="0" xfId="0" applyAlignment="1">
      <alignment horizontal="center"/>
    </xf>
    <xf numFmtId="0" fontId="0" fillId="0" borderId="0" xfId="0" applyFont="1"/>
    <xf numFmtId="0" fontId="4" fillId="4" borderId="10" xfId="0" applyFont="1" applyFill="1" applyBorder="1"/>
    <xf numFmtId="0" fontId="8" fillId="0" borderId="0" xfId="0" applyFont="1"/>
    <xf numFmtId="168" fontId="8" fillId="0" borderId="0" xfId="0" applyNumberFormat="1" applyFont="1"/>
    <xf numFmtId="166" fontId="8" fillId="0" borderId="0" xfId="0" applyNumberFormat="1" applyFont="1"/>
    <xf numFmtId="2" fontId="8" fillId="0" borderId="0" xfId="0" applyNumberFormat="1" applyFont="1"/>
    <xf numFmtId="0" fontId="8" fillId="0" borderId="0" xfId="0" applyFont="1" applyBorder="1" applyAlignment="1">
      <alignment horizontal="center"/>
    </xf>
    <xf numFmtId="165" fontId="11" fillId="0" borderId="0" xfId="0" applyNumberFormat="1" applyFont="1"/>
    <xf numFmtId="165" fontId="14" fillId="0" borderId="0" xfId="0" applyNumberFormat="1" applyFont="1"/>
    <xf numFmtId="0" fontId="4" fillId="2" borderId="0" xfId="0" applyFont="1" applyFill="1" applyAlignment="1" applyProtection="1">
      <alignment horizontal="center"/>
      <protection locked="0"/>
    </xf>
    <xf numFmtId="0" fontId="1" fillId="0" borderId="3" xfId="0" applyFont="1" applyBorder="1" applyAlignment="1" applyProtection="1">
      <alignment horizontal="center" vertical="center" wrapText="1"/>
    </xf>
    <xf numFmtId="0" fontId="9" fillId="0" borderId="32" xfId="0" applyFont="1" applyBorder="1" applyAlignment="1">
      <alignment horizontal="center"/>
    </xf>
    <xf numFmtId="0" fontId="0" fillId="0" borderId="0" xfId="0" applyFont="1" applyBorder="1" applyAlignment="1"/>
    <xf numFmtId="0" fontId="0" fillId="0" borderId="0" xfId="0" applyFont="1" applyBorder="1"/>
    <xf numFmtId="0" fontId="0" fillId="0" borderId="0" xfId="0" applyFont="1" applyBorder="1" applyAlignment="1">
      <alignment vertical="top" wrapText="1"/>
    </xf>
    <xf numFmtId="0" fontId="0" fillId="0" borderId="0" xfId="0" applyFont="1" applyAlignment="1">
      <alignment vertical="top" wrapText="1"/>
    </xf>
    <xf numFmtId="0" fontId="0" fillId="7" borderId="1" xfId="0" applyFont="1" applyFill="1" applyBorder="1" applyAlignment="1" applyProtection="1">
      <alignment horizontal="center"/>
      <protection locked="0"/>
    </xf>
    <xf numFmtId="0" fontId="0" fillId="0" borderId="0" xfId="0" applyFont="1" applyBorder="1" applyProtection="1"/>
    <xf numFmtId="0" fontId="0" fillId="0" borderId="0" xfId="0" applyFont="1" applyBorder="1" applyAlignment="1">
      <alignment vertical="center" wrapText="1"/>
    </xf>
    <xf numFmtId="0" fontId="0" fillId="0" borderId="0" xfId="0" applyFont="1" applyProtection="1">
      <protection locked="0"/>
    </xf>
    <xf numFmtId="0" fontId="0" fillId="0" borderId="0" xfId="0" applyFont="1" applyAlignment="1">
      <alignment wrapText="1"/>
    </xf>
    <xf numFmtId="14" fontId="0" fillId="0" borderId="0" xfId="0" applyNumberFormat="1"/>
    <xf numFmtId="0" fontId="0" fillId="0" borderId="0" xfId="0" applyAlignment="1">
      <alignment horizontal="center"/>
    </xf>
    <xf numFmtId="0" fontId="0" fillId="0" borderId="0" xfId="0" applyBorder="1" applyAlignment="1">
      <alignment horizontal="center"/>
    </xf>
    <xf numFmtId="0" fontId="8" fillId="0" borderId="0" xfId="0" applyFont="1" applyAlignment="1">
      <alignment horizontal="center"/>
    </xf>
    <xf numFmtId="0" fontId="0" fillId="0" borderId="0" xfId="0" applyFill="1" applyBorder="1" applyAlignment="1">
      <alignment horizontal="center"/>
    </xf>
    <xf numFmtId="0" fontId="0" fillId="0" borderId="10" xfId="0" applyFill="1" applyBorder="1" applyAlignment="1">
      <alignment horizontal="center"/>
    </xf>
    <xf numFmtId="0" fontId="8" fillId="0" borderId="10" xfId="0" applyFont="1" applyBorder="1" applyAlignment="1">
      <alignment horizontal="center"/>
    </xf>
    <xf numFmtId="0" fontId="0" fillId="0" borderId="0" xfId="0" quotePrefix="1" applyAlignment="1">
      <alignment horizontal="center" vertical="center"/>
    </xf>
    <xf numFmtId="0" fontId="0" fillId="0" borderId="0" xfId="0" applyFill="1" applyBorder="1" applyAlignment="1">
      <alignment horizontal="center" vertical="center"/>
    </xf>
    <xf numFmtId="0" fontId="0" fillId="0" borderId="10" xfId="2" applyFont="1" applyFill="1" applyBorder="1" applyAlignment="1">
      <alignment horizontal="center" vertical="center"/>
    </xf>
    <xf numFmtId="0" fontId="0" fillId="0" borderId="0" xfId="0" applyFill="1" applyBorder="1" applyAlignment="1">
      <alignment horizontal="center" vertical="center" wrapText="1"/>
    </xf>
    <xf numFmtId="0" fontId="0" fillId="0" borderId="10" xfId="0" applyFill="1" applyBorder="1" applyAlignment="1">
      <alignment horizontal="center" vertical="center" wrapText="1"/>
    </xf>
    <xf numFmtId="2" fontId="0" fillId="0" borderId="0" xfId="2" applyNumberFormat="1" applyFont="1" applyFill="1" applyBorder="1" applyAlignment="1">
      <alignment horizontal="center" vertical="center"/>
    </xf>
    <xf numFmtId="2" fontId="0" fillId="0" borderId="10" xfId="2" applyNumberFormat="1" applyFont="1" applyFill="1" applyBorder="1" applyAlignment="1">
      <alignment horizontal="center" vertical="center"/>
    </xf>
    <xf numFmtId="168" fontId="8" fillId="0" borderId="0" xfId="0" applyNumberFormat="1" applyFont="1" applyAlignment="1">
      <alignment horizontal="center"/>
    </xf>
    <xf numFmtId="168" fontId="8" fillId="0" borderId="0" xfId="0" applyNumberFormat="1" applyFont="1" applyBorder="1" applyAlignment="1">
      <alignment horizontal="center" vertical="center"/>
    </xf>
    <xf numFmtId="168" fontId="0" fillId="0" borderId="0" xfId="0" applyNumberFormat="1" applyBorder="1" applyAlignment="1">
      <alignment horizontal="center"/>
    </xf>
    <xf numFmtId="0" fontId="11" fillId="0" borderId="0" xfId="0" applyFont="1" applyFill="1" applyBorder="1" applyAlignment="1">
      <alignment horizontal="center"/>
    </xf>
    <xf numFmtId="0" fontId="4" fillId="3" borderId="8" xfId="0" applyFont="1" applyFill="1" applyBorder="1"/>
    <xf numFmtId="0" fontId="4" fillId="3" borderId="9" xfId="0" applyFont="1" applyFill="1" applyBorder="1"/>
    <xf numFmtId="0" fontId="4" fillId="3" borderId="12" xfId="0" applyFont="1" applyFill="1" applyBorder="1"/>
    <xf numFmtId="0" fontId="6" fillId="4" borderId="9" xfId="0" applyFont="1" applyFill="1" applyBorder="1"/>
    <xf numFmtId="0" fontId="6" fillId="4" borderId="12" xfId="0" applyFont="1" applyFill="1" applyBorder="1"/>
    <xf numFmtId="0" fontId="4" fillId="4" borderId="0" xfId="0" applyFont="1" applyFill="1"/>
    <xf numFmtId="0" fontId="4" fillId="5" borderId="12" xfId="0" applyFont="1" applyFill="1" applyBorder="1"/>
    <xf numFmtId="0" fontId="4" fillId="3" borderId="13" xfId="0" applyFont="1" applyFill="1" applyBorder="1"/>
    <xf numFmtId="0" fontId="4" fillId="5" borderId="11" xfId="0" applyFont="1" applyFill="1" applyBorder="1"/>
    <xf numFmtId="2" fontId="4" fillId="5" borderId="14" xfId="0" applyNumberFormat="1" applyFont="1" applyFill="1" applyBorder="1" applyAlignment="1">
      <alignment horizontal="center"/>
    </xf>
    <xf numFmtId="0" fontId="0" fillId="0" borderId="0" xfId="0" applyAlignment="1">
      <alignment horizontal="center"/>
    </xf>
    <xf numFmtId="0" fontId="0" fillId="0" borderId="0" xfId="0" applyFill="1" applyBorder="1" applyAlignment="1">
      <alignment horizontal="center"/>
    </xf>
    <xf numFmtId="0" fontId="8" fillId="0" borderId="0" xfId="0" applyFont="1" applyAlignment="1">
      <alignment horizontal="center"/>
    </xf>
    <xf numFmtId="0" fontId="0" fillId="0" borderId="0" xfId="0" applyBorder="1" applyAlignment="1">
      <alignment horizontal="center"/>
    </xf>
    <xf numFmtId="0" fontId="11" fillId="0" borderId="0" xfId="0" applyFont="1" applyAlignment="1">
      <alignment wrapText="1"/>
    </xf>
    <xf numFmtId="0" fontId="8" fillId="0" borderId="0" xfId="0" applyFont="1" applyAlignment="1">
      <alignment horizontal="left"/>
    </xf>
    <xf numFmtId="0" fontId="8" fillId="0" borderId="0" xfId="0" applyFont="1" applyAlignment="1">
      <alignment vertical="center"/>
    </xf>
    <xf numFmtId="0" fontId="8" fillId="0" borderId="0" xfId="0" applyFont="1" applyAlignment="1">
      <alignment wrapText="1"/>
    </xf>
    <xf numFmtId="0" fontId="8" fillId="0" borderId="0" xfId="0" applyFont="1" applyAlignment="1">
      <alignment horizontal="right"/>
    </xf>
    <xf numFmtId="0" fontId="8" fillId="0" borderId="0" xfId="0" applyFont="1" applyAlignment="1">
      <alignment horizontal="left" vertical="center" wrapText="1"/>
    </xf>
    <xf numFmtId="0" fontId="4" fillId="0" borderId="1" xfId="0" applyFont="1" applyBorder="1" applyAlignment="1">
      <alignment vertical="center"/>
    </xf>
    <xf numFmtId="0" fontId="4" fillId="2" borderId="1" xfId="0" applyFont="1" applyFill="1" applyBorder="1" applyAlignment="1" applyProtection="1">
      <alignment horizontal="center" vertical="center"/>
      <protection locked="0"/>
    </xf>
    <xf numFmtId="0" fontId="4" fillId="7" borderId="1" xfId="0" applyFont="1" applyFill="1" applyBorder="1" applyAlignment="1" applyProtection="1">
      <alignment horizontal="center" vertical="center"/>
      <protection locked="0"/>
    </xf>
    <xf numFmtId="0" fontId="0" fillId="0" borderId="0" xfId="0" applyAlignment="1">
      <alignment horizontal="center"/>
    </xf>
    <xf numFmtId="0" fontId="4" fillId="0" borderId="3" xfId="0" applyFont="1" applyBorder="1"/>
    <xf numFmtId="0" fontId="4" fillId="0" borderId="1" xfId="0" applyFont="1" applyBorder="1"/>
    <xf numFmtId="2" fontId="4" fillId="3" borderId="7" xfId="0" applyNumberFormat="1" applyFont="1" applyFill="1" applyBorder="1" applyAlignment="1">
      <alignment horizontal="center"/>
    </xf>
    <xf numFmtId="2" fontId="4" fillId="3" borderId="13" xfId="0" applyNumberFormat="1" applyFont="1" applyFill="1" applyBorder="1" applyAlignment="1">
      <alignment horizontal="center"/>
    </xf>
    <xf numFmtId="2" fontId="4" fillId="4" borderId="10" xfId="0" applyNumberFormat="1" applyFont="1" applyFill="1" applyBorder="1" applyAlignment="1">
      <alignment horizontal="center"/>
    </xf>
    <xf numFmtId="2" fontId="4" fillId="4" borderId="13" xfId="0" applyNumberFormat="1" applyFont="1" applyFill="1" applyBorder="1" applyAlignment="1">
      <alignment horizontal="center"/>
    </xf>
    <xf numFmtId="2" fontId="7" fillId="4" borderId="2" xfId="0" applyNumberFormat="1" applyFont="1" applyFill="1" applyBorder="1" applyAlignment="1">
      <alignment horizontal="center" vertical="center"/>
    </xf>
    <xf numFmtId="2" fontId="4" fillId="4" borderId="14" xfId="0" applyNumberFormat="1" applyFont="1" applyFill="1" applyBorder="1" applyAlignment="1">
      <alignment horizontal="center"/>
    </xf>
    <xf numFmtId="2" fontId="4" fillId="4" borderId="2" xfId="0" applyNumberFormat="1" applyFont="1" applyFill="1" applyBorder="1" applyAlignment="1">
      <alignment horizontal="center"/>
    </xf>
    <xf numFmtId="2" fontId="4" fillId="5" borderId="3" xfId="0" applyNumberFormat="1" applyFont="1" applyFill="1" applyBorder="1" applyAlignment="1">
      <alignment horizontal="center"/>
    </xf>
    <xf numFmtId="0" fontId="0" fillId="0" borderId="0" xfId="0" applyFont="1" applyFill="1" applyAlignment="1">
      <alignment vertical="center" wrapText="1"/>
    </xf>
    <xf numFmtId="0" fontId="4" fillId="0" borderId="1" xfId="0" applyFont="1" applyFill="1" applyBorder="1" applyAlignment="1" applyProtection="1">
      <alignment horizontal="center" vertical="center"/>
    </xf>
    <xf numFmtId="2" fontId="0" fillId="0" borderId="1" xfId="0" applyNumberFormat="1" applyFont="1" applyFill="1" applyBorder="1" applyAlignment="1" applyProtection="1">
      <alignment horizontal="center"/>
    </xf>
    <xf numFmtId="169" fontId="8" fillId="0" borderId="0" xfId="0" applyNumberFormat="1" applyFont="1"/>
    <xf numFmtId="0" fontId="1" fillId="0" borderId="38" xfId="0" applyFont="1" applyBorder="1" applyAlignment="1">
      <alignment horizontal="center" wrapText="1"/>
    </xf>
    <xf numFmtId="0" fontId="4" fillId="0" borderId="1" xfId="0" applyFont="1" applyBorder="1"/>
    <xf numFmtId="0" fontId="8" fillId="0" borderId="0" xfId="0" applyFont="1" applyFill="1"/>
    <xf numFmtId="168" fontId="8" fillId="0" borderId="0" xfId="0" applyNumberFormat="1" applyFont="1" applyFill="1" applyAlignment="1">
      <alignment horizontal="center" wrapText="1"/>
    </xf>
    <xf numFmtId="0" fontId="8" fillId="0" borderId="0" xfId="0" applyFont="1" applyFill="1" applyAlignment="1">
      <alignment wrapText="1"/>
    </xf>
    <xf numFmtId="0" fontId="4" fillId="2" borderId="1" xfId="0" applyNumberFormat="1" applyFont="1" applyFill="1" applyBorder="1" applyAlignment="1" applyProtection="1">
      <alignment horizontal="center" vertical="center"/>
      <protection locked="0"/>
    </xf>
    <xf numFmtId="165" fontId="11" fillId="0" borderId="0" xfId="0" applyNumberFormat="1" applyFont="1" applyFill="1"/>
    <xf numFmtId="0" fontId="0" fillId="2" borderId="29" xfId="0" applyFill="1" applyBorder="1" applyAlignment="1" applyProtection="1">
      <alignment horizontal="left" wrapText="1"/>
      <protection locked="0"/>
    </xf>
    <xf numFmtId="167" fontId="1" fillId="2" borderId="31" xfId="0" applyNumberFormat="1" applyFont="1" applyFill="1" applyBorder="1" applyAlignment="1" applyProtection="1">
      <alignment horizontal="center"/>
      <protection locked="0"/>
    </xf>
    <xf numFmtId="0" fontId="1" fillId="0" borderId="33" xfId="0" applyFont="1" applyBorder="1" applyAlignment="1">
      <alignment horizontal="center" wrapText="1"/>
    </xf>
    <xf numFmtId="0" fontId="0" fillId="2" borderId="27" xfId="0" applyFill="1" applyBorder="1" applyAlignment="1" applyProtection="1">
      <alignment horizontal="left"/>
      <protection locked="0"/>
    </xf>
    <xf numFmtId="0" fontId="0" fillId="2" borderId="19" xfId="0" applyFill="1" applyBorder="1" applyAlignment="1" applyProtection="1">
      <alignment horizontal="left"/>
      <protection locked="0"/>
    </xf>
    <xf numFmtId="0" fontId="0" fillId="2" borderId="21" xfId="0" applyFill="1" applyBorder="1" applyAlignment="1" applyProtection="1">
      <alignment horizontal="left"/>
      <protection locked="0"/>
    </xf>
    <xf numFmtId="0" fontId="1" fillId="0" borderId="40" xfId="0" applyFont="1" applyBorder="1" applyAlignment="1">
      <alignment horizontal="center" wrapText="1"/>
    </xf>
    <xf numFmtId="0" fontId="4" fillId="7" borderId="22" xfId="0" applyFont="1" applyFill="1" applyBorder="1" applyAlignment="1" applyProtection="1">
      <alignment horizontal="center" vertical="center"/>
      <protection locked="0"/>
    </xf>
    <xf numFmtId="0" fontId="1" fillId="0" borderId="12" xfId="0" applyFont="1" applyBorder="1" applyAlignment="1" applyProtection="1">
      <alignment horizontal="center" vertical="center" wrapText="1"/>
    </xf>
    <xf numFmtId="0" fontId="1" fillId="0" borderId="28" xfId="0" applyFont="1" applyFill="1" applyBorder="1" applyAlignment="1" applyProtection="1">
      <alignment horizontal="center" vertical="center" wrapText="1"/>
    </xf>
    <xf numFmtId="0" fontId="4" fillId="4" borderId="1" xfId="0" applyFont="1" applyFill="1" applyBorder="1" applyAlignment="1">
      <alignment horizontal="left" vertical="center"/>
    </xf>
    <xf numFmtId="2" fontId="4" fillId="4" borderId="2" xfId="0" applyNumberFormat="1" applyFont="1" applyFill="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0" fillId="0" borderId="10" xfId="0" applyBorder="1" applyAlignment="1">
      <alignment horizontal="center"/>
    </xf>
    <xf numFmtId="2" fontId="4" fillId="4" borderId="14" xfId="0" applyNumberFormat="1" applyFont="1" applyFill="1" applyBorder="1" applyAlignment="1">
      <alignment horizontal="center" vertical="center"/>
    </xf>
    <xf numFmtId="2" fontId="4" fillId="3" borderId="2" xfId="0" applyNumberFormat="1" applyFont="1" applyFill="1" applyBorder="1" applyAlignment="1">
      <alignment horizontal="center" vertical="center"/>
    </xf>
    <xf numFmtId="0" fontId="4" fillId="0" borderId="4" xfId="0" applyFont="1" applyFill="1" applyBorder="1" applyAlignment="1">
      <alignment vertical="center"/>
    </xf>
    <xf numFmtId="0" fontId="13" fillId="0" borderId="0" xfId="0" applyFont="1"/>
    <xf numFmtId="168" fontId="13" fillId="0" borderId="0" xfId="0" applyNumberFormat="1" applyFont="1"/>
    <xf numFmtId="0" fontId="1" fillId="0" borderId="0" xfId="0" applyFont="1" applyFill="1" applyBorder="1"/>
    <xf numFmtId="169" fontId="13" fillId="0" borderId="0" xfId="0" applyNumberFormat="1" applyFont="1"/>
    <xf numFmtId="0" fontId="0" fillId="0" borderId="10" xfId="0" applyBorder="1" applyAlignment="1"/>
    <xf numFmtId="0" fontId="0" fillId="0" borderId="10" xfId="0" quotePrefix="1" applyBorder="1" applyAlignment="1">
      <alignment horizontal="center" vertical="center"/>
    </xf>
    <xf numFmtId="0" fontId="0" fillId="0" borderId="10" xfId="0" applyFill="1" applyBorder="1" applyAlignment="1">
      <alignment horizontal="center" vertical="center"/>
    </xf>
    <xf numFmtId="0" fontId="8" fillId="0" borderId="0" xfId="0" applyFont="1" applyAlignment="1">
      <alignment vertical="center" wrapText="1"/>
    </xf>
    <xf numFmtId="0" fontId="11" fillId="0" borderId="0" xfId="0" quotePrefix="1" applyFont="1" applyAlignment="1">
      <alignment horizontal="center" wrapText="1"/>
    </xf>
    <xf numFmtId="165" fontId="8" fillId="0" borderId="0" xfId="0" applyNumberFormat="1" applyFont="1"/>
    <xf numFmtId="168" fontId="0" fillId="0" borderId="0" xfId="0" applyNumberFormat="1"/>
    <xf numFmtId="0" fontId="0" fillId="9" borderId="0" xfId="0" applyFill="1" applyAlignment="1">
      <alignment horizontal="center"/>
    </xf>
    <xf numFmtId="0" fontId="8" fillId="9" borderId="0" xfId="0" applyFont="1" applyFill="1"/>
    <xf numFmtId="0" fontId="0" fillId="9" borderId="0" xfId="0" quotePrefix="1" applyFill="1" applyAlignment="1">
      <alignment horizontal="center" vertical="center"/>
    </xf>
    <xf numFmtId="0" fontId="0" fillId="9" borderId="10" xfId="0" applyFill="1" applyBorder="1" applyAlignment="1">
      <alignment horizontal="center"/>
    </xf>
    <xf numFmtId="0" fontId="8" fillId="9" borderId="0" xfId="0" applyFont="1" applyFill="1" applyAlignment="1">
      <alignment horizontal="center"/>
    </xf>
    <xf numFmtId="0" fontId="1" fillId="9" borderId="0" xfId="0" applyFont="1" applyFill="1"/>
    <xf numFmtId="0" fontId="0" fillId="9" borderId="0" xfId="0" applyFill="1"/>
    <xf numFmtId="0" fontId="0" fillId="9" borderId="0" xfId="0" applyFill="1" applyBorder="1" applyAlignment="1">
      <alignment horizontal="center"/>
    </xf>
    <xf numFmtId="0" fontId="11" fillId="9" borderId="0" xfId="0" applyFont="1" applyFill="1" applyAlignment="1">
      <alignment horizontal="center"/>
    </xf>
    <xf numFmtId="168" fontId="0" fillId="9" borderId="0" xfId="0" applyNumberFormat="1" applyFill="1" applyBorder="1" applyAlignment="1">
      <alignment horizontal="center"/>
    </xf>
    <xf numFmtId="2" fontId="0" fillId="9" borderId="0" xfId="0" applyNumberFormat="1" applyFill="1" applyAlignment="1">
      <alignment horizontal="center"/>
    </xf>
    <xf numFmtId="168" fontId="8" fillId="9" borderId="0" xfId="0" applyNumberFormat="1" applyFont="1" applyFill="1"/>
    <xf numFmtId="168" fontId="8" fillId="0" borderId="0" xfId="0" applyNumberFormat="1" applyFont="1" applyAlignment="1">
      <alignment wrapText="1"/>
    </xf>
    <xf numFmtId="0" fontId="8" fillId="0" borderId="10" xfId="0" applyFont="1" applyBorder="1"/>
    <xf numFmtId="0" fontId="1" fillId="0" borderId="0" xfId="0" applyFont="1" applyBorder="1"/>
    <xf numFmtId="168" fontId="8" fillId="0" borderId="10" xfId="0" applyNumberFormat="1" applyFont="1" applyBorder="1" applyAlignment="1">
      <alignment horizontal="center" vertical="center"/>
    </xf>
    <xf numFmtId="16" fontId="11" fillId="0" borderId="10" xfId="0" quotePrefix="1" applyNumberFormat="1" applyFont="1" applyBorder="1" applyAlignment="1">
      <alignment horizontal="center"/>
    </xf>
    <xf numFmtId="0" fontId="11" fillId="0" borderId="10" xfId="0" quotePrefix="1" applyFont="1" applyBorder="1" applyAlignment="1">
      <alignment wrapText="1"/>
    </xf>
    <xf numFmtId="0" fontId="11" fillId="0" borderId="10" xfId="0" applyFont="1" applyBorder="1" applyAlignment="1">
      <alignment wrapText="1"/>
    </xf>
    <xf numFmtId="0" fontId="8" fillId="9" borderId="10" xfId="0" applyFont="1" applyFill="1" applyBorder="1"/>
    <xf numFmtId="0" fontId="8" fillId="0" borderId="10" xfId="0" applyFont="1" applyBorder="1" applyAlignment="1">
      <alignment vertical="center"/>
    </xf>
    <xf numFmtId="0" fontId="8" fillId="0" borderId="10" xfId="0" applyFont="1" applyBorder="1" applyAlignment="1">
      <alignment horizontal="right"/>
    </xf>
    <xf numFmtId="0" fontId="11" fillId="0" borderId="10" xfId="0" applyFont="1" applyFill="1" applyBorder="1" applyAlignment="1">
      <alignment horizontal="center"/>
    </xf>
    <xf numFmtId="168" fontId="0" fillId="9" borderId="10" xfId="0" applyNumberFormat="1" applyFill="1" applyBorder="1" applyAlignment="1">
      <alignment horizontal="center"/>
    </xf>
    <xf numFmtId="168" fontId="0" fillId="0" borderId="10" xfId="0" applyNumberFormat="1" applyBorder="1" applyAlignment="1">
      <alignment horizontal="center"/>
    </xf>
    <xf numFmtId="0" fontId="8" fillId="0" borderId="10" xfId="0" applyFont="1" applyBorder="1" applyAlignment="1">
      <alignment vertical="center" wrapText="1"/>
    </xf>
    <xf numFmtId="166" fontId="8" fillId="9" borderId="0" xfId="0" applyNumberFormat="1" applyFont="1" applyFill="1"/>
    <xf numFmtId="0" fontId="0" fillId="0" borderId="10" xfId="0" applyFill="1" applyBorder="1"/>
    <xf numFmtId="165" fontId="14" fillId="0" borderId="0" xfId="0" applyNumberFormat="1" applyFont="1" applyFill="1" applyBorder="1"/>
    <xf numFmtId="165" fontId="14" fillId="0" borderId="0" xfId="0" applyNumberFormat="1" applyFont="1" applyBorder="1"/>
    <xf numFmtId="165" fontId="20" fillId="0" borderId="0" xfId="0" applyNumberFormat="1" applyFont="1"/>
    <xf numFmtId="2" fontId="20" fillId="0" borderId="0" xfId="0" applyNumberFormat="1" applyFont="1"/>
    <xf numFmtId="0" fontId="20" fillId="0" borderId="0" xfId="0" applyFont="1"/>
    <xf numFmtId="165" fontId="11" fillId="0" borderId="10" xfId="0" applyNumberFormat="1" applyFont="1" applyBorder="1"/>
    <xf numFmtId="0" fontId="8" fillId="0" borderId="0" xfId="0" applyFont="1" applyBorder="1" applyAlignment="1">
      <alignment horizontal="left"/>
    </xf>
    <xf numFmtId="2" fontId="8" fillId="0" borderId="10" xfId="0" applyNumberFormat="1" applyFont="1" applyBorder="1"/>
    <xf numFmtId="2" fontId="8" fillId="9" borderId="10" xfId="0" applyNumberFormat="1" applyFont="1" applyFill="1" applyBorder="1"/>
    <xf numFmtId="168" fontId="8" fillId="0" borderId="10" xfId="0" applyNumberFormat="1" applyFont="1" applyBorder="1"/>
    <xf numFmtId="168" fontId="8" fillId="9" borderId="10" xfId="0" applyNumberFormat="1" applyFont="1" applyFill="1" applyBorder="1"/>
    <xf numFmtId="0" fontId="0" fillId="0" borderId="10" xfId="0" applyBorder="1" applyAlignment="1">
      <alignment vertical="center"/>
    </xf>
    <xf numFmtId="164" fontId="8" fillId="0" borderId="10" xfId="0" applyNumberFormat="1" applyFont="1" applyBorder="1"/>
    <xf numFmtId="0" fontId="0" fillId="0" borderId="10" xfId="0" applyFill="1" applyBorder="1" applyAlignment="1"/>
    <xf numFmtId="0" fontId="0" fillId="0" borderId="10" xfId="0" applyBorder="1" applyAlignment="1">
      <alignment vertical="center" wrapText="1"/>
    </xf>
    <xf numFmtId="0" fontId="4" fillId="10" borderId="8" xfId="0" applyFont="1" applyFill="1" applyBorder="1"/>
    <xf numFmtId="0" fontId="4" fillId="10" borderId="9" xfId="0" applyFont="1" applyFill="1" applyBorder="1"/>
    <xf numFmtId="0" fontId="4" fillId="10" borderId="12" xfId="0" applyFont="1" applyFill="1" applyBorder="1"/>
    <xf numFmtId="0" fontId="4" fillId="10" borderId="7" xfId="0" applyFont="1" applyFill="1" applyBorder="1"/>
    <xf numFmtId="0" fontId="4" fillId="10" borderId="10" xfId="0" applyFont="1" applyFill="1" applyBorder="1"/>
    <xf numFmtId="0" fontId="4" fillId="10" borderId="13" xfId="0" applyFont="1" applyFill="1" applyBorder="1"/>
    <xf numFmtId="2" fontId="4" fillId="10" borderId="2" xfId="0" applyNumberFormat="1" applyFont="1" applyFill="1" applyBorder="1" applyAlignment="1">
      <alignment horizontal="center"/>
    </xf>
    <xf numFmtId="0" fontId="4" fillId="3" borderId="9" xfId="0" applyFont="1" applyFill="1" applyBorder="1" applyAlignment="1">
      <alignment horizontal="left" vertical="center"/>
    </xf>
    <xf numFmtId="0" fontId="4" fillId="4" borderId="4" xfId="0" applyFont="1" applyFill="1" applyBorder="1"/>
    <xf numFmtId="0" fontId="4" fillId="4" borderId="5" xfId="0" applyFont="1" applyFill="1" applyBorder="1"/>
    <xf numFmtId="0" fontId="4" fillId="4" borderId="3" xfId="0" applyFont="1" applyFill="1" applyBorder="1" applyAlignment="1">
      <alignment horizontal="left" vertical="center"/>
    </xf>
    <xf numFmtId="0" fontId="4" fillId="11" borderId="1" xfId="0" applyFont="1" applyFill="1" applyBorder="1" applyAlignment="1">
      <alignment horizontal="left" vertical="center"/>
    </xf>
    <xf numFmtId="0" fontId="6" fillId="11" borderId="8" xfId="0" applyFont="1" applyFill="1" applyBorder="1"/>
    <xf numFmtId="0" fontId="6" fillId="11" borderId="15" xfId="0" applyFont="1" applyFill="1" applyBorder="1"/>
    <xf numFmtId="0" fontId="6" fillId="11" borderId="4" xfId="0" applyFont="1" applyFill="1" applyBorder="1"/>
    <xf numFmtId="0" fontId="4" fillId="11" borderId="6" xfId="0" applyFont="1" applyFill="1" applyBorder="1"/>
    <xf numFmtId="0" fontId="4" fillId="5" borderId="8" xfId="0" applyFont="1" applyFill="1" applyBorder="1" applyAlignment="1">
      <alignment vertical="center"/>
    </xf>
    <xf numFmtId="0" fontId="4" fillId="5" borderId="8" xfId="0" applyFont="1" applyFill="1" applyBorder="1"/>
    <xf numFmtId="0" fontId="6" fillId="4" borderId="0" xfId="0" applyFont="1" applyFill="1" applyBorder="1"/>
    <xf numFmtId="0" fontId="6" fillId="4" borderId="11" xfId="0" applyFont="1" applyFill="1" applyBorder="1"/>
    <xf numFmtId="2" fontId="4" fillId="11" borderId="1" xfId="0" applyNumberFormat="1" applyFont="1" applyFill="1" applyBorder="1" applyAlignment="1">
      <alignment horizontal="center"/>
    </xf>
    <xf numFmtId="0" fontId="4" fillId="0" borderId="1" xfId="0" applyFont="1" applyFill="1" applyBorder="1"/>
    <xf numFmtId="0" fontId="4" fillId="7" borderId="2" xfId="0" applyFont="1" applyFill="1" applyBorder="1" applyAlignment="1" applyProtection="1">
      <alignment horizontal="center"/>
      <protection locked="0"/>
    </xf>
    <xf numFmtId="2" fontId="4" fillId="10" borderId="14" xfId="0" applyNumberFormat="1" applyFont="1" applyFill="1" applyBorder="1" applyAlignment="1">
      <alignment horizontal="center"/>
    </xf>
    <xf numFmtId="2" fontId="4" fillId="10" borderId="3" xfId="0" applyNumberFormat="1" applyFont="1" applyFill="1" applyBorder="1" applyAlignment="1">
      <alignment horizontal="center"/>
    </xf>
    <xf numFmtId="2" fontId="4" fillId="3" borderId="3" xfId="0" applyNumberFormat="1" applyFont="1" applyFill="1" applyBorder="1" applyAlignment="1">
      <alignment horizontal="center"/>
    </xf>
    <xf numFmtId="2" fontId="4" fillId="4" borderId="1" xfId="0" applyNumberFormat="1" applyFont="1" applyFill="1" applyBorder="1" applyAlignment="1">
      <alignment horizontal="center"/>
    </xf>
    <xf numFmtId="0" fontId="4" fillId="0" borderId="0" xfId="0" applyFont="1"/>
    <xf numFmtId="2" fontId="4" fillId="11" borderId="3" xfId="0" applyNumberFormat="1" applyFont="1" applyFill="1" applyBorder="1" applyAlignment="1">
      <alignment horizontal="center"/>
    </xf>
    <xf numFmtId="0" fontId="0" fillId="9" borderId="0" xfId="0" applyFill="1" applyBorder="1" applyAlignment="1"/>
    <xf numFmtId="0" fontId="0" fillId="9" borderId="0" xfId="0" applyFill="1" applyAlignment="1"/>
    <xf numFmtId="0" fontId="0" fillId="9" borderId="0" xfId="0" applyFill="1" applyBorder="1"/>
    <xf numFmtId="0" fontId="0" fillId="9" borderId="10" xfId="0" applyFill="1" applyBorder="1"/>
    <xf numFmtId="0" fontId="8" fillId="9" borderId="0" xfId="0" applyFont="1" applyFill="1" applyBorder="1" applyAlignment="1">
      <alignment horizontal="center"/>
    </xf>
    <xf numFmtId="165" fontId="11" fillId="9" borderId="0" xfId="0" applyNumberFormat="1" applyFont="1" applyFill="1"/>
    <xf numFmtId="165" fontId="14" fillId="9" borderId="0" xfId="0" applyNumberFormat="1" applyFont="1" applyFill="1" applyBorder="1"/>
    <xf numFmtId="165" fontId="11" fillId="9" borderId="10" xfId="0" applyNumberFormat="1" applyFont="1" applyFill="1" applyBorder="1"/>
    <xf numFmtId="0" fontId="0" fillId="0" borderId="20" xfId="0" applyFont="1" applyBorder="1" applyAlignment="1">
      <alignment horizontal="center"/>
    </xf>
    <xf numFmtId="0" fontId="4" fillId="0" borderId="4" xfId="0" applyFont="1" applyFill="1" applyBorder="1" applyAlignment="1">
      <alignment vertical="center"/>
    </xf>
    <xf numFmtId="0" fontId="4" fillId="7" borderId="1" xfId="0" applyFont="1" applyFill="1" applyBorder="1" applyAlignment="1" applyProtection="1">
      <alignment horizontal="center" vertical="center"/>
      <protection locked="0"/>
    </xf>
    <xf numFmtId="0" fontId="0" fillId="0" borderId="0" xfId="0" applyFont="1" applyFill="1" applyBorder="1" applyAlignment="1" applyProtection="1">
      <alignment horizontal="left" vertical="center"/>
    </xf>
    <xf numFmtId="0" fontId="1" fillId="0" borderId="0" xfId="0" applyFont="1" applyFill="1" applyBorder="1" applyAlignment="1" applyProtection="1">
      <alignment horizontal="left" vertical="top" wrapText="1"/>
    </xf>
    <xf numFmtId="0" fontId="0" fillId="0" borderId="0" xfId="0" applyFont="1" applyFill="1"/>
    <xf numFmtId="0" fontId="4" fillId="0" borderId="0" xfId="0" applyFont="1" applyFill="1" applyBorder="1" applyAlignment="1">
      <alignment horizontal="center" vertical="center"/>
    </xf>
    <xf numFmtId="0" fontId="0" fillId="0" borderId="0" xfId="0" applyFont="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0" fillId="0" borderId="0" xfId="0" applyFont="1" applyFill="1" applyAlignment="1">
      <alignment vertical="center"/>
    </xf>
    <xf numFmtId="164" fontId="0" fillId="0" borderId="4" xfId="0" applyNumberFormat="1" applyFont="1" applyFill="1" applyBorder="1" applyAlignment="1" applyProtection="1">
      <alignment horizontal="center"/>
    </xf>
    <xf numFmtId="0" fontId="1" fillId="0" borderId="37" xfId="0" applyFont="1" applyBorder="1"/>
    <xf numFmtId="0" fontId="1" fillId="0" borderId="19" xfId="0" applyFont="1" applyBorder="1"/>
    <xf numFmtId="0" fontId="1" fillId="0" borderId="21" xfId="0" applyFont="1" applyBorder="1" applyAlignment="1">
      <alignment wrapText="1"/>
    </xf>
    <xf numFmtId="2" fontId="4" fillId="4" borderId="2" xfId="0" applyNumberFormat="1" applyFont="1" applyFill="1" applyBorder="1" applyAlignment="1">
      <alignment horizontal="center" vertical="center"/>
    </xf>
    <xf numFmtId="2" fontId="4" fillId="4" borderId="14" xfId="0" applyNumberFormat="1" applyFont="1" applyFill="1" applyBorder="1" applyAlignment="1">
      <alignment horizontal="center" vertical="center"/>
    </xf>
    <xf numFmtId="2" fontId="4" fillId="11" borderId="2" xfId="0" applyNumberFormat="1" applyFont="1" applyFill="1" applyBorder="1" applyAlignment="1">
      <alignment horizontal="center" vertical="center"/>
    </xf>
    <xf numFmtId="0" fontId="4" fillId="4" borderId="3" xfId="0" applyFont="1" applyFill="1" applyBorder="1" applyAlignment="1">
      <alignment horizontal="left" vertical="center"/>
    </xf>
    <xf numFmtId="2" fontId="4" fillId="3" borderId="2" xfId="0" applyNumberFormat="1" applyFont="1" applyFill="1" applyBorder="1" applyAlignment="1">
      <alignment horizontal="center" vertical="center"/>
    </xf>
    <xf numFmtId="0" fontId="4" fillId="4" borderId="1" xfId="0" applyFont="1" applyFill="1" applyBorder="1" applyAlignment="1">
      <alignment horizontal="left" vertical="center"/>
    </xf>
    <xf numFmtId="0" fontId="5" fillId="0" borderId="1" xfId="0" applyFont="1" applyFill="1" applyBorder="1" applyAlignment="1">
      <alignment horizontal="center"/>
    </xf>
    <xf numFmtId="2" fontId="5" fillId="0" borderId="0" xfId="0" applyNumberFormat="1"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xf numFmtId="0" fontId="4" fillId="0" borderId="0" xfId="0" applyFont="1" applyFill="1" applyBorder="1" applyAlignment="1" applyProtection="1">
      <alignment horizontal="center"/>
      <protection locked="0"/>
    </xf>
    <xf numFmtId="2" fontId="4" fillId="0" borderId="0" xfId="0" applyNumberFormat="1" applyFont="1" applyFill="1" applyBorder="1" applyAlignment="1">
      <alignment horizontal="center"/>
    </xf>
    <xf numFmtId="2"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0" fontId="0" fillId="0" borderId="0" xfId="0" applyFill="1" applyAlignment="1">
      <alignment wrapText="1"/>
    </xf>
    <xf numFmtId="0" fontId="2" fillId="0" borderId="0" xfId="1"/>
    <xf numFmtId="0" fontId="23" fillId="0" borderId="0" xfId="1" applyFont="1" applyAlignment="1">
      <alignment horizontal="center" vertical="center" wrapText="1"/>
    </xf>
    <xf numFmtId="0" fontId="23" fillId="0" borderId="0" xfId="1" applyFont="1"/>
    <xf numFmtId="0" fontId="23" fillId="0" borderId="0" xfId="1" applyFont="1" applyAlignment="1">
      <alignment vertical="center" wrapText="1"/>
    </xf>
    <xf numFmtId="0" fontId="24" fillId="7" borderId="31" xfId="1" applyFont="1" applyFill="1" applyBorder="1" applyAlignment="1">
      <alignment horizontal="center" vertical="center" wrapText="1"/>
    </xf>
    <xf numFmtId="0" fontId="23" fillId="0" borderId="0" xfId="1" applyFont="1" applyAlignment="1">
      <alignment horizontal="left"/>
    </xf>
    <xf numFmtId="0" fontId="2" fillId="0" borderId="1" xfId="1" applyBorder="1" applyAlignment="1">
      <alignment horizontal="center" vertical="center" wrapText="1"/>
    </xf>
    <xf numFmtId="0" fontId="2" fillId="0" borderId="1" xfId="1" applyBorder="1" applyAlignment="1">
      <alignment vertical="center" wrapText="1"/>
    </xf>
    <xf numFmtId="0" fontId="25" fillId="0" borderId="1" xfId="0" applyFont="1" applyBorder="1" applyAlignment="1">
      <alignment vertical="center" wrapText="1"/>
    </xf>
    <xf numFmtId="14" fontId="0" fillId="0" borderId="0" xfId="0" applyNumberFormat="1" applyFill="1" applyAlignment="1">
      <alignment horizontal="left"/>
    </xf>
    <xf numFmtId="0" fontId="2" fillId="2" borderId="1" xfId="1" applyFill="1" applyBorder="1" applyAlignment="1">
      <alignment horizontal="center" vertical="center" wrapText="1"/>
    </xf>
    <xf numFmtId="0" fontId="4" fillId="2" borderId="14" xfId="0" applyFont="1" applyFill="1" applyBorder="1"/>
    <xf numFmtId="0" fontId="4" fillId="7" borderId="3" xfId="0" applyFont="1" applyFill="1" applyBorder="1"/>
    <xf numFmtId="0" fontId="0" fillId="2" borderId="1" xfId="0" applyFont="1" applyFill="1" applyBorder="1" applyAlignment="1" applyProtection="1">
      <alignment horizontal="center"/>
      <protection locked="0"/>
    </xf>
    <xf numFmtId="0" fontId="4" fillId="5" borderId="9" xfId="0" applyFont="1" applyFill="1" applyBorder="1"/>
    <xf numFmtId="0" fontId="4" fillId="5" borderId="0" xfId="0" applyFont="1" applyFill="1" applyBorder="1"/>
    <xf numFmtId="0" fontId="1" fillId="0" borderId="42" xfId="0" applyFont="1" applyBorder="1" applyAlignment="1" applyProtection="1">
      <alignment horizontal="center" vertical="center" wrapText="1"/>
    </xf>
    <xf numFmtId="0" fontId="0" fillId="0" borderId="1" xfId="0" applyFont="1" applyBorder="1" applyAlignment="1">
      <alignment horizontal="center"/>
    </xf>
    <xf numFmtId="9" fontId="11" fillId="0" borderId="1" xfId="3" applyFont="1" applyFill="1" applyBorder="1" applyAlignment="1">
      <alignment horizontal="center"/>
    </xf>
    <xf numFmtId="0" fontId="1" fillId="0" borderId="49" xfId="0" applyFont="1" applyBorder="1" applyAlignment="1">
      <alignment horizontal="center" vertical="center"/>
    </xf>
    <xf numFmtId="0" fontId="1" fillId="0" borderId="3" xfId="0" applyFont="1" applyFill="1" applyBorder="1" applyAlignment="1" applyProtection="1">
      <alignment horizontal="center" wrapText="1"/>
    </xf>
    <xf numFmtId="0" fontId="1" fillId="0" borderId="49" xfId="0" applyFont="1" applyBorder="1" applyAlignment="1">
      <alignment horizontal="center" vertical="center" wrapText="1"/>
    </xf>
    <xf numFmtId="0" fontId="12" fillId="0" borderId="49" xfId="0" applyFont="1" applyBorder="1" applyAlignment="1">
      <alignment horizontal="center" vertical="center" wrapText="1"/>
    </xf>
    <xf numFmtId="0" fontId="1" fillId="0" borderId="3" xfId="0" applyFont="1" applyBorder="1" applyAlignment="1" applyProtection="1">
      <alignment horizontal="center"/>
    </xf>
    <xf numFmtId="0" fontId="0" fillId="0" borderId="3" xfId="0" applyFont="1" applyBorder="1" applyAlignment="1">
      <alignment horizontal="center" vertical="center"/>
    </xf>
    <xf numFmtId="9" fontId="11" fillId="0" borderId="3" xfId="3" applyFont="1" applyFill="1" applyBorder="1" applyAlignment="1">
      <alignment horizontal="center" vertical="center"/>
    </xf>
    <xf numFmtId="0" fontId="0" fillId="0" borderId="1" xfId="0" applyFont="1" applyBorder="1" applyAlignment="1">
      <alignment horizontal="center" vertical="center"/>
    </xf>
    <xf numFmtId="9" fontId="11" fillId="0" borderId="1" xfId="3" applyFont="1" applyFill="1" applyBorder="1" applyAlignment="1">
      <alignment horizontal="center" vertical="center"/>
    </xf>
    <xf numFmtId="0" fontId="0" fillId="0" borderId="42" xfId="0" applyFont="1" applyFill="1" applyBorder="1" applyAlignment="1" applyProtection="1"/>
    <xf numFmtId="2" fontId="0" fillId="0" borderId="1" xfId="0" applyNumberFormat="1" applyFont="1" applyFill="1" applyBorder="1" applyAlignment="1" applyProtection="1">
      <alignment horizontal="center" vertical="center"/>
    </xf>
    <xf numFmtId="0" fontId="23" fillId="0" borderId="0" xfId="1" applyFont="1" applyAlignment="1">
      <alignment horizontal="left" vertical="center" wrapText="1"/>
    </xf>
    <xf numFmtId="0" fontId="22" fillId="0" borderId="1" xfId="1" applyFont="1" applyBorder="1" applyAlignment="1">
      <alignment horizontal="center" vertical="center" wrapText="1"/>
    </xf>
    <xf numFmtId="0" fontId="2" fillId="0" borderId="8" xfId="1" applyBorder="1"/>
    <xf numFmtId="0" fontId="2" fillId="0" borderId="15" xfId="1" applyBorder="1"/>
    <xf numFmtId="0" fontId="2" fillId="0" borderId="7" xfId="1" applyBorder="1"/>
    <xf numFmtId="0" fontId="2" fillId="0" borderId="12" xfId="1" applyBorder="1"/>
    <xf numFmtId="0" fontId="2" fillId="0" borderId="11" xfId="1" applyBorder="1"/>
    <xf numFmtId="0" fontId="2" fillId="0" borderId="13" xfId="1" applyBorder="1"/>
    <xf numFmtId="0" fontId="22" fillId="0" borderId="0" xfId="1" applyFont="1" applyAlignment="1">
      <alignment vertical="center"/>
    </xf>
    <xf numFmtId="0" fontId="22" fillId="0" borderId="0" xfId="1" applyFont="1" applyAlignment="1">
      <alignment horizontal="left" vertical="center"/>
    </xf>
    <xf numFmtId="0" fontId="22" fillId="0" borderId="0" xfId="1" applyFont="1"/>
    <xf numFmtId="0" fontId="22" fillId="0" borderId="0" xfId="1" applyFont="1" applyAlignment="1">
      <alignment horizontal="left" wrapText="1"/>
    </xf>
    <xf numFmtId="0" fontId="9" fillId="0" borderId="2" xfId="0" applyFont="1" applyBorder="1"/>
    <xf numFmtId="0" fontId="0" fillId="0" borderId="1" xfId="0" applyFont="1" applyBorder="1" applyAlignment="1" applyProtection="1">
      <alignment horizontal="center" vertical="center"/>
    </xf>
    <xf numFmtId="0" fontId="0" fillId="2" borderId="1" xfId="0" applyFill="1" applyBorder="1" applyAlignment="1" applyProtection="1">
      <protection locked="0"/>
    </xf>
    <xf numFmtId="0" fontId="1" fillId="0" borderId="46" xfId="0" applyFont="1" applyBorder="1" applyAlignment="1">
      <alignment horizontal="center"/>
    </xf>
    <xf numFmtId="0" fontId="1" fillId="0" borderId="40" xfId="0" applyFont="1" applyBorder="1" applyAlignment="1">
      <alignment horizontal="center"/>
    </xf>
    <xf numFmtId="0" fontId="0" fillId="2" borderId="3" xfId="0" applyFill="1" applyBorder="1" applyAlignment="1" applyProtection="1">
      <protection locked="0"/>
    </xf>
    <xf numFmtId="0" fontId="0" fillId="7" borderId="4" xfId="0" applyFill="1" applyBorder="1" applyAlignment="1">
      <alignment horizontal="center"/>
    </xf>
    <xf numFmtId="0" fontId="0" fillId="7" borderId="5" xfId="0" applyFill="1" applyBorder="1" applyAlignment="1">
      <alignment horizontal="center"/>
    </xf>
    <xf numFmtId="0" fontId="0" fillId="7" borderId="6" xfId="0" applyFill="1" applyBorder="1" applyAlignment="1">
      <alignment horizontal="center"/>
    </xf>
    <xf numFmtId="0" fontId="0" fillId="0" borderId="0" xfId="0" applyAlignment="1">
      <alignment horizontal="center"/>
    </xf>
    <xf numFmtId="164" fontId="9" fillId="0" borderId="16" xfId="0" applyNumberFormat="1" applyFont="1" applyBorder="1" applyAlignment="1">
      <alignment horizontal="center" vertical="center"/>
    </xf>
    <xf numFmtId="164" fontId="9" fillId="0" borderId="17" xfId="0" applyNumberFormat="1" applyFont="1" applyBorder="1" applyAlignment="1">
      <alignment horizontal="center" vertical="center"/>
    </xf>
    <xf numFmtId="164" fontId="9" fillId="0" borderId="18" xfId="0" applyNumberFormat="1" applyFont="1" applyBorder="1" applyAlignment="1">
      <alignment horizontal="center" vertical="center"/>
    </xf>
    <xf numFmtId="164" fontId="9" fillId="0" borderId="24" xfId="0" applyNumberFormat="1" applyFont="1" applyBorder="1" applyAlignment="1">
      <alignment horizontal="center" vertical="center"/>
    </xf>
    <xf numFmtId="164" fontId="9" fillId="0" borderId="25" xfId="0" applyNumberFormat="1" applyFont="1" applyBorder="1" applyAlignment="1">
      <alignment horizontal="center" vertical="center"/>
    </xf>
    <xf numFmtId="164" fontId="9" fillId="0" borderId="26" xfId="0" applyNumberFormat="1" applyFont="1" applyBorder="1" applyAlignment="1">
      <alignment horizontal="center" vertical="center"/>
    </xf>
    <xf numFmtId="0" fontId="9" fillId="0" borderId="25" xfId="0" applyFont="1" applyFill="1" applyBorder="1" applyAlignment="1">
      <alignment horizontal="center"/>
    </xf>
    <xf numFmtId="0" fontId="10" fillId="0" borderId="25" xfId="0" applyFont="1" applyFill="1" applyBorder="1" applyAlignment="1">
      <alignment horizontal="center"/>
    </xf>
    <xf numFmtId="0" fontId="9" fillId="0" borderId="16" xfId="0" applyFont="1" applyBorder="1" applyAlignment="1">
      <alignment horizontal="center"/>
    </xf>
    <xf numFmtId="0" fontId="9" fillId="0" borderId="17" xfId="0" applyFont="1" applyBorder="1" applyAlignment="1">
      <alignment horizontal="center"/>
    </xf>
    <xf numFmtId="0" fontId="9" fillId="0" borderId="18" xfId="0" applyFont="1" applyBorder="1" applyAlignment="1">
      <alignment horizontal="center"/>
    </xf>
    <xf numFmtId="0" fontId="0" fillId="2" borderId="29" xfId="0" applyFill="1" applyBorder="1" applyAlignment="1" applyProtection="1">
      <alignment horizontal="center"/>
      <protection locked="0"/>
    </xf>
    <xf numFmtId="0" fontId="0" fillId="2" borderId="30" xfId="0" applyFill="1" applyBorder="1" applyAlignment="1" applyProtection="1">
      <alignment horizontal="center"/>
      <protection locked="0"/>
    </xf>
    <xf numFmtId="0" fontId="0" fillId="2" borderId="31" xfId="0" applyFill="1" applyBorder="1" applyAlignment="1" applyProtection="1">
      <alignment horizontal="center"/>
      <protection locked="0"/>
    </xf>
    <xf numFmtId="0" fontId="9" fillId="0" borderId="29" xfId="0" applyFont="1" applyBorder="1" applyAlignment="1">
      <alignment horizontal="center" wrapText="1"/>
    </xf>
    <xf numFmtId="0" fontId="9" fillId="0" borderId="30" xfId="0" applyFont="1" applyBorder="1" applyAlignment="1">
      <alignment horizontal="center"/>
    </xf>
    <xf numFmtId="0" fontId="9" fillId="0" borderId="31" xfId="0" applyFont="1" applyBorder="1" applyAlignment="1">
      <alignment horizontal="center"/>
    </xf>
    <xf numFmtId="0" fontId="9" fillId="0" borderId="29" xfId="0" applyFont="1" applyBorder="1" applyAlignment="1">
      <alignment horizontal="center"/>
    </xf>
    <xf numFmtId="0" fontId="0" fillId="2" borderId="29" xfId="0" applyFill="1" applyBorder="1" applyAlignment="1" applyProtection="1">
      <alignment horizontal="left"/>
      <protection locked="0"/>
    </xf>
    <xf numFmtId="0" fontId="0" fillId="2" borderId="30" xfId="0" applyFill="1" applyBorder="1" applyAlignment="1" applyProtection="1">
      <alignment horizontal="left"/>
      <protection locked="0"/>
    </xf>
    <xf numFmtId="0" fontId="0" fillId="2" borderId="31" xfId="0" applyFill="1" applyBorder="1" applyAlignment="1" applyProtection="1">
      <alignment horizontal="left"/>
      <protection locked="0"/>
    </xf>
    <xf numFmtId="0" fontId="9" fillId="0" borderId="29"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0"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0" fillId="2" borderId="16" xfId="0" applyFill="1" applyBorder="1" applyAlignment="1" applyProtection="1">
      <alignment horizontal="left"/>
      <protection locked="0"/>
    </xf>
    <xf numFmtId="0" fontId="0" fillId="2" borderId="17" xfId="0" applyFill="1" applyBorder="1" applyAlignment="1" applyProtection="1">
      <alignment horizontal="left"/>
      <protection locked="0"/>
    </xf>
    <xf numFmtId="0" fontId="0" fillId="2" borderId="18" xfId="0" applyFill="1" applyBorder="1" applyAlignment="1" applyProtection="1">
      <alignment horizontal="left"/>
      <protection locked="0"/>
    </xf>
    <xf numFmtId="0" fontId="1" fillId="0" borderId="38" xfId="0" applyFont="1" applyBorder="1" applyAlignment="1"/>
    <xf numFmtId="0" fontId="1" fillId="0" borderId="39" xfId="0" applyFont="1" applyBorder="1" applyAlignment="1"/>
    <xf numFmtId="0" fontId="0" fillId="2" borderId="28" xfId="0" applyFill="1" applyBorder="1" applyAlignment="1" applyProtection="1">
      <protection locked="0"/>
    </xf>
    <xf numFmtId="0" fontId="0" fillId="2" borderId="20" xfId="0" applyFill="1" applyBorder="1" applyAlignment="1" applyProtection="1">
      <protection locked="0"/>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0" fillId="2" borderId="22" xfId="0" applyFill="1" applyBorder="1" applyAlignment="1" applyProtection="1">
      <protection locked="0"/>
    </xf>
    <xf numFmtId="0" fontId="0" fillId="2" borderId="23" xfId="0" applyFill="1" applyBorder="1" applyAlignment="1" applyProtection="1">
      <protection locked="0"/>
    </xf>
    <xf numFmtId="0" fontId="2" fillId="2" borderId="4" xfId="1" applyFill="1" applyBorder="1" applyAlignment="1">
      <alignment horizontal="center" vertical="center" wrapText="1"/>
    </xf>
    <xf numFmtId="0" fontId="2" fillId="2" borderId="5" xfId="1" applyFill="1" applyBorder="1" applyAlignment="1">
      <alignment horizontal="center" vertical="center" wrapText="1"/>
    </xf>
    <xf numFmtId="0" fontId="2" fillId="2" borderId="6" xfId="1" applyFill="1" applyBorder="1" applyAlignment="1">
      <alignment horizontal="center" vertical="center" wrapText="1"/>
    </xf>
    <xf numFmtId="0" fontId="23" fillId="0" borderId="47" xfId="1" applyFont="1" applyBorder="1" applyAlignment="1">
      <alignment horizontal="left" vertical="center" wrapText="1"/>
    </xf>
    <xf numFmtId="0" fontId="23" fillId="0" borderId="0" xfId="1" applyFont="1" applyAlignment="1">
      <alignment horizontal="left" vertical="center" wrapText="1"/>
    </xf>
    <xf numFmtId="0" fontId="24" fillId="0" borderId="29" xfId="1" applyFont="1" applyBorder="1" applyAlignment="1">
      <alignment horizontal="center" vertical="center" wrapText="1"/>
    </xf>
    <xf numFmtId="0" fontId="24" fillId="0" borderId="30" xfId="1" applyFont="1" applyBorder="1" applyAlignment="1">
      <alignment horizontal="center" vertical="center" wrapText="1"/>
    </xf>
    <xf numFmtId="0" fontId="22" fillId="0" borderId="1" xfId="1" applyFont="1" applyBorder="1" applyAlignment="1">
      <alignment horizontal="center" vertical="center" wrapText="1"/>
    </xf>
    <xf numFmtId="0" fontId="23" fillId="0" borderId="25" xfId="1"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3" xfId="0" applyFont="1" applyBorder="1" applyAlignment="1">
      <alignment horizontal="center" vertical="center"/>
    </xf>
    <xf numFmtId="0" fontId="0" fillId="0" borderId="3" xfId="0" applyFont="1" applyBorder="1" applyAlignment="1">
      <alignment horizontal="center" vertical="center" wrapText="1"/>
    </xf>
    <xf numFmtId="0" fontId="0" fillId="0" borderId="1" xfId="0" applyFont="1" applyFill="1" applyBorder="1" applyAlignment="1">
      <alignment horizontal="left" vertical="center" wrapText="1"/>
    </xf>
    <xf numFmtId="0" fontId="3" fillId="0" borderId="29" xfId="0" applyFont="1" applyBorder="1" applyAlignment="1">
      <alignment horizontal="center"/>
    </xf>
    <xf numFmtId="0" fontId="3" fillId="0" borderId="30" xfId="0" applyFont="1" applyBorder="1" applyAlignment="1">
      <alignment horizontal="center"/>
    </xf>
    <xf numFmtId="0" fontId="3" fillId="0" borderId="31" xfId="0" applyFont="1" applyBorder="1" applyAlignment="1">
      <alignment horizontal="center"/>
    </xf>
    <xf numFmtId="14" fontId="0" fillId="0" borderId="41" xfId="0" applyNumberFormat="1" applyFont="1" applyFill="1" applyBorder="1" applyAlignment="1">
      <alignment horizontal="center" wrapText="1"/>
    </xf>
    <xf numFmtId="14" fontId="0" fillId="0" borderId="43" xfId="0" applyNumberFormat="1" applyFont="1" applyFill="1" applyBorder="1" applyAlignment="1">
      <alignment horizontal="center" wrapText="1"/>
    </xf>
    <xf numFmtId="14" fontId="0" fillId="0" borderId="44" xfId="0" applyNumberFormat="1" applyFont="1" applyFill="1" applyBorder="1" applyAlignment="1">
      <alignment horizontal="center" wrapText="1"/>
    </xf>
    <xf numFmtId="0" fontId="4" fillId="2" borderId="34"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36" xfId="0" applyFont="1" applyFill="1" applyBorder="1" applyAlignment="1">
      <alignment horizontal="center" vertical="center"/>
    </xf>
    <xf numFmtId="0" fontId="4" fillId="7" borderId="45" xfId="0" applyFont="1" applyFill="1" applyBorder="1" applyAlignment="1">
      <alignment horizontal="center" vertical="center"/>
    </xf>
    <xf numFmtId="0" fontId="4" fillId="7" borderId="43" xfId="0" applyFont="1" applyFill="1" applyBorder="1" applyAlignment="1">
      <alignment horizontal="center" vertical="center"/>
    </xf>
    <xf numFmtId="0" fontId="4" fillId="7" borderId="44" xfId="0" applyFont="1" applyFill="1" applyBorder="1" applyAlignment="1">
      <alignment horizontal="center" vertical="center"/>
    </xf>
    <xf numFmtId="0" fontId="0" fillId="0" borderId="50" xfId="0" applyFont="1" applyFill="1" applyBorder="1" applyAlignment="1">
      <alignment horizontal="left" wrapText="1"/>
    </xf>
    <xf numFmtId="0" fontId="0" fillId="0" borderId="35" xfId="0" applyFont="1" applyFill="1" applyBorder="1" applyAlignment="1">
      <alignment horizontal="left" wrapText="1"/>
    </xf>
    <xf numFmtId="0" fontId="0" fillId="0" borderId="36" xfId="0" applyFont="1" applyFill="1" applyBorder="1" applyAlignment="1">
      <alignment horizontal="left" wrapText="1"/>
    </xf>
    <xf numFmtId="14" fontId="0" fillId="0" borderId="4" xfId="0" applyNumberFormat="1" applyFont="1" applyFill="1" applyBorder="1" applyAlignment="1">
      <alignment horizontal="left" wrapText="1"/>
    </xf>
    <xf numFmtId="14" fontId="0" fillId="0" borderId="5" xfId="0" applyNumberFormat="1" applyFont="1" applyFill="1" applyBorder="1" applyAlignment="1">
      <alignment horizontal="left" wrapText="1"/>
    </xf>
    <xf numFmtId="14" fontId="0" fillId="0" borderId="51" xfId="0" applyNumberFormat="1" applyFont="1" applyFill="1" applyBorder="1" applyAlignment="1">
      <alignment horizontal="left" wrapText="1"/>
    </xf>
    <xf numFmtId="0" fontId="12" fillId="0" borderId="49"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1" fillId="0" borderId="48"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48" xfId="0" applyFont="1" applyBorder="1" applyAlignment="1">
      <alignment horizontal="center" vertical="center"/>
    </xf>
    <xf numFmtId="0" fontId="1" fillId="0" borderId="52" xfId="0" applyFont="1" applyBorder="1" applyAlignment="1">
      <alignment horizontal="center" vertical="center"/>
    </xf>
    <xf numFmtId="0" fontId="0" fillId="0" borderId="4" xfId="0" applyFont="1" applyBorder="1" applyAlignment="1">
      <alignment horizontal="center" vertical="center"/>
    </xf>
    <xf numFmtId="0" fontId="9" fillId="0" borderId="45" xfId="0" applyFont="1" applyBorder="1" applyAlignment="1">
      <alignment horizontal="right" vertical="center"/>
    </xf>
    <xf numFmtId="0" fontId="9" fillId="0" borderId="43" xfId="0" applyFont="1" applyBorder="1" applyAlignment="1">
      <alignment horizontal="right" vertical="center"/>
    </xf>
    <xf numFmtId="0" fontId="9" fillId="0" borderId="54" xfId="0" applyFont="1" applyBorder="1" applyAlignment="1">
      <alignment horizontal="right" vertical="center"/>
    </xf>
    <xf numFmtId="164" fontId="9" fillId="0" borderId="41" xfId="0" applyNumberFormat="1" applyFont="1" applyBorder="1" applyAlignment="1" applyProtection="1">
      <alignment horizontal="center" vertical="center"/>
    </xf>
    <xf numFmtId="164" fontId="9" fillId="0" borderId="44" xfId="0" applyNumberFormat="1" applyFont="1" applyBorder="1" applyAlignment="1" applyProtection="1">
      <alignment horizontal="center" vertical="center"/>
    </xf>
    <xf numFmtId="164" fontId="0" fillId="0" borderId="1" xfId="0" applyNumberFormat="1" applyFont="1" applyFill="1" applyBorder="1" applyAlignment="1">
      <alignment horizontal="center"/>
    </xf>
    <xf numFmtId="0" fontId="3" fillId="0" borderId="34" xfId="0" applyFont="1" applyBorder="1" applyAlignment="1" applyProtection="1">
      <alignment horizontal="center"/>
    </xf>
    <xf numFmtId="0" fontId="3" fillId="0" borderId="35" xfId="0" applyFont="1" applyBorder="1" applyAlignment="1" applyProtection="1">
      <alignment horizontal="center"/>
    </xf>
    <xf numFmtId="0" fontId="3" fillId="0" borderId="36" xfId="0" applyFont="1" applyBorder="1" applyAlignment="1" applyProtection="1">
      <alignment horizontal="center"/>
    </xf>
    <xf numFmtId="0" fontId="1" fillId="0" borderId="48" xfId="0" applyFont="1" applyBorder="1" applyAlignment="1" applyProtection="1">
      <alignment horizontal="center" wrapText="1"/>
    </xf>
    <xf numFmtId="0" fontId="1" fillId="0" borderId="53" xfId="0" applyFont="1" applyBorder="1" applyAlignment="1" applyProtection="1">
      <alignment horizontal="center" wrapText="1"/>
    </xf>
    <xf numFmtId="0" fontId="1" fillId="0" borderId="52" xfId="0" applyFont="1" applyBorder="1" applyAlignment="1" applyProtection="1">
      <alignment horizontal="center"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164" fontId="0" fillId="0" borderId="12" xfId="0" applyNumberFormat="1" applyFont="1" applyFill="1" applyBorder="1" applyAlignment="1">
      <alignment horizontal="center" vertical="center"/>
    </xf>
    <xf numFmtId="164" fontId="0" fillId="0" borderId="13"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0" fontId="0" fillId="0" borderId="2" xfId="0" applyFont="1" applyBorder="1" applyAlignment="1">
      <alignment horizontal="center" vertical="center" wrapText="1"/>
    </xf>
    <xf numFmtId="2" fontId="0" fillId="0" borderId="9" xfId="0" applyNumberFormat="1" applyFont="1" applyFill="1" applyBorder="1" applyAlignment="1">
      <alignment horizontal="center" vertical="center"/>
    </xf>
    <xf numFmtId="2" fontId="0" fillId="0" borderId="10" xfId="0" applyNumberFormat="1" applyFont="1" applyFill="1" applyBorder="1" applyAlignment="1">
      <alignment horizontal="center" vertical="center"/>
    </xf>
    <xf numFmtId="2" fontId="0" fillId="0" borderId="12" xfId="0" applyNumberFormat="1" applyFont="1" applyFill="1" applyBorder="1" applyAlignment="1">
      <alignment horizontal="center" vertical="center"/>
    </xf>
    <xf numFmtId="2" fontId="0" fillId="0" borderId="13" xfId="0" applyNumberFormat="1" applyFont="1" applyFill="1" applyBorder="1" applyAlignment="1">
      <alignment horizontal="center" vertical="center"/>
    </xf>
    <xf numFmtId="0" fontId="0" fillId="0" borderId="6" xfId="0" applyFont="1" applyBorder="1" applyAlignment="1">
      <alignment horizontal="center" vertical="center" wrapText="1"/>
    </xf>
    <xf numFmtId="0" fontId="26" fillId="0" borderId="1" xfId="0" applyFont="1" applyFill="1" applyBorder="1" applyAlignment="1">
      <alignment horizontal="left" vertical="top" wrapText="1"/>
    </xf>
    <xf numFmtId="0" fontId="26" fillId="0" borderId="3" xfId="0" applyFont="1" applyFill="1" applyBorder="1" applyAlignment="1">
      <alignment horizontal="left" vertical="top" wrapText="1"/>
    </xf>
    <xf numFmtId="0" fontId="4" fillId="0" borderId="1" xfId="0" applyFont="1" applyBorder="1" applyAlignment="1">
      <alignment horizontal="center" vertical="center" wrapText="1"/>
    </xf>
    <xf numFmtId="0" fontId="4" fillId="5" borderId="2" xfId="0" applyFont="1" applyFill="1" applyBorder="1" applyAlignment="1">
      <alignment horizontal="left" vertical="center"/>
    </xf>
    <xf numFmtId="0" fontId="4" fillId="5" borderId="14" xfId="0" applyFont="1" applyFill="1" applyBorder="1" applyAlignment="1">
      <alignment horizontal="left" vertical="center"/>
    </xf>
    <xf numFmtId="0" fontId="4" fillId="5" borderId="3" xfId="0" applyFont="1" applyFill="1" applyBorder="1" applyAlignment="1">
      <alignment horizontal="left" vertical="center"/>
    </xf>
    <xf numFmtId="2" fontId="4" fillId="5" borderId="1" xfId="0" applyNumberFormat="1" applyFont="1" applyFill="1" applyBorder="1" applyAlignment="1">
      <alignment horizontal="center" vertical="center"/>
    </xf>
    <xf numFmtId="2" fontId="4" fillId="5" borderId="2" xfId="0" applyNumberFormat="1" applyFont="1" applyFill="1" applyBorder="1" applyAlignment="1">
      <alignment horizontal="center" vertical="center"/>
    </xf>
    <xf numFmtId="2" fontId="4" fillId="5" borderId="10" xfId="0" applyNumberFormat="1" applyFont="1" applyFill="1" applyBorder="1" applyAlignment="1">
      <alignment horizontal="center" vertical="center"/>
    </xf>
    <xf numFmtId="2" fontId="4" fillId="5" borderId="3" xfId="0" applyNumberFormat="1" applyFont="1" applyFill="1" applyBorder="1" applyAlignment="1">
      <alignment horizontal="center" vertical="center"/>
    </xf>
    <xf numFmtId="0" fontId="21" fillId="8" borderId="0" xfId="0" applyFont="1" applyFill="1" applyAlignment="1">
      <alignment horizontal="left"/>
    </xf>
    <xf numFmtId="0" fontId="4" fillId="0" borderId="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4" xfId="0" applyFont="1" applyBorder="1" applyAlignment="1">
      <alignment horizontal="center"/>
    </xf>
    <xf numFmtId="0" fontId="5" fillId="0" borderId="5" xfId="0" applyFont="1" applyBorder="1" applyAlignment="1">
      <alignment horizontal="center"/>
    </xf>
    <xf numFmtId="0" fontId="4" fillId="10" borderId="2" xfId="0" applyFont="1" applyFill="1" applyBorder="1" applyAlignment="1">
      <alignment horizontal="left" vertical="center" wrapText="1"/>
    </xf>
    <xf numFmtId="0" fontId="4" fillId="10" borderId="14" xfId="0" applyFont="1" applyFill="1" applyBorder="1" applyAlignment="1">
      <alignment horizontal="left" vertical="center" wrapText="1"/>
    </xf>
    <xf numFmtId="0" fontId="4" fillId="10" borderId="3" xfId="0" applyFont="1" applyFill="1" applyBorder="1" applyAlignment="1">
      <alignment horizontal="left" vertical="center" wrapText="1"/>
    </xf>
    <xf numFmtId="0" fontId="4" fillId="10" borderId="2" xfId="0" applyFont="1" applyFill="1" applyBorder="1" applyAlignment="1">
      <alignment horizontal="left" vertical="center"/>
    </xf>
    <xf numFmtId="0" fontId="4" fillId="10" borderId="14" xfId="0" applyFont="1" applyFill="1" applyBorder="1" applyAlignment="1">
      <alignment horizontal="left" vertical="center"/>
    </xf>
    <xf numFmtId="0" fontId="4" fillId="10" borderId="3" xfId="0" applyFont="1" applyFill="1" applyBorder="1" applyAlignment="1">
      <alignment horizontal="left" vertical="center"/>
    </xf>
    <xf numFmtId="2" fontId="4" fillId="10" borderId="7" xfId="0" applyNumberFormat="1" applyFont="1" applyFill="1" applyBorder="1" applyAlignment="1">
      <alignment horizontal="center" vertical="center"/>
    </xf>
    <xf numFmtId="2" fontId="4" fillId="10" borderId="10" xfId="0" applyNumberFormat="1" applyFont="1" applyFill="1" applyBorder="1" applyAlignment="1">
      <alignment horizontal="center" vertical="center"/>
    </xf>
    <xf numFmtId="2" fontId="4" fillId="10" borderId="2" xfId="0" applyNumberFormat="1" applyFont="1" applyFill="1" applyBorder="1" applyAlignment="1">
      <alignment horizontal="center" vertical="center"/>
    </xf>
    <xf numFmtId="2" fontId="4" fillId="10" borderId="14" xfId="0" applyNumberFormat="1" applyFont="1" applyFill="1" applyBorder="1" applyAlignment="1">
      <alignment horizontal="center" vertical="center"/>
    </xf>
    <xf numFmtId="2" fontId="4" fillId="10" borderId="3" xfId="0" applyNumberFormat="1" applyFont="1" applyFill="1" applyBorder="1" applyAlignment="1">
      <alignment horizontal="center" vertical="center"/>
    </xf>
    <xf numFmtId="2" fontId="5" fillId="0" borderId="2" xfId="0" applyNumberFormat="1" applyFont="1" applyFill="1" applyBorder="1" applyAlignment="1">
      <alignment horizontal="center" vertical="center"/>
    </xf>
    <xf numFmtId="2" fontId="5" fillId="0" borderId="14" xfId="0" applyNumberFormat="1" applyFont="1" applyFill="1" applyBorder="1" applyAlignment="1">
      <alignment horizontal="center" vertical="center"/>
    </xf>
    <xf numFmtId="2" fontId="5" fillId="0" borderId="3" xfId="0" applyNumberFormat="1" applyFont="1" applyFill="1" applyBorder="1" applyAlignment="1">
      <alignment horizontal="center" vertical="center"/>
    </xf>
    <xf numFmtId="0" fontId="4" fillId="10" borderId="9" xfId="0" applyFont="1" applyFill="1" applyBorder="1" applyAlignment="1">
      <alignment horizontal="left" vertical="center"/>
    </xf>
    <xf numFmtId="0" fontId="4" fillId="10" borderId="12" xfId="0" applyFont="1" applyFill="1" applyBorder="1" applyAlignment="1">
      <alignment horizontal="left" vertical="center"/>
    </xf>
    <xf numFmtId="0" fontId="4" fillId="3" borderId="2"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2" fontId="4" fillId="3" borderId="2" xfId="0" applyNumberFormat="1" applyFont="1" applyFill="1" applyBorder="1" applyAlignment="1">
      <alignment horizontal="center" vertical="center"/>
    </xf>
    <xf numFmtId="2" fontId="4" fillId="3" borderId="3" xfId="0" applyNumberFormat="1" applyFont="1" applyFill="1" applyBorder="1" applyAlignment="1">
      <alignment horizontal="center" vertical="center"/>
    </xf>
    <xf numFmtId="2" fontId="4" fillId="3" borderId="14" xfId="0" applyNumberFormat="1" applyFont="1" applyFill="1" applyBorder="1" applyAlignment="1">
      <alignment horizontal="center" vertical="center"/>
    </xf>
    <xf numFmtId="0" fontId="4" fillId="4" borderId="2" xfId="0" applyFont="1" applyFill="1" applyBorder="1" applyAlignment="1">
      <alignment horizontal="left" vertical="center"/>
    </xf>
    <xf numFmtId="0" fontId="4" fillId="4" borderId="14" xfId="0" applyFont="1" applyFill="1" applyBorder="1" applyAlignment="1">
      <alignment horizontal="left" vertical="center"/>
    </xf>
    <xf numFmtId="2" fontId="4" fillId="4" borderId="2" xfId="0" applyNumberFormat="1" applyFont="1" applyFill="1" applyBorder="1" applyAlignment="1">
      <alignment horizontal="center" vertical="center"/>
    </xf>
    <xf numFmtId="2" fontId="4" fillId="4" borderId="14" xfId="0" applyNumberFormat="1" applyFont="1" applyFill="1" applyBorder="1" applyAlignment="1">
      <alignment horizontal="center" vertical="center"/>
    </xf>
    <xf numFmtId="2" fontId="4" fillId="4" borderId="3" xfId="0" applyNumberFormat="1" applyFont="1" applyFill="1" applyBorder="1" applyAlignment="1">
      <alignment horizontal="center" vertical="center"/>
    </xf>
    <xf numFmtId="2" fontId="4" fillId="0" borderId="2" xfId="0" applyNumberFormat="1" applyFont="1" applyFill="1" applyBorder="1" applyAlignment="1">
      <alignment horizontal="center" vertical="center" wrapText="1"/>
    </xf>
    <xf numFmtId="2" fontId="4" fillId="0" borderId="14" xfId="0" applyNumberFormat="1" applyFont="1" applyFill="1" applyBorder="1" applyAlignment="1">
      <alignment horizontal="center" vertical="center" wrapText="1"/>
    </xf>
    <xf numFmtId="2" fontId="4" fillId="0" borderId="3" xfId="0" applyNumberFormat="1" applyFont="1" applyFill="1" applyBorder="1" applyAlignment="1">
      <alignment horizontal="center" vertical="center" wrapText="1"/>
    </xf>
    <xf numFmtId="0" fontId="4" fillId="4" borderId="3" xfId="0" applyFont="1" applyFill="1" applyBorder="1" applyAlignment="1">
      <alignment horizontal="left" vertical="center"/>
    </xf>
    <xf numFmtId="2" fontId="4" fillId="4" borderId="7" xfId="0" applyNumberFormat="1" applyFont="1" applyFill="1" applyBorder="1" applyAlignment="1">
      <alignment horizontal="center" vertical="center"/>
    </xf>
    <xf numFmtId="2" fontId="4" fillId="4" borderId="10" xfId="0" applyNumberFormat="1" applyFont="1" applyFill="1" applyBorder="1" applyAlignment="1">
      <alignment horizontal="center" vertical="center"/>
    </xf>
    <xf numFmtId="0" fontId="4" fillId="11" borderId="2" xfId="0" applyFont="1" applyFill="1" applyBorder="1" applyAlignment="1">
      <alignment horizontal="left" vertical="center"/>
    </xf>
    <xf numFmtId="0" fontId="4" fillId="11" borderId="14" xfId="0" applyFont="1" applyFill="1" applyBorder="1" applyAlignment="1">
      <alignment horizontal="left" vertical="center"/>
    </xf>
    <xf numFmtId="0" fontId="4" fillId="11" borderId="3" xfId="0" applyFont="1" applyFill="1" applyBorder="1" applyAlignment="1">
      <alignment horizontal="left" vertical="center"/>
    </xf>
    <xf numFmtId="2" fontId="4" fillId="11" borderId="2" xfId="0" applyNumberFormat="1" applyFont="1" applyFill="1" applyBorder="1" applyAlignment="1">
      <alignment horizontal="center" vertical="center"/>
    </xf>
    <xf numFmtId="2" fontId="4" fillId="11" borderId="14" xfId="0" applyNumberFormat="1" applyFont="1" applyFill="1" applyBorder="1" applyAlignment="1">
      <alignment horizontal="center" vertical="center"/>
    </xf>
    <xf numFmtId="2" fontId="4" fillId="11" borderId="3" xfId="0" applyNumberFormat="1" applyFont="1" applyFill="1" applyBorder="1" applyAlignment="1">
      <alignment horizontal="center" vertical="center"/>
    </xf>
    <xf numFmtId="2" fontId="4" fillId="5" borderId="14" xfId="0" applyNumberFormat="1" applyFont="1" applyFill="1" applyBorder="1" applyAlignment="1">
      <alignment horizontal="center" vertical="center"/>
    </xf>
    <xf numFmtId="0" fontId="3" fillId="0" borderId="1" xfId="0" applyFont="1" applyBorder="1" applyAlignment="1">
      <alignment horizont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4" fillId="7" borderId="1" xfId="0" applyFont="1" applyFill="1" applyBorder="1" applyAlignment="1" applyProtection="1">
      <alignment horizontal="center" vertical="center"/>
      <protection locked="0"/>
    </xf>
    <xf numFmtId="0" fontId="4" fillId="0" borderId="4" xfId="0" applyFont="1" applyFill="1" applyBorder="1" applyAlignment="1">
      <alignment horizontal="center" vertical="center"/>
    </xf>
    <xf numFmtId="0" fontId="4" fillId="0" borderId="6" xfId="0" applyFont="1" applyFill="1" applyBorder="1" applyAlignment="1">
      <alignment horizontal="center" vertical="center"/>
    </xf>
    <xf numFmtId="0" fontId="5" fillId="0" borderId="6"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4" fillId="0" borderId="4"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8" fillId="0" borderId="0" xfId="0" applyFont="1" applyAlignment="1">
      <alignment horizontal="center"/>
    </xf>
    <xf numFmtId="0" fontId="0" fillId="0" borderId="0" xfId="0" applyBorder="1" applyAlignment="1">
      <alignment horizontal="center"/>
    </xf>
    <xf numFmtId="16" fontId="11" fillId="0" borderId="0" xfId="0" quotePrefix="1" applyNumberFormat="1" applyFont="1" applyAlignment="1">
      <alignment horizontal="center"/>
    </xf>
    <xf numFmtId="0" fontId="8" fillId="0" borderId="0" xfId="0" applyFont="1" applyAlignment="1">
      <alignment horizontal="center" vertical="center" wrapText="1"/>
    </xf>
    <xf numFmtId="0" fontId="8" fillId="0" borderId="0" xfId="0" applyFont="1" applyAlignment="1">
      <alignment horizontal="center" vertical="center"/>
    </xf>
  </cellXfs>
  <cellStyles count="4">
    <cellStyle name="40% - Accent1" xfId="2" builtinId="31"/>
    <cellStyle name="Normal" xfId="0" builtinId="0"/>
    <cellStyle name="Normal 2" xfId="1" xr:uid="{00000000-0005-0000-0000-000002000000}"/>
    <cellStyle name="Percent" xfId="3" builtinId="5"/>
  </cellStyles>
  <dxfs count="907">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t>
            </a:r>
            <a:r>
              <a:rPr lang="en-US" baseline="0"/>
              <a:t> Impervious Cover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13899831881942171"/>
                  <c:y val="-0.3508690280639740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'Reference Standards'!#REF!</c:f>
            </c:numRef>
          </c:xVal>
          <c:yVal>
            <c:numRef>
              <c:f>'Reference Standards'!#REF!</c:f>
              <c:numCache>
                <c:formatCode>General</c:formatCode>
                <c:ptCount val="1"/>
                <c:pt idx="0">
                  <c:v>1</c:v>
                </c:pt>
              </c:numCache>
            </c:numRef>
          </c:yVal>
          <c:smooth val="0"/>
          <c:extLst>
            <c:ext xmlns:c16="http://schemas.microsoft.com/office/drawing/2014/chart" uri="{C3380CC4-5D6E-409C-BE32-E72D297353CC}">
              <c16:uniqueId val="{00000000-6D1A-4B46-B753-5EE7BFC8112A}"/>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5.9288715306053522E-2"/>
                  <c:y val="-0.18373373776166552"/>
                </c:manualLayout>
              </c:layout>
              <c:numFmt formatCode="#,##0.0000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'Reference Standards'!#REF!</c:f>
            </c:numRef>
          </c:xVal>
          <c:yVal>
            <c:numRef>
              <c:f>'Reference Standards'!#REF!</c:f>
              <c:numCache>
                <c:formatCode>General</c:formatCode>
                <c:ptCount val="1"/>
                <c:pt idx="0">
                  <c:v>1</c:v>
                </c:pt>
              </c:numCache>
            </c:numRef>
          </c:yVal>
          <c:smooth val="0"/>
          <c:extLst>
            <c:ext xmlns:c16="http://schemas.microsoft.com/office/drawing/2014/chart" uri="{C3380CC4-5D6E-409C-BE32-E72D297353CC}">
              <c16:uniqueId val="{00000000-C453-49FD-BCE0-42FA69BC7CEE}"/>
            </c:ext>
          </c:extLst>
        </c:ser>
        <c:dLbls>
          <c:showLegendKey val="0"/>
          <c:showVal val="0"/>
          <c:showCatName val="0"/>
          <c:showSerName val="0"/>
          <c:showPercent val="0"/>
          <c:showBubbleSize val="0"/>
        </c:dLbls>
        <c:axId val="409643520"/>
        <c:axId val="409643912"/>
      </c:scatterChart>
      <c:valAx>
        <c:axId val="40964352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643912"/>
        <c:crosses val="autoZero"/>
        <c:crossBetween val="midCat"/>
      </c:valAx>
      <c:valAx>
        <c:axId val="40964391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64352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47624</xdr:colOff>
      <xdr:row>20</xdr:row>
      <xdr:rowOff>0</xdr:rowOff>
    </xdr:from>
    <xdr:to>
      <xdr:col>3</xdr:col>
      <xdr:colOff>2598419</xdr:colOff>
      <xdr:row>23</xdr:row>
      <xdr:rowOff>106679</xdr:rowOff>
    </xdr:to>
    <xdr:sp macro="" textlink="">
      <xdr:nvSpPr>
        <xdr:cNvPr id="3" name="TextBox 2">
          <a:extLst>
            <a:ext uri="{FF2B5EF4-FFF2-40B4-BE49-F238E27FC236}">
              <a16:creationId xmlns:a16="http://schemas.microsoft.com/office/drawing/2014/main" id="{F77C9C77-5261-411E-B82D-4C960BC8F36D}"/>
            </a:ext>
          </a:extLst>
        </xdr:cNvPr>
        <xdr:cNvSpPr txBox="1"/>
      </xdr:nvSpPr>
      <xdr:spPr>
        <a:xfrm>
          <a:off x="47624" y="4152900"/>
          <a:ext cx="4303395" cy="670559"/>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300" b="1"/>
            <a:t>NOTICE: </a:t>
          </a:r>
          <a:r>
            <a:rPr lang="en-US" sz="1100" baseline="0">
              <a:solidFill>
                <a:sysClr val="windowText" lastClr="000000"/>
              </a:solidFill>
            </a:rPr>
            <a:t>If you find errors or problems, please </a:t>
          </a:r>
          <a:r>
            <a:rPr lang="en-US" sz="1100" baseline="0">
              <a:solidFill>
                <a:schemeClr val="dk1"/>
              </a:solidFill>
              <a:effectLst/>
              <a:latin typeface="+mn-lt"/>
              <a:ea typeface="+mn-ea"/>
              <a:cs typeface="+mn-cs"/>
            </a:rPr>
            <a:t> contact </a:t>
          </a:r>
          <a:r>
            <a:rPr lang="en-US" sz="1100">
              <a:solidFill>
                <a:schemeClr val="dk1"/>
              </a:solidFill>
              <a:effectLst/>
              <a:latin typeface="+mn-lt"/>
              <a:ea typeface="+mn-ea"/>
              <a:cs typeface="+mn-cs"/>
            </a:rPr>
            <a:t>USACE, Alaska District </a:t>
          </a:r>
          <a:r>
            <a:rPr lang="en-US" sz="1100" baseline="0">
              <a:solidFill>
                <a:schemeClr val="dk1"/>
              </a:solidFill>
              <a:effectLst/>
              <a:latin typeface="+mn-lt"/>
              <a:ea typeface="+mn-ea"/>
              <a:cs typeface="+mn-cs"/>
            </a:rPr>
            <a:t>at </a:t>
          </a:r>
          <a:r>
            <a:rPr lang="en-US" sz="1100" b="0" i="0">
              <a:solidFill>
                <a:schemeClr val="dk1"/>
              </a:solidFill>
              <a:effectLst/>
              <a:latin typeface="+mn-lt"/>
              <a:ea typeface="+mn-ea"/>
              <a:cs typeface="+mn-cs"/>
            </a:rPr>
            <a:t>regpagemaster@usace.army.mil</a:t>
          </a:r>
          <a:endParaRPr lang="en-US">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29028</xdr:colOff>
      <xdr:row>133</xdr:row>
      <xdr:rowOff>0</xdr:rowOff>
    </xdr:from>
    <xdr:to>
      <xdr:col>9</xdr:col>
      <xdr:colOff>0</xdr:colOff>
      <xdr:row>133</xdr:row>
      <xdr:rowOff>0</xdr:rowOff>
    </xdr:to>
    <xdr:graphicFrame macro="">
      <xdr:nvGraphicFramePr>
        <xdr:cNvPr id="49" name="Chart 48">
          <a:extLst>
            <a:ext uri="{FF2B5EF4-FFF2-40B4-BE49-F238E27FC236}">
              <a16:creationId xmlns:a16="http://schemas.microsoft.com/office/drawing/2014/main" id="{00000000-0008-0000-04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40"/>
  <sheetViews>
    <sheetView tabSelected="1" zoomScaleNormal="100" zoomScaleSheetLayoutView="100" workbookViewId="0">
      <selection activeCell="A10" sqref="A10:A19"/>
    </sheetView>
  </sheetViews>
  <sheetFormatPr defaultRowHeight="15" x14ac:dyDescent="0.25"/>
  <cols>
    <col min="1" max="1" width="12.140625" customWidth="1"/>
    <col min="2" max="2" width="12.140625" style="4" customWidth="1"/>
    <col min="3" max="3" width="12.140625" customWidth="1"/>
    <col min="4" max="4" width="45.140625" bestFit="1" customWidth="1"/>
    <col min="5" max="5" width="12.7109375" customWidth="1"/>
    <col min="6" max="6" width="12.85546875" customWidth="1"/>
    <col min="7" max="7" width="7.85546875" customWidth="1"/>
    <col min="11" max="11" width="93" style="4" customWidth="1"/>
  </cols>
  <sheetData>
    <row r="1" spans="1:27" x14ac:dyDescent="0.25">
      <c r="A1" s="3" t="s">
        <v>367</v>
      </c>
      <c r="B1" s="3"/>
      <c r="C1" s="3"/>
      <c r="D1" s="3"/>
      <c r="E1" s="4"/>
      <c r="F1" s="4"/>
      <c r="G1" s="4"/>
      <c r="H1" s="4"/>
      <c r="I1" s="4"/>
      <c r="J1" s="4"/>
      <c r="L1" s="4"/>
      <c r="M1" s="4"/>
      <c r="N1" s="4"/>
      <c r="O1" s="4"/>
      <c r="P1" s="4"/>
      <c r="Q1" s="4"/>
      <c r="R1" s="4"/>
      <c r="S1" s="4"/>
      <c r="T1" s="4"/>
      <c r="U1" s="4"/>
      <c r="V1" s="4"/>
      <c r="W1" s="4"/>
      <c r="X1" s="4"/>
      <c r="Y1" s="4"/>
      <c r="Z1" s="4"/>
      <c r="AA1" s="4"/>
    </row>
    <row r="2" spans="1:27" x14ac:dyDescent="0.25">
      <c r="A2" s="3" t="s">
        <v>64</v>
      </c>
      <c r="B2" s="3"/>
      <c r="C2" s="3"/>
      <c r="D2" s="289">
        <v>44351</v>
      </c>
      <c r="E2" s="4"/>
      <c r="F2" s="4"/>
      <c r="G2" s="4"/>
      <c r="H2" s="4"/>
      <c r="I2" s="4"/>
      <c r="J2" s="4"/>
      <c r="K2" s="4" t="s">
        <v>186</v>
      </c>
      <c r="L2" s="4"/>
      <c r="M2" s="4"/>
      <c r="N2" s="4"/>
      <c r="O2" s="4"/>
      <c r="P2" s="4"/>
      <c r="Q2" s="4"/>
      <c r="R2" s="4"/>
      <c r="S2" s="4"/>
      <c r="T2" s="4"/>
      <c r="U2" s="4"/>
      <c r="V2" s="4"/>
      <c r="W2" s="4"/>
      <c r="X2" s="4"/>
      <c r="Y2" s="4"/>
      <c r="Z2" s="4"/>
      <c r="AA2" s="4"/>
    </row>
    <row r="3" spans="1:27" s="4" customFormat="1" ht="7.9" customHeight="1" x14ac:dyDescent="0.25">
      <c r="D3" s="77"/>
    </row>
    <row r="4" spans="1:27" ht="19.5" thickBot="1" x14ac:dyDescent="0.35">
      <c r="A4" s="338" t="s">
        <v>361</v>
      </c>
      <c r="B4" s="338"/>
      <c r="C4" s="339"/>
      <c r="D4" s="339"/>
      <c r="E4" s="339"/>
      <c r="F4" s="339"/>
      <c r="G4" s="339"/>
      <c r="H4" s="339"/>
      <c r="I4" s="339"/>
      <c r="K4" s="331"/>
    </row>
    <row r="5" spans="1:27" ht="19.5" thickBot="1" x14ac:dyDescent="0.35">
      <c r="A5" s="340" t="s">
        <v>106</v>
      </c>
      <c r="B5" s="341"/>
      <c r="C5" s="342"/>
      <c r="D5" s="343"/>
      <c r="E5" s="344"/>
      <c r="F5" s="345"/>
      <c r="G5" s="346" t="s">
        <v>107</v>
      </c>
      <c r="H5" s="347"/>
      <c r="I5" s="348"/>
      <c r="K5" s="331"/>
    </row>
    <row r="6" spans="1:27" ht="19.5" thickBot="1" x14ac:dyDescent="0.35">
      <c r="A6" s="349" t="s">
        <v>108</v>
      </c>
      <c r="B6" s="347"/>
      <c r="C6" s="348"/>
      <c r="D6" s="350"/>
      <c r="E6" s="351"/>
      <c r="F6" s="352"/>
      <c r="G6" s="332">
        <f>'Debit Calculator'!H18</f>
        <v>0</v>
      </c>
      <c r="H6" s="333"/>
      <c r="I6" s="334"/>
      <c r="J6" s="19"/>
      <c r="K6" s="331"/>
      <c r="L6" s="19"/>
      <c r="M6" s="4"/>
      <c r="N6" s="44"/>
      <c r="O6" s="45"/>
    </row>
    <row r="7" spans="1:27" ht="34.9" customHeight="1" thickBot="1" x14ac:dyDescent="0.35">
      <c r="A7" s="353" t="s">
        <v>109</v>
      </c>
      <c r="B7" s="354"/>
      <c r="C7" s="355"/>
      <c r="D7" s="140"/>
      <c r="E7" s="67" t="s">
        <v>110</v>
      </c>
      <c r="F7" s="141"/>
      <c r="G7" s="335"/>
      <c r="H7" s="336"/>
      <c r="I7" s="337"/>
      <c r="J7" s="19"/>
      <c r="K7" s="331"/>
      <c r="L7" s="19"/>
      <c r="M7" s="4"/>
      <c r="N7" s="44"/>
      <c r="O7" s="45"/>
    </row>
    <row r="8" spans="1:27" ht="34.9" customHeight="1" thickBot="1" x14ac:dyDescent="0.3">
      <c r="A8" s="356" t="s">
        <v>111</v>
      </c>
      <c r="B8" s="357"/>
      <c r="C8" s="358"/>
      <c r="D8" s="359"/>
      <c r="E8" s="360"/>
      <c r="F8" s="360"/>
      <c r="G8" s="360"/>
      <c r="H8" s="360"/>
      <c r="I8" s="361"/>
      <c r="J8" s="19"/>
      <c r="K8" s="331"/>
      <c r="L8" s="19"/>
      <c r="M8" s="4"/>
      <c r="N8" s="44"/>
      <c r="O8" s="45"/>
    </row>
    <row r="9" spans="1:27" ht="30.75" thickBot="1" x14ac:dyDescent="0.3">
      <c r="A9" s="142" t="s">
        <v>318</v>
      </c>
      <c r="B9" s="146" t="s">
        <v>158</v>
      </c>
      <c r="C9" s="133" t="s">
        <v>169</v>
      </c>
      <c r="D9" s="325" t="s">
        <v>185</v>
      </c>
      <c r="E9" s="326"/>
      <c r="F9" s="362" t="s">
        <v>112</v>
      </c>
      <c r="G9" s="362"/>
      <c r="H9" s="362" t="s">
        <v>113</v>
      </c>
      <c r="I9" s="363"/>
      <c r="J9" s="19"/>
      <c r="K9" s="331"/>
      <c r="L9" s="19"/>
      <c r="M9" s="4"/>
      <c r="N9" s="44"/>
      <c r="O9" s="45"/>
    </row>
    <row r="10" spans="1:27" ht="15.75" x14ac:dyDescent="0.25">
      <c r="A10" s="143"/>
      <c r="B10" s="117"/>
      <c r="C10" s="117"/>
      <c r="D10" s="327"/>
      <c r="E10" s="327"/>
      <c r="F10" s="327"/>
      <c r="G10" s="327"/>
      <c r="H10" s="327"/>
      <c r="I10" s="364"/>
      <c r="J10" s="19"/>
      <c r="K10" s="331"/>
      <c r="L10" s="19"/>
      <c r="M10" s="4"/>
      <c r="N10" s="44"/>
      <c r="O10" s="45"/>
    </row>
    <row r="11" spans="1:27" ht="15.75" x14ac:dyDescent="0.25">
      <c r="A11" s="144"/>
      <c r="B11" s="117"/>
      <c r="C11" s="117"/>
      <c r="D11" s="324"/>
      <c r="E11" s="324"/>
      <c r="F11" s="324"/>
      <c r="G11" s="324"/>
      <c r="H11" s="324"/>
      <c r="I11" s="365"/>
      <c r="J11" s="19"/>
      <c r="K11" s="331"/>
      <c r="L11" s="19"/>
      <c r="M11" s="4"/>
      <c r="N11" s="44"/>
      <c r="O11" s="45"/>
    </row>
    <row r="12" spans="1:27" ht="15.75" x14ac:dyDescent="0.25">
      <c r="A12" s="144"/>
      <c r="B12" s="117"/>
      <c r="C12" s="117"/>
      <c r="D12" s="324"/>
      <c r="E12" s="324"/>
      <c r="F12" s="324"/>
      <c r="G12" s="324"/>
      <c r="H12" s="324"/>
      <c r="I12" s="365"/>
      <c r="J12" s="19"/>
      <c r="K12" s="331"/>
      <c r="L12" s="19"/>
      <c r="M12" s="4"/>
      <c r="N12" s="44"/>
      <c r="O12" s="45"/>
    </row>
    <row r="13" spans="1:27" ht="15.75" x14ac:dyDescent="0.25">
      <c r="A13" s="144"/>
      <c r="B13" s="117"/>
      <c r="C13" s="117"/>
      <c r="D13" s="324"/>
      <c r="E13" s="324"/>
      <c r="F13" s="324"/>
      <c r="G13" s="324"/>
      <c r="H13" s="324"/>
      <c r="I13" s="365"/>
      <c r="J13" s="19"/>
      <c r="K13" s="331"/>
      <c r="L13" s="19"/>
      <c r="M13" s="4"/>
      <c r="N13" s="44"/>
      <c r="O13" s="45"/>
    </row>
    <row r="14" spans="1:27" ht="15.75" x14ac:dyDescent="0.25">
      <c r="A14" s="144"/>
      <c r="B14" s="117"/>
      <c r="C14" s="117"/>
      <c r="D14" s="324"/>
      <c r="E14" s="324"/>
      <c r="F14" s="324"/>
      <c r="G14" s="324"/>
      <c r="H14" s="324"/>
      <c r="I14" s="365"/>
      <c r="J14" s="19"/>
      <c r="K14" s="331"/>
      <c r="L14" s="19"/>
      <c r="M14" s="4"/>
      <c r="N14" s="44"/>
      <c r="O14" s="45"/>
    </row>
    <row r="15" spans="1:27" ht="15.75" x14ac:dyDescent="0.25">
      <c r="A15" s="144"/>
      <c r="B15" s="117"/>
      <c r="C15" s="117"/>
      <c r="D15" s="324"/>
      <c r="E15" s="324"/>
      <c r="F15" s="324"/>
      <c r="G15" s="324"/>
      <c r="H15" s="324"/>
      <c r="I15" s="365"/>
      <c r="J15" s="19"/>
      <c r="K15" s="331"/>
      <c r="L15" s="19"/>
      <c r="M15" s="4"/>
      <c r="N15" s="44"/>
      <c r="O15" s="45"/>
    </row>
    <row r="16" spans="1:27" ht="15.75" x14ac:dyDescent="0.25">
      <c r="A16" s="144"/>
      <c r="B16" s="117"/>
      <c r="C16" s="117"/>
      <c r="D16" s="324"/>
      <c r="E16" s="324"/>
      <c r="F16" s="324"/>
      <c r="G16" s="324"/>
      <c r="H16" s="324"/>
      <c r="I16" s="365"/>
      <c r="J16" s="19"/>
      <c r="K16" s="331"/>
      <c r="L16" s="19"/>
      <c r="M16" s="4"/>
      <c r="N16" s="44"/>
      <c r="O16" s="45"/>
    </row>
    <row r="17" spans="1:27" ht="15.75" x14ac:dyDescent="0.25">
      <c r="A17" s="144"/>
      <c r="B17" s="117"/>
      <c r="C17" s="117"/>
      <c r="D17" s="324"/>
      <c r="E17" s="324"/>
      <c r="F17" s="324"/>
      <c r="G17" s="324"/>
      <c r="H17" s="324"/>
      <c r="I17" s="365"/>
      <c r="J17" s="19"/>
      <c r="K17" s="331"/>
      <c r="L17" s="19"/>
      <c r="M17" s="4"/>
      <c r="N17" s="44"/>
      <c r="O17" s="45"/>
    </row>
    <row r="18" spans="1:27" ht="15.75" x14ac:dyDescent="0.25">
      <c r="A18" s="144"/>
      <c r="B18" s="117"/>
      <c r="C18" s="117"/>
      <c r="D18" s="324"/>
      <c r="E18" s="324"/>
      <c r="F18" s="324"/>
      <c r="G18" s="324"/>
      <c r="H18" s="324"/>
      <c r="I18" s="365"/>
      <c r="J18" s="19"/>
      <c r="K18" s="331"/>
      <c r="L18" s="19"/>
      <c r="M18" s="4"/>
      <c r="N18" s="44"/>
      <c r="O18" s="45"/>
    </row>
    <row r="19" spans="1:27" ht="16.5" thickBot="1" x14ac:dyDescent="0.3">
      <c r="A19" s="145"/>
      <c r="B19" s="147"/>
      <c r="C19" s="147"/>
      <c r="D19" s="369"/>
      <c r="E19" s="369"/>
      <c r="F19" s="369"/>
      <c r="G19" s="369"/>
      <c r="H19" s="369"/>
      <c r="I19" s="370"/>
      <c r="J19" s="19"/>
      <c r="K19" s="331"/>
      <c r="L19" s="19"/>
      <c r="M19" s="4"/>
      <c r="N19" s="44"/>
      <c r="O19" s="45"/>
    </row>
    <row r="20" spans="1:27" x14ac:dyDescent="0.25">
      <c r="C20" s="19"/>
      <c r="D20" s="19"/>
      <c r="E20" s="19"/>
      <c r="F20" s="19"/>
      <c r="G20" s="19"/>
      <c r="H20" s="19"/>
      <c r="I20" s="19"/>
      <c r="J20" s="19"/>
      <c r="K20" s="19"/>
      <c r="L20" s="19"/>
      <c r="M20" s="4"/>
      <c r="N20" s="4"/>
      <c r="O20" s="4"/>
    </row>
    <row r="21" spans="1:27" ht="15.75" x14ac:dyDescent="0.25">
      <c r="E21" s="366" t="s">
        <v>184</v>
      </c>
      <c r="F21" s="367"/>
      <c r="G21" s="367"/>
      <c r="H21" s="368"/>
      <c r="K21" s="19"/>
      <c r="L21" s="4"/>
      <c r="M21" s="4"/>
      <c r="N21" s="4"/>
      <c r="O21" s="4"/>
      <c r="P21" s="4"/>
      <c r="Q21" s="4"/>
      <c r="R21" s="4"/>
      <c r="S21" s="4"/>
      <c r="T21" s="4"/>
      <c r="U21" s="4"/>
      <c r="V21" s="4"/>
      <c r="W21" s="4"/>
      <c r="X21" s="4"/>
      <c r="Y21" s="4"/>
      <c r="Z21" s="4"/>
      <c r="AA21" s="4"/>
    </row>
    <row r="22" spans="1:27" s="4" customFormat="1" x14ac:dyDescent="0.25">
      <c r="E22" s="328" t="s">
        <v>183</v>
      </c>
      <c r="F22" s="329"/>
      <c r="G22" s="329"/>
      <c r="H22" s="330"/>
      <c r="K22" s="19"/>
    </row>
    <row r="23" spans="1:27" s="4" customFormat="1" x14ac:dyDescent="0.25">
      <c r="K23" s="19"/>
    </row>
    <row r="24" spans="1:27" s="4" customFormat="1" x14ac:dyDescent="0.25">
      <c r="K24" s="19"/>
    </row>
    <row r="25" spans="1:27" x14ac:dyDescent="0.25">
      <c r="A25" s="5" t="s">
        <v>362</v>
      </c>
      <c r="B25" s="5"/>
      <c r="C25" s="4"/>
      <c r="D25" s="4"/>
      <c r="E25" s="4"/>
      <c r="F25" s="4"/>
      <c r="G25" s="4"/>
      <c r="H25" s="4"/>
      <c r="I25" s="4"/>
      <c r="J25" s="4"/>
      <c r="K25" s="19"/>
      <c r="L25" s="4"/>
      <c r="M25" s="4"/>
      <c r="N25" s="4"/>
      <c r="O25" s="4"/>
      <c r="P25" s="4"/>
      <c r="Q25" s="4"/>
      <c r="R25" s="4"/>
      <c r="S25" s="4"/>
      <c r="T25" s="4"/>
      <c r="U25" s="4"/>
      <c r="V25" s="4"/>
      <c r="W25" s="4"/>
      <c r="X25" s="4"/>
      <c r="Y25" s="4"/>
      <c r="Z25" s="4"/>
      <c r="AA25" s="4"/>
    </row>
    <row r="26" spans="1:27" s="4" customFormat="1" x14ac:dyDescent="0.25">
      <c r="A26" s="5" t="s">
        <v>175</v>
      </c>
      <c r="K26" s="19"/>
    </row>
    <row r="27" spans="1:27" s="4" customFormat="1" x14ac:dyDescent="0.25">
      <c r="A27" s="5"/>
      <c r="B27" s="4" t="s">
        <v>176</v>
      </c>
      <c r="K27" s="19"/>
    </row>
    <row r="28" spans="1:27" s="3" customFormat="1" x14ac:dyDescent="0.25">
      <c r="A28" s="4"/>
      <c r="B28" s="52" t="s">
        <v>177</v>
      </c>
      <c r="C28" s="4"/>
      <c r="D28" s="4"/>
      <c r="E28" s="4"/>
      <c r="K28" s="19"/>
    </row>
    <row r="29" spans="1:27" s="3" customFormat="1" x14ac:dyDescent="0.25">
      <c r="A29" s="4"/>
      <c r="B29" s="4" t="s">
        <v>178</v>
      </c>
      <c r="C29" s="4"/>
      <c r="D29" s="4"/>
      <c r="E29" s="4"/>
      <c r="K29" s="19"/>
    </row>
    <row r="30" spans="1:27" s="3" customFormat="1" x14ac:dyDescent="0.25">
      <c r="A30" s="4"/>
      <c r="B30" s="52" t="s">
        <v>77</v>
      </c>
      <c r="C30" s="4"/>
      <c r="D30" s="4"/>
      <c r="E30" s="4"/>
      <c r="K30" s="19"/>
    </row>
    <row r="31" spans="1:27" s="3" customFormat="1" x14ac:dyDescent="0.25">
      <c r="A31" s="4"/>
      <c r="B31" s="52" t="s">
        <v>179</v>
      </c>
      <c r="C31" s="52"/>
      <c r="D31" s="4"/>
      <c r="E31" s="4"/>
      <c r="K31" s="19"/>
    </row>
    <row r="32" spans="1:27" s="3" customFormat="1" x14ac:dyDescent="0.25">
      <c r="A32" s="4"/>
      <c r="B32" s="52" t="s">
        <v>180</v>
      </c>
      <c r="C32" s="4"/>
      <c r="D32" s="4"/>
      <c r="E32" s="4"/>
      <c r="K32" s="19"/>
    </row>
    <row r="33" spans="1:27" s="4" customFormat="1" x14ac:dyDescent="0.25">
      <c r="B33" s="52" t="s">
        <v>181</v>
      </c>
    </row>
    <row r="34" spans="1:27" s="3" customFormat="1" x14ac:dyDescent="0.25">
      <c r="A34" s="5" t="s">
        <v>78</v>
      </c>
      <c r="B34" s="4"/>
      <c r="C34" s="4"/>
      <c r="D34" s="4"/>
      <c r="E34" s="4"/>
    </row>
    <row r="35" spans="1:27" x14ac:dyDescent="0.25">
      <c r="A35" s="4" t="s">
        <v>182</v>
      </c>
      <c r="C35" s="4"/>
      <c r="D35" s="4"/>
      <c r="E35" s="4"/>
      <c r="F35" s="4"/>
      <c r="G35" s="4"/>
      <c r="H35" s="4"/>
      <c r="I35" s="4"/>
      <c r="J35" s="4"/>
      <c r="L35" s="4"/>
      <c r="M35" s="4"/>
      <c r="N35" s="4"/>
      <c r="O35" s="4"/>
      <c r="P35" s="4"/>
      <c r="Q35" s="4"/>
      <c r="R35" s="4"/>
      <c r="S35" s="4"/>
      <c r="T35" s="4"/>
      <c r="U35" s="4"/>
      <c r="V35" s="4"/>
      <c r="W35" s="4"/>
      <c r="X35" s="4"/>
      <c r="Y35" s="4"/>
      <c r="Z35" s="4"/>
      <c r="AA35" s="4"/>
    </row>
    <row r="36" spans="1:27" x14ac:dyDescent="0.25">
      <c r="A36" s="4" t="s">
        <v>248</v>
      </c>
      <c r="C36" s="4"/>
      <c r="D36" s="4"/>
      <c r="E36" s="4"/>
      <c r="F36" s="4"/>
      <c r="G36" s="4"/>
      <c r="H36" s="4"/>
      <c r="I36" s="4"/>
      <c r="J36" s="4"/>
      <c r="L36" s="4"/>
      <c r="M36" s="4"/>
      <c r="N36" s="4"/>
      <c r="O36" s="4"/>
      <c r="P36" s="4"/>
      <c r="Q36" s="4"/>
      <c r="R36" s="4"/>
      <c r="S36" s="4"/>
      <c r="T36" s="4"/>
      <c r="U36" s="4"/>
      <c r="V36" s="4"/>
      <c r="W36" s="4"/>
      <c r="X36" s="4"/>
      <c r="Y36" s="4"/>
      <c r="Z36" s="4"/>
      <c r="AA36" s="4"/>
    </row>
    <row r="37" spans="1:27" x14ac:dyDescent="0.25">
      <c r="A37" s="4" t="s">
        <v>176</v>
      </c>
      <c r="C37" s="4"/>
      <c r="D37" s="4"/>
      <c r="E37" s="4"/>
      <c r="F37" s="4"/>
      <c r="G37" s="4"/>
      <c r="H37" s="4"/>
      <c r="I37" s="4"/>
      <c r="J37" s="4"/>
      <c r="L37" s="4"/>
      <c r="M37" s="4"/>
      <c r="N37" s="4"/>
      <c r="O37" s="4"/>
      <c r="P37" s="4"/>
      <c r="Q37" s="4"/>
      <c r="R37" s="4"/>
      <c r="S37" s="4"/>
      <c r="T37" s="4"/>
      <c r="U37" s="4"/>
      <c r="V37" s="4"/>
      <c r="W37" s="4"/>
      <c r="X37" s="4"/>
      <c r="Y37" s="4"/>
      <c r="Z37" s="4"/>
      <c r="AA37" s="4"/>
    </row>
    <row r="38" spans="1:27" x14ac:dyDescent="0.25">
      <c r="D38" s="4"/>
      <c r="E38" s="4"/>
      <c r="F38" s="4"/>
      <c r="G38" s="4"/>
      <c r="H38" s="4"/>
      <c r="I38" s="4"/>
      <c r="J38" s="4"/>
      <c r="L38" s="4"/>
      <c r="M38" s="4"/>
      <c r="N38" s="4"/>
      <c r="O38" s="4"/>
      <c r="P38" s="4"/>
      <c r="Q38" s="4"/>
      <c r="R38" s="4"/>
      <c r="S38" s="4"/>
      <c r="T38" s="4"/>
      <c r="U38" s="4"/>
      <c r="V38" s="4"/>
      <c r="W38" s="4"/>
      <c r="X38" s="4"/>
      <c r="Y38" s="4"/>
      <c r="Z38" s="4"/>
      <c r="AA38" s="4"/>
    </row>
    <row r="39" spans="1:27" x14ac:dyDescent="0.25">
      <c r="D39" s="4"/>
      <c r="E39" s="4"/>
      <c r="F39" s="4"/>
      <c r="G39" s="4"/>
      <c r="H39" s="4"/>
      <c r="I39" s="4"/>
      <c r="J39" s="4"/>
      <c r="L39" s="4"/>
      <c r="M39" s="4"/>
      <c r="N39" s="4"/>
      <c r="O39" s="4"/>
      <c r="P39" s="4"/>
      <c r="Q39" s="4"/>
      <c r="R39" s="4"/>
      <c r="S39" s="4"/>
      <c r="T39" s="4"/>
      <c r="U39" s="4"/>
      <c r="V39" s="4"/>
      <c r="W39" s="4"/>
      <c r="X39" s="4"/>
      <c r="Y39" s="4"/>
      <c r="Z39" s="4"/>
      <c r="AA39" s="4"/>
    </row>
    <row r="40" spans="1:27" x14ac:dyDescent="0.25">
      <c r="D40" s="4"/>
      <c r="E40" s="4"/>
      <c r="F40" s="4"/>
      <c r="G40" s="4"/>
      <c r="H40" s="4"/>
      <c r="I40" s="4"/>
      <c r="J40" s="4"/>
      <c r="L40" s="4"/>
      <c r="M40" s="4"/>
      <c r="N40" s="4"/>
      <c r="O40" s="4"/>
      <c r="P40" s="4"/>
      <c r="Q40" s="4"/>
      <c r="R40" s="4"/>
      <c r="S40" s="4"/>
      <c r="T40" s="4"/>
      <c r="U40" s="4"/>
      <c r="V40" s="4"/>
      <c r="W40" s="4"/>
      <c r="X40" s="4"/>
      <c r="Y40" s="4"/>
      <c r="Z40" s="4"/>
      <c r="AA40" s="4"/>
    </row>
  </sheetData>
  <mergeCells count="46">
    <mergeCell ref="E21:H21"/>
    <mergeCell ref="F17:G17"/>
    <mergeCell ref="F18:G18"/>
    <mergeCell ref="F19:G19"/>
    <mergeCell ref="H17:I17"/>
    <mergeCell ref="H18:I18"/>
    <mergeCell ref="H19:I19"/>
    <mergeCell ref="D19:E19"/>
    <mergeCell ref="F15:G15"/>
    <mergeCell ref="F16:G16"/>
    <mergeCell ref="H14:I14"/>
    <mergeCell ref="H15:I15"/>
    <mergeCell ref="H16:I16"/>
    <mergeCell ref="F12:G12"/>
    <mergeCell ref="F13:G13"/>
    <mergeCell ref="H9:I9"/>
    <mergeCell ref="H10:I10"/>
    <mergeCell ref="H11:I11"/>
    <mergeCell ref="H12:I12"/>
    <mergeCell ref="H13:I13"/>
    <mergeCell ref="E22:H22"/>
    <mergeCell ref="K4:K19"/>
    <mergeCell ref="G6:I7"/>
    <mergeCell ref="A4:I4"/>
    <mergeCell ref="A5:C5"/>
    <mergeCell ref="D5:F5"/>
    <mergeCell ref="G5:I5"/>
    <mergeCell ref="A6:C6"/>
    <mergeCell ref="D6:F6"/>
    <mergeCell ref="A7:C7"/>
    <mergeCell ref="A8:C8"/>
    <mergeCell ref="D8:I8"/>
    <mergeCell ref="F9:G9"/>
    <mergeCell ref="F10:G10"/>
    <mergeCell ref="F14:G14"/>
    <mergeCell ref="F11:G11"/>
    <mergeCell ref="D9:E9"/>
    <mergeCell ref="D10:E10"/>
    <mergeCell ref="D11:E11"/>
    <mergeCell ref="D12:E12"/>
    <mergeCell ref="D13:E13"/>
    <mergeCell ref="D14:E14"/>
    <mergeCell ref="D15:E15"/>
    <mergeCell ref="D16:E16"/>
    <mergeCell ref="D17:E17"/>
    <mergeCell ref="D18:E18"/>
  </mergeCells>
  <conditionalFormatting sqref="E21">
    <cfRule type="beginsWith" dxfId="906" priority="25" stopIfTrue="1" operator="beginsWith" text="Functioning At Risk">
      <formula>LEFT(E21,LEN("Functioning At Risk"))="Functioning At Risk"</formula>
    </cfRule>
    <cfRule type="beginsWith" dxfId="905" priority="26" stopIfTrue="1" operator="beginsWith" text="Not Functioning">
      <formula>LEFT(E21,LEN("Not Functioning"))="Not Functioning"</formula>
    </cfRule>
    <cfRule type="containsText" dxfId="904" priority="27" operator="containsText" text="Functioning">
      <formula>NOT(ISERROR(SEARCH("Functioning",E21)))</formula>
    </cfRule>
  </conditionalFormatting>
  <conditionalFormatting sqref="C10">
    <cfRule type="beginsWith" dxfId="903" priority="22" stopIfTrue="1" operator="beginsWith" text="Functioning At Risk">
      <formula>LEFT(C10,LEN("Functioning At Risk"))="Functioning At Risk"</formula>
    </cfRule>
    <cfRule type="beginsWith" dxfId="902" priority="23" stopIfTrue="1" operator="beginsWith" text="Not Functioning">
      <formula>LEFT(C10,LEN("Not Functioning"))="Not Functioning"</formula>
    </cfRule>
    <cfRule type="containsText" dxfId="901" priority="24" operator="containsText" text="Functioning">
      <formula>NOT(ISERROR(SEARCH("Functioning",C10)))</formula>
    </cfRule>
  </conditionalFormatting>
  <conditionalFormatting sqref="B10">
    <cfRule type="beginsWith" dxfId="900" priority="19" stopIfTrue="1" operator="beginsWith" text="Functioning At Risk">
      <formula>LEFT(B10,LEN("Functioning At Risk"))="Functioning At Risk"</formula>
    </cfRule>
    <cfRule type="beginsWith" dxfId="899" priority="20" stopIfTrue="1" operator="beginsWith" text="Not Functioning">
      <formula>LEFT(B10,LEN("Not Functioning"))="Not Functioning"</formula>
    </cfRule>
    <cfRule type="containsText" dxfId="898" priority="21" operator="containsText" text="Functioning">
      <formula>NOT(ISERROR(SEARCH("Functioning",B10)))</formula>
    </cfRule>
  </conditionalFormatting>
  <conditionalFormatting sqref="C11:C19">
    <cfRule type="beginsWith" dxfId="897" priority="16" stopIfTrue="1" operator="beginsWith" text="Functioning At Risk">
      <formula>LEFT(C11,LEN("Functioning At Risk"))="Functioning At Risk"</formula>
    </cfRule>
    <cfRule type="beginsWith" dxfId="896" priority="17" stopIfTrue="1" operator="beginsWith" text="Not Functioning">
      <formula>LEFT(C11,LEN("Not Functioning"))="Not Functioning"</formula>
    </cfRule>
    <cfRule type="containsText" dxfId="895" priority="18" operator="containsText" text="Functioning">
      <formula>NOT(ISERROR(SEARCH("Functioning",C11)))</formula>
    </cfRule>
  </conditionalFormatting>
  <conditionalFormatting sqref="B11:B12 B19">
    <cfRule type="beginsWith" dxfId="894" priority="13" stopIfTrue="1" operator="beginsWith" text="Functioning At Risk">
      <formula>LEFT(B11,LEN("Functioning At Risk"))="Functioning At Risk"</formula>
    </cfRule>
    <cfRule type="beginsWith" dxfId="893" priority="14" stopIfTrue="1" operator="beginsWith" text="Not Functioning">
      <formula>LEFT(B11,LEN("Not Functioning"))="Not Functioning"</formula>
    </cfRule>
    <cfRule type="containsText" dxfId="892" priority="15" operator="containsText" text="Functioning">
      <formula>NOT(ISERROR(SEARCH("Functioning",B11)))</formula>
    </cfRule>
  </conditionalFormatting>
  <conditionalFormatting sqref="B13">
    <cfRule type="beginsWith" dxfId="891" priority="10" stopIfTrue="1" operator="beginsWith" text="Functioning At Risk">
      <formula>LEFT(B13,LEN("Functioning At Risk"))="Functioning At Risk"</formula>
    </cfRule>
    <cfRule type="beginsWith" dxfId="890" priority="11" stopIfTrue="1" operator="beginsWith" text="Not Functioning">
      <formula>LEFT(B13,LEN("Not Functioning"))="Not Functioning"</formula>
    </cfRule>
    <cfRule type="containsText" dxfId="889" priority="12" operator="containsText" text="Functioning">
      <formula>NOT(ISERROR(SEARCH("Functioning",B13)))</formula>
    </cfRule>
  </conditionalFormatting>
  <conditionalFormatting sqref="B14:B15">
    <cfRule type="beginsWith" dxfId="888" priority="7" stopIfTrue="1" operator="beginsWith" text="Functioning At Risk">
      <formula>LEFT(B14,LEN("Functioning At Risk"))="Functioning At Risk"</formula>
    </cfRule>
    <cfRule type="beginsWith" dxfId="887" priority="8" stopIfTrue="1" operator="beginsWith" text="Not Functioning">
      <formula>LEFT(B14,LEN("Not Functioning"))="Not Functioning"</formula>
    </cfRule>
    <cfRule type="containsText" dxfId="886" priority="9" operator="containsText" text="Functioning">
      <formula>NOT(ISERROR(SEARCH("Functioning",B14)))</formula>
    </cfRule>
  </conditionalFormatting>
  <conditionalFormatting sqref="B16">
    <cfRule type="beginsWith" dxfId="885" priority="4" stopIfTrue="1" operator="beginsWith" text="Functioning At Risk">
      <formula>LEFT(B16,LEN("Functioning At Risk"))="Functioning At Risk"</formula>
    </cfRule>
    <cfRule type="beginsWith" dxfId="884" priority="5" stopIfTrue="1" operator="beginsWith" text="Not Functioning">
      <formula>LEFT(B16,LEN("Not Functioning"))="Not Functioning"</formula>
    </cfRule>
    <cfRule type="containsText" dxfId="883" priority="6" operator="containsText" text="Functioning">
      <formula>NOT(ISERROR(SEARCH("Functioning",B16)))</formula>
    </cfRule>
  </conditionalFormatting>
  <conditionalFormatting sqref="B17:B18">
    <cfRule type="beginsWith" dxfId="882" priority="1" stopIfTrue="1" operator="beginsWith" text="Functioning At Risk">
      <formula>LEFT(B17,LEN("Functioning At Risk"))="Functioning At Risk"</formula>
    </cfRule>
    <cfRule type="beginsWith" dxfId="881" priority="2" stopIfTrue="1" operator="beginsWith" text="Not Functioning">
      <formula>LEFT(B17,LEN("Not Functioning"))="Not Functioning"</formula>
    </cfRule>
    <cfRule type="containsText" dxfId="880" priority="3" operator="containsText" text="Functioning">
      <formula>NOT(ISERROR(SEARCH("Functioning",B17)))</formula>
    </cfRule>
  </conditionalFormatting>
  <pageMargins left="0.7" right="0.7" top="0.75" bottom="0.75" header="0.3" footer="0.3"/>
  <pageSetup scale="92" fitToHeight="0" orientation="landscape" r:id="rId1"/>
  <headerFooter>
    <oddFooter>&amp;LAKSQTint v1.0 - Debit Calculator Workbook
 Project Assessment</oddFooter>
  </headerFooter>
  <colBreaks count="1" manualBreakCount="1">
    <brk id="9" max="1048575" man="1"/>
  </colBreaks>
  <drawing r:id="rId2"/>
  <extLst>
    <ext xmlns:x14="http://schemas.microsoft.com/office/spreadsheetml/2009/9/main" uri="{CCE6A557-97BC-4b89-ADB6-D9C93CAAB3DF}">
      <x14:dataValidations xmlns:xm="http://schemas.microsoft.com/office/excel/2006/main" disablePrompts="1" count="2">
        <x14:dataValidation type="list" allowBlank="1" showErrorMessage="1" xr:uid="{8A2BBC43-3D80-4E95-BC64-628D1F638D60}">
          <x14:formula1>
            <xm:f>'Pull Down Notes'!$F$39:$F$44</xm:f>
          </x14:formula1>
          <xm:sqref>C10:C19</xm:sqref>
        </x14:dataValidation>
        <x14:dataValidation type="list" allowBlank="1" showErrorMessage="1" xr:uid="{33056BB2-CDC8-4619-90F9-8320089B2A51}">
          <x14:formula1>
            <xm:f>'Pull Down Notes'!$F$34:$F$37</xm:f>
          </x14:formula1>
          <xm:sqref>B10:B19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1B02B-C9A5-495C-9551-56AD7A74B46C}">
  <sheetPr>
    <pageSetUpPr fitToPage="1"/>
  </sheetPr>
  <dimension ref="A1:I24"/>
  <sheetViews>
    <sheetView zoomScaleNormal="100" zoomScaleSheetLayoutView="100" zoomScalePageLayoutView="85" workbookViewId="0">
      <selection activeCell="F12" sqref="F12"/>
    </sheetView>
  </sheetViews>
  <sheetFormatPr defaultColWidth="9.140625" defaultRowHeight="12.75" x14ac:dyDescent="0.2"/>
  <cols>
    <col min="1" max="1" width="4" style="280" customWidth="1"/>
    <col min="2" max="2" width="24.7109375" style="280" customWidth="1"/>
    <col min="3" max="3" width="15.28515625" style="280" customWidth="1"/>
    <col min="4" max="6" width="45" style="280" customWidth="1"/>
    <col min="7" max="7" width="9.7109375" style="280" customWidth="1"/>
    <col min="8" max="8" width="9.140625" style="280"/>
    <col min="9" max="9" width="44.42578125" style="280" bestFit="1" customWidth="1"/>
    <col min="10" max="16384" width="9.140625" style="280"/>
  </cols>
  <sheetData>
    <row r="1" spans="1:9" ht="22.5" customHeight="1" x14ac:dyDescent="0.3">
      <c r="A1" s="318" t="s">
        <v>252</v>
      </c>
      <c r="B1" s="318"/>
      <c r="C1" s="319"/>
      <c r="D1" s="371"/>
      <c r="E1" s="372"/>
      <c r="F1" s="372"/>
      <c r="G1" s="373"/>
      <c r="I1" s="322" t="s">
        <v>253</v>
      </c>
    </row>
    <row r="2" spans="1:9" ht="24" customHeight="1" x14ac:dyDescent="0.25">
      <c r="A2" s="318" t="s">
        <v>254</v>
      </c>
      <c r="B2" s="320"/>
      <c r="C2" s="321"/>
      <c r="D2" s="371"/>
      <c r="E2" s="372"/>
      <c r="F2" s="372"/>
      <c r="G2" s="373"/>
      <c r="I2" s="291" t="s">
        <v>255</v>
      </c>
    </row>
    <row r="3" spans="1:9" ht="7.5" customHeight="1" thickBot="1" x14ac:dyDescent="0.25">
      <c r="A3" s="379"/>
      <c r="B3" s="379"/>
      <c r="C3" s="281"/>
      <c r="D3" s="282"/>
      <c r="F3" s="283"/>
    </row>
    <row r="4" spans="1:9" ht="39.75" customHeight="1" thickBot="1" x14ac:dyDescent="0.3">
      <c r="A4" s="376" t="s">
        <v>256</v>
      </c>
      <c r="B4" s="377"/>
      <c r="C4" s="377"/>
      <c r="D4" s="284"/>
      <c r="E4" s="374" t="s">
        <v>364</v>
      </c>
      <c r="F4" s="375"/>
      <c r="G4" s="375"/>
      <c r="I4" s="292" t="s">
        <v>257</v>
      </c>
    </row>
    <row r="5" spans="1:9" ht="39.75" customHeight="1" thickBot="1" x14ac:dyDescent="0.25">
      <c r="A5" s="376" t="s">
        <v>342</v>
      </c>
      <c r="B5" s="377"/>
      <c r="C5" s="377"/>
      <c r="D5" s="284"/>
      <c r="E5" s="374"/>
      <c r="F5" s="375"/>
      <c r="G5" s="375"/>
    </row>
    <row r="6" spans="1:9" ht="7.5" customHeight="1" x14ac:dyDescent="0.2">
      <c r="A6" s="310"/>
      <c r="B6" s="310"/>
      <c r="C6" s="310"/>
      <c r="D6" s="282"/>
      <c r="E6" s="283"/>
      <c r="F6" s="285"/>
    </row>
    <row r="7" spans="1:9" ht="15.75" x14ac:dyDescent="0.2">
      <c r="A7" s="378" t="s">
        <v>12</v>
      </c>
      <c r="B7" s="378"/>
      <c r="C7" s="378" t="s">
        <v>258</v>
      </c>
      <c r="D7" s="378" t="s">
        <v>259</v>
      </c>
      <c r="E7" s="378"/>
      <c r="F7" s="378"/>
      <c r="G7" s="378" t="s">
        <v>260</v>
      </c>
    </row>
    <row r="8" spans="1:9" ht="15.75" x14ac:dyDescent="0.2">
      <c r="A8" s="378"/>
      <c r="B8" s="378"/>
      <c r="C8" s="378"/>
      <c r="D8" s="311" t="s">
        <v>261</v>
      </c>
      <c r="E8" s="311" t="s">
        <v>262</v>
      </c>
      <c r="F8" s="311" t="s">
        <v>263</v>
      </c>
      <c r="G8" s="378"/>
    </row>
    <row r="9" spans="1:9" ht="51" x14ac:dyDescent="0.2">
      <c r="A9" s="286">
        <v>1</v>
      </c>
      <c r="B9" s="287" t="s">
        <v>264</v>
      </c>
      <c r="C9" s="286" t="s">
        <v>265</v>
      </c>
      <c r="D9" s="286" t="s">
        <v>337</v>
      </c>
      <c r="E9" s="286" t="s">
        <v>338</v>
      </c>
      <c r="F9" s="286" t="s">
        <v>339</v>
      </c>
      <c r="G9" s="290"/>
    </row>
    <row r="10" spans="1:9" ht="63.75" x14ac:dyDescent="0.2">
      <c r="A10" s="286">
        <v>2</v>
      </c>
      <c r="B10" s="287" t="s">
        <v>266</v>
      </c>
      <c r="C10" s="286" t="s">
        <v>267</v>
      </c>
      <c r="D10" s="286" t="s">
        <v>268</v>
      </c>
      <c r="E10" s="286" t="s">
        <v>269</v>
      </c>
      <c r="F10" s="286" t="s">
        <v>270</v>
      </c>
      <c r="G10" s="290"/>
    </row>
    <row r="11" spans="1:9" ht="38.25" x14ac:dyDescent="0.2">
      <c r="A11" s="286">
        <v>3</v>
      </c>
      <c r="B11" s="287" t="s">
        <v>271</v>
      </c>
      <c r="C11" s="286" t="s">
        <v>272</v>
      </c>
      <c r="D11" s="286" t="s">
        <v>273</v>
      </c>
      <c r="E11" s="286" t="s">
        <v>274</v>
      </c>
      <c r="F11" s="286" t="s">
        <v>343</v>
      </c>
      <c r="G11" s="290"/>
    </row>
    <row r="12" spans="1:9" ht="89.25" x14ac:dyDescent="0.2">
      <c r="A12" s="286">
        <v>4</v>
      </c>
      <c r="B12" s="287" t="s">
        <v>275</v>
      </c>
      <c r="C12" s="286" t="s">
        <v>276</v>
      </c>
      <c r="D12" s="286" t="s">
        <v>365</v>
      </c>
      <c r="E12" s="286" t="s">
        <v>344</v>
      </c>
      <c r="F12" s="286" t="s">
        <v>345</v>
      </c>
      <c r="G12" s="290"/>
    </row>
    <row r="13" spans="1:9" ht="30" customHeight="1" x14ac:dyDescent="0.2">
      <c r="A13" s="286">
        <v>5</v>
      </c>
      <c r="B13" s="287" t="s">
        <v>277</v>
      </c>
      <c r="C13" s="286" t="s">
        <v>272</v>
      </c>
      <c r="D13" s="286" t="s">
        <v>278</v>
      </c>
      <c r="E13" s="286" t="s">
        <v>279</v>
      </c>
      <c r="F13" s="286" t="s">
        <v>280</v>
      </c>
      <c r="G13" s="290"/>
    </row>
    <row r="14" spans="1:9" ht="38.25" x14ac:dyDescent="0.2">
      <c r="A14" s="286">
        <v>6</v>
      </c>
      <c r="B14" s="287" t="s">
        <v>281</v>
      </c>
      <c r="C14" s="286" t="s">
        <v>267</v>
      </c>
      <c r="D14" s="286" t="s">
        <v>282</v>
      </c>
      <c r="E14" s="286" t="s">
        <v>283</v>
      </c>
      <c r="F14" s="286" t="s">
        <v>284</v>
      </c>
      <c r="G14" s="290"/>
    </row>
    <row r="15" spans="1:9" ht="76.5" x14ac:dyDescent="0.2">
      <c r="A15" s="286">
        <v>7</v>
      </c>
      <c r="B15" s="287" t="s">
        <v>285</v>
      </c>
      <c r="C15" s="286" t="s">
        <v>286</v>
      </c>
      <c r="D15" s="286" t="s">
        <v>287</v>
      </c>
      <c r="E15" s="286" t="s">
        <v>346</v>
      </c>
      <c r="F15" s="286" t="s">
        <v>288</v>
      </c>
      <c r="G15" s="290"/>
    </row>
    <row r="16" spans="1:9" ht="38.25" x14ac:dyDescent="0.2">
      <c r="A16" s="286">
        <v>8</v>
      </c>
      <c r="B16" s="287" t="s">
        <v>289</v>
      </c>
      <c r="C16" s="286" t="s">
        <v>290</v>
      </c>
      <c r="D16" s="286" t="s">
        <v>347</v>
      </c>
      <c r="E16" s="286" t="s">
        <v>291</v>
      </c>
      <c r="F16" s="286" t="s">
        <v>292</v>
      </c>
      <c r="G16" s="290"/>
    </row>
    <row r="17" spans="1:7" ht="76.5" x14ac:dyDescent="0.2">
      <c r="A17" s="286">
        <v>9</v>
      </c>
      <c r="B17" s="287" t="s">
        <v>293</v>
      </c>
      <c r="C17" s="286" t="s">
        <v>294</v>
      </c>
      <c r="D17" s="286" t="s">
        <v>295</v>
      </c>
      <c r="E17" s="286" t="s">
        <v>296</v>
      </c>
      <c r="F17" s="286" t="s">
        <v>297</v>
      </c>
      <c r="G17" s="290"/>
    </row>
    <row r="18" spans="1:7" ht="25.5" x14ac:dyDescent="0.2">
      <c r="A18" s="286">
        <v>10</v>
      </c>
      <c r="B18" s="287" t="s">
        <v>298</v>
      </c>
      <c r="C18" s="286" t="s">
        <v>299</v>
      </c>
      <c r="D18" s="286" t="s">
        <v>300</v>
      </c>
      <c r="E18" s="286" t="s">
        <v>301</v>
      </c>
      <c r="F18" s="286" t="s">
        <v>302</v>
      </c>
      <c r="G18" s="290"/>
    </row>
    <row r="19" spans="1:7" ht="51" x14ac:dyDescent="0.2">
      <c r="A19" s="286">
        <v>11</v>
      </c>
      <c r="B19" s="287" t="s">
        <v>303</v>
      </c>
      <c r="C19" s="286" t="s">
        <v>304</v>
      </c>
      <c r="D19" s="286" t="s">
        <v>305</v>
      </c>
      <c r="E19" s="288" t="s">
        <v>306</v>
      </c>
      <c r="F19" s="288" t="s">
        <v>307</v>
      </c>
      <c r="G19" s="290"/>
    </row>
    <row r="20" spans="1:7" ht="51" x14ac:dyDescent="0.2">
      <c r="A20" s="286">
        <v>12</v>
      </c>
      <c r="B20" s="287" t="s">
        <v>308</v>
      </c>
      <c r="C20" s="286" t="s">
        <v>309</v>
      </c>
      <c r="D20" s="286" t="s">
        <v>348</v>
      </c>
      <c r="E20" s="286" t="s">
        <v>349</v>
      </c>
      <c r="F20" s="286" t="s">
        <v>310</v>
      </c>
      <c r="G20" s="290"/>
    </row>
    <row r="21" spans="1:7" ht="51" x14ac:dyDescent="0.2">
      <c r="A21" s="286">
        <v>13</v>
      </c>
      <c r="B21" s="287" t="s">
        <v>311</v>
      </c>
      <c r="C21" s="286" t="s">
        <v>312</v>
      </c>
      <c r="D21" s="286" t="s">
        <v>350</v>
      </c>
      <c r="E21" s="286" t="s">
        <v>313</v>
      </c>
      <c r="F21" s="286" t="s">
        <v>314</v>
      </c>
      <c r="G21" s="290"/>
    </row>
    <row r="22" spans="1:7" ht="37.5" customHeight="1" x14ac:dyDescent="0.2">
      <c r="A22" s="286">
        <v>14</v>
      </c>
      <c r="B22" s="287" t="s">
        <v>315</v>
      </c>
      <c r="C22" s="290"/>
      <c r="D22" s="290"/>
      <c r="E22" s="290"/>
      <c r="F22" s="290"/>
      <c r="G22" s="290"/>
    </row>
    <row r="23" spans="1:7" ht="16.899999999999999" customHeight="1" x14ac:dyDescent="0.2">
      <c r="A23" s="312" t="s">
        <v>356</v>
      </c>
      <c r="B23" s="313"/>
      <c r="C23" s="313"/>
      <c r="D23" s="313"/>
      <c r="E23" s="313"/>
      <c r="F23" s="313"/>
      <c r="G23" s="314"/>
    </row>
    <row r="24" spans="1:7" ht="16.899999999999999" customHeight="1" x14ac:dyDescent="0.2">
      <c r="A24" s="315"/>
      <c r="B24" s="316" t="s">
        <v>357</v>
      </c>
      <c r="C24" s="316"/>
      <c r="D24" s="316"/>
      <c r="E24" s="316"/>
      <c r="F24" s="316"/>
      <c r="G24" s="317"/>
    </row>
  </sheetData>
  <mergeCells count="10">
    <mergeCell ref="D1:G1"/>
    <mergeCell ref="D2:G2"/>
    <mergeCell ref="E4:G5"/>
    <mergeCell ref="A5:C5"/>
    <mergeCell ref="A7:B8"/>
    <mergeCell ref="C7:C8"/>
    <mergeCell ref="D7:F7"/>
    <mergeCell ref="G7:G8"/>
    <mergeCell ref="A3:B3"/>
    <mergeCell ref="A4:C4"/>
  </mergeCells>
  <dataValidations disablePrompts="1" count="2">
    <dataValidation type="list" allowBlank="1" showInputMessage="1" showErrorMessage="1" sqref="D5" xr:uid="{33C35479-70C2-4929-8802-9D74FDBFDEC5}">
      <formula1>Level</formula1>
    </dataValidation>
    <dataValidation type="list" allowBlank="1" showInputMessage="1" showErrorMessage="1" sqref="D4" xr:uid="{D1A4A02E-7909-437A-9B51-9644F5AFD44B}">
      <formula1>CatchmentAssessment</formula1>
    </dataValidation>
  </dataValidations>
  <pageMargins left="0.7" right="0.7" top="0.75" bottom="0.75" header="0.3" footer="0.3"/>
  <pageSetup scale="65" fitToHeight="0" orientation="landscape" r:id="rId1"/>
  <headerFooter>
    <oddFooter>&amp;LAKSQTint v1.0 - Debit Calculator Workbook
Catchment Assessment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63"/>
  <sheetViews>
    <sheetView topLeftCell="A19" zoomScale="115" zoomScaleNormal="115" zoomScaleSheetLayoutView="130" zoomScalePageLayoutView="70" workbookViewId="0">
      <selection activeCell="B22" sqref="B22"/>
    </sheetView>
  </sheetViews>
  <sheetFormatPr defaultColWidth="9.140625" defaultRowHeight="15" x14ac:dyDescent="0.25"/>
  <cols>
    <col min="1" max="1" width="18" style="56" customWidth="1"/>
    <col min="2" max="2" width="8.42578125" style="56" customWidth="1"/>
    <col min="3" max="3" width="9" style="56" customWidth="1"/>
    <col min="4" max="4" width="10.140625" style="56" customWidth="1"/>
    <col min="5" max="7" width="12.42578125" style="56" customWidth="1"/>
    <col min="8" max="8" width="12.85546875" style="56" customWidth="1"/>
    <col min="9" max="9" width="13.5703125" style="56" customWidth="1"/>
    <col min="10" max="10" width="13.7109375" style="56" customWidth="1"/>
    <col min="11" max="12" width="14.7109375" style="56" customWidth="1"/>
    <col min="13" max="13" width="41.28515625" style="56" customWidth="1"/>
    <col min="14" max="14" width="27" style="56" bestFit="1" customWidth="1"/>
    <col min="15" max="15" width="9.85546875" style="56" customWidth="1"/>
    <col min="16" max="16384" width="9.140625" style="56"/>
  </cols>
  <sheetData>
    <row r="1" spans="1:22" ht="24.75" customHeight="1" thickBot="1" x14ac:dyDescent="0.4">
      <c r="A1" s="385" t="s">
        <v>249</v>
      </c>
      <c r="B1" s="386"/>
      <c r="C1" s="386"/>
      <c r="D1" s="387"/>
    </row>
    <row r="2" spans="1:22" ht="23.25" customHeight="1" x14ac:dyDescent="0.25">
      <c r="A2" s="262" t="s">
        <v>351</v>
      </c>
      <c r="B2" s="397" t="str">
        <f>IF('Project Assessment'!D5="","", 'Project Assessment'!D5)</f>
        <v/>
      </c>
      <c r="C2" s="398"/>
      <c r="D2" s="399"/>
      <c r="E2" s="68"/>
      <c r="F2" s="391" t="s">
        <v>96</v>
      </c>
      <c r="G2" s="392"/>
      <c r="H2" s="392"/>
      <c r="I2" s="393"/>
    </row>
    <row r="3" spans="1:22" ht="26.25" customHeight="1" thickBot="1" x14ac:dyDescent="0.3">
      <c r="A3" s="263" t="s">
        <v>132</v>
      </c>
      <c r="B3" s="400" t="str">
        <f>IF('Project Assessment'!F7="","",'Project Assessment'!F7)</f>
        <v/>
      </c>
      <c r="C3" s="401"/>
      <c r="D3" s="402"/>
      <c r="E3" s="68"/>
      <c r="F3" s="394" t="s">
        <v>95</v>
      </c>
      <c r="G3" s="395"/>
      <c r="H3" s="395"/>
      <c r="I3" s="396"/>
    </row>
    <row r="4" spans="1:22" ht="31.5" customHeight="1" thickBot="1" x14ac:dyDescent="0.3">
      <c r="A4" s="264" t="s">
        <v>251</v>
      </c>
      <c r="B4" s="388" t="str">
        <f>IF('Project Assessment'!D7="","",'Project Assessment'!D7)</f>
        <v/>
      </c>
      <c r="C4" s="389"/>
      <c r="D4" s="390"/>
      <c r="E4" s="68"/>
    </row>
    <row r="5" spans="1:22" ht="18" customHeight="1" thickBot="1" x14ac:dyDescent="0.3">
      <c r="A5" s="253"/>
      <c r="B5" s="252"/>
      <c r="C5" s="252"/>
      <c r="D5" s="252"/>
      <c r="E5" s="254"/>
      <c r="F5" s="255"/>
      <c r="G5" s="255"/>
      <c r="H5" s="255"/>
      <c r="I5" s="255"/>
      <c r="J5" s="254"/>
      <c r="N5" s="70"/>
      <c r="O5" s="70"/>
      <c r="P5" s="70"/>
      <c r="Q5" s="70"/>
      <c r="R5" s="70"/>
      <c r="S5" s="70"/>
      <c r="T5" s="70"/>
      <c r="U5" s="70"/>
      <c r="V5" s="71"/>
    </row>
    <row r="6" spans="1:22" ht="21.75" customHeight="1" x14ac:dyDescent="0.35">
      <c r="A6" s="416" t="s">
        <v>166</v>
      </c>
      <c r="B6" s="417"/>
      <c r="C6" s="417"/>
      <c r="D6" s="417"/>
      <c r="E6" s="417"/>
      <c r="F6" s="417"/>
      <c r="G6" s="417"/>
      <c r="H6" s="417"/>
      <c r="I6" s="418"/>
      <c r="J6" s="254"/>
      <c r="N6" s="70"/>
      <c r="O6" s="70"/>
      <c r="P6" s="70"/>
      <c r="Q6" s="70"/>
      <c r="R6" s="70"/>
      <c r="S6" s="70"/>
      <c r="T6" s="70"/>
      <c r="U6" s="70"/>
      <c r="V6" s="71"/>
    </row>
    <row r="7" spans="1:22" ht="45" x14ac:dyDescent="0.25">
      <c r="A7" s="296" t="s">
        <v>100</v>
      </c>
      <c r="B7" s="66" t="s">
        <v>133</v>
      </c>
      <c r="C7" s="66" t="s">
        <v>170</v>
      </c>
      <c r="D7" s="66" t="s">
        <v>171</v>
      </c>
      <c r="E7" s="66" t="s">
        <v>86</v>
      </c>
      <c r="F7" s="66" t="s">
        <v>172</v>
      </c>
      <c r="G7" s="66" t="s">
        <v>173</v>
      </c>
      <c r="H7" s="148" t="s">
        <v>174</v>
      </c>
      <c r="I7" s="149" t="s">
        <v>331</v>
      </c>
      <c r="J7" s="254"/>
      <c r="N7" s="70"/>
      <c r="O7" s="70"/>
      <c r="P7" s="70"/>
      <c r="Q7" s="70"/>
      <c r="R7" s="70"/>
      <c r="S7" s="70"/>
      <c r="T7" s="70"/>
      <c r="U7" s="70"/>
      <c r="V7" s="71"/>
    </row>
    <row r="8" spans="1:22" x14ac:dyDescent="0.25">
      <c r="A8" s="308">
        <f>'Project Assessment'!A10:C10</f>
        <v>0</v>
      </c>
      <c r="B8" s="72"/>
      <c r="C8" s="293"/>
      <c r="D8" s="293"/>
      <c r="E8" s="72"/>
      <c r="F8" s="131" t="str">
        <f t="shared" ref="F8:F17" si="0">IF(B8="","",IF(OR(B8=1,B8=2), IF(B22&gt;0.3,B22,0.3),F$28))</f>
        <v/>
      </c>
      <c r="G8" s="131" t="str">
        <f>IF(B8=1,C22,IFERROR(ROUND(F8*VLOOKUP(E8,A$35:G$40,7,FALSE),2),""))</f>
        <v/>
      </c>
      <c r="H8" s="261" t="str">
        <f>IFERROR(IF((D8*G8)-(C8*F8)&gt;=0,0,ROUND((D8*G8)-(C8*F8),1)),"")</f>
        <v/>
      </c>
      <c r="I8" s="249" t="str">
        <f>_xlfn.CONCAT(LEFT('Project Assessment'!B10,1),'Project Assessment'!C10)</f>
        <v/>
      </c>
      <c r="J8" s="254"/>
      <c r="N8" s="70"/>
      <c r="O8" s="70"/>
      <c r="P8" s="70"/>
      <c r="Q8" s="70"/>
      <c r="R8" s="70"/>
      <c r="S8" s="70"/>
      <c r="T8" s="70"/>
      <c r="U8" s="70"/>
      <c r="V8" s="71"/>
    </row>
    <row r="9" spans="1:22" ht="14.45" customHeight="1" x14ac:dyDescent="0.25">
      <c r="A9" s="308">
        <f>'Project Assessment'!A11:C11</f>
        <v>0</v>
      </c>
      <c r="B9" s="72"/>
      <c r="C9" s="293"/>
      <c r="D9" s="293"/>
      <c r="E9" s="72"/>
      <c r="F9" s="131" t="str">
        <f t="shared" si="0"/>
        <v/>
      </c>
      <c r="G9" s="131" t="str">
        <f>IF(B9=1,C23,IFERROR(ROUND(F9*VLOOKUP(E9,A$35:G$40,7,FALSE),2),""))</f>
        <v/>
      </c>
      <c r="H9" s="261" t="str">
        <f t="shared" ref="H9:H17" si="1">IFERROR(IF((D9*G9)-(C9*F9)&gt;=0,0,ROUND((D9*G9)-(C9*F9),1)),"")</f>
        <v/>
      </c>
      <c r="I9" s="249" t="str">
        <f>_xlfn.CONCAT(LEFT('Project Assessment'!B11,1),'Project Assessment'!C11)</f>
        <v/>
      </c>
      <c r="J9" s="254"/>
      <c r="N9" s="70"/>
      <c r="O9" s="70"/>
      <c r="P9" s="70"/>
      <c r="Q9" s="70"/>
      <c r="R9" s="70"/>
      <c r="S9" s="70"/>
      <c r="T9" s="70"/>
      <c r="U9" s="70"/>
      <c r="V9" s="71"/>
    </row>
    <row r="10" spans="1:22" ht="14.45" customHeight="1" x14ac:dyDescent="0.25">
      <c r="A10" s="308">
        <f>'Project Assessment'!A12:C12</f>
        <v>0</v>
      </c>
      <c r="B10" s="72"/>
      <c r="C10" s="293"/>
      <c r="D10" s="293"/>
      <c r="E10" s="72"/>
      <c r="F10" s="131" t="str">
        <f t="shared" si="0"/>
        <v/>
      </c>
      <c r="G10" s="131" t="str">
        <f>IF(B10=1,C24,IFERROR(ROUND(F10*VLOOKUP(E10,A$35:G$40,7,FALSE),2),""))</f>
        <v/>
      </c>
      <c r="H10" s="261" t="str">
        <f t="shared" si="1"/>
        <v/>
      </c>
      <c r="I10" s="249" t="str">
        <f>_xlfn.CONCAT(LEFT('Project Assessment'!B12,1),'Project Assessment'!C12)</f>
        <v/>
      </c>
      <c r="J10" s="254"/>
      <c r="N10" s="70"/>
      <c r="O10" s="70"/>
      <c r="P10" s="70"/>
      <c r="Q10" s="70"/>
      <c r="R10" s="70"/>
      <c r="S10" s="70"/>
      <c r="T10" s="70"/>
      <c r="U10" s="70"/>
      <c r="V10" s="71"/>
    </row>
    <row r="11" spans="1:22" ht="14.45" customHeight="1" x14ac:dyDescent="0.25">
      <c r="A11" s="308">
        <f>'Project Assessment'!A13:C13</f>
        <v>0</v>
      </c>
      <c r="B11" s="72"/>
      <c r="C11" s="293"/>
      <c r="D11" s="293"/>
      <c r="E11" s="72"/>
      <c r="F11" s="131" t="str">
        <f t="shared" si="0"/>
        <v/>
      </c>
      <c r="G11" s="131" t="str">
        <f>IF(B11=1,C25,IFERROR(ROUND(F11*VLOOKUP(E11,A$35:G$40,7,FALSE),2),""))</f>
        <v/>
      </c>
      <c r="H11" s="261" t="str">
        <f t="shared" si="1"/>
        <v/>
      </c>
      <c r="I11" s="249" t="str">
        <f>_xlfn.CONCAT(LEFT('Project Assessment'!B13,1),'Project Assessment'!C13)</f>
        <v/>
      </c>
      <c r="J11" s="254"/>
      <c r="N11" s="70"/>
      <c r="O11" s="70"/>
      <c r="P11" s="70"/>
      <c r="Q11" s="70"/>
      <c r="R11" s="70"/>
      <c r="S11" s="70"/>
      <c r="T11" s="70"/>
      <c r="U11" s="70"/>
      <c r="V11" s="71"/>
    </row>
    <row r="12" spans="1:22" ht="14.45" customHeight="1" x14ac:dyDescent="0.25">
      <c r="A12" s="308">
        <f>'Project Assessment'!A14:C14</f>
        <v>0</v>
      </c>
      <c r="B12" s="72"/>
      <c r="C12" s="293"/>
      <c r="D12" s="293"/>
      <c r="E12" s="72"/>
      <c r="F12" s="131" t="str">
        <f t="shared" si="0"/>
        <v/>
      </c>
      <c r="G12" s="131" t="str">
        <f t="shared" ref="G12:G17" si="2">IF(B12=1,C26,IFERROR(ROUND(F12*VLOOKUP(E12,A$35:G$40,7,FALSE),2),""))</f>
        <v/>
      </c>
      <c r="H12" s="261" t="str">
        <f t="shared" si="1"/>
        <v/>
      </c>
      <c r="I12" s="249" t="str">
        <f>_xlfn.CONCAT(LEFT('Project Assessment'!B14,1),'Project Assessment'!C14)</f>
        <v/>
      </c>
      <c r="J12" s="254"/>
      <c r="N12" s="70"/>
      <c r="O12" s="70"/>
      <c r="P12" s="70"/>
      <c r="Q12" s="70"/>
      <c r="R12" s="70"/>
      <c r="S12" s="70"/>
      <c r="T12" s="70"/>
      <c r="U12" s="70"/>
      <c r="V12" s="71"/>
    </row>
    <row r="13" spans="1:22" ht="14.45" customHeight="1" x14ac:dyDescent="0.25">
      <c r="A13" s="308">
        <f>'Project Assessment'!A15:C15</f>
        <v>0</v>
      </c>
      <c r="B13" s="72"/>
      <c r="C13" s="293"/>
      <c r="D13" s="293"/>
      <c r="E13" s="72"/>
      <c r="F13" s="131" t="str">
        <f t="shared" si="0"/>
        <v/>
      </c>
      <c r="G13" s="131" t="str">
        <f t="shared" si="2"/>
        <v/>
      </c>
      <c r="H13" s="261" t="str">
        <f t="shared" si="1"/>
        <v/>
      </c>
      <c r="I13" s="249" t="str">
        <f>_xlfn.CONCAT(LEFT('Project Assessment'!B15,1),'Project Assessment'!C15)</f>
        <v/>
      </c>
      <c r="J13" s="254"/>
      <c r="O13" s="71"/>
      <c r="P13" s="71"/>
      <c r="Q13" s="71"/>
      <c r="R13" s="71"/>
      <c r="S13" s="71"/>
      <c r="T13" s="71"/>
      <c r="U13" s="71"/>
      <c r="V13" s="71"/>
    </row>
    <row r="14" spans="1:22" ht="14.45" customHeight="1" x14ac:dyDescent="0.25">
      <c r="A14" s="308">
        <f>'Project Assessment'!A16:C16</f>
        <v>0</v>
      </c>
      <c r="B14" s="72"/>
      <c r="C14" s="293"/>
      <c r="D14" s="293"/>
      <c r="E14" s="72"/>
      <c r="F14" s="131" t="str">
        <f t="shared" si="0"/>
        <v/>
      </c>
      <c r="G14" s="131" t="str">
        <f t="shared" si="2"/>
        <v/>
      </c>
      <c r="H14" s="261" t="str">
        <f t="shared" si="1"/>
        <v/>
      </c>
      <c r="I14" s="249" t="str">
        <f>_xlfn.CONCAT(LEFT('Project Assessment'!B16,1),'Project Assessment'!C16)</f>
        <v/>
      </c>
      <c r="J14" s="254"/>
      <c r="O14" s="71"/>
      <c r="P14" s="71"/>
      <c r="Q14" s="71"/>
      <c r="R14" s="71"/>
      <c r="S14" s="71"/>
      <c r="T14" s="71"/>
      <c r="U14" s="71"/>
      <c r="V14" s="71"/>
    </row>
    <row r="15" spans="1:22" ht="14.45" customHeight="1" x14ac:dyDescent="0.25">
      <c r="A15" s="308">
        <f>'Project Assessment'!A17:C17</f>
        <v>0</v>
      </c>
      <c r="B15" s="72"/>
      <c r="C15" s="293"/>
      <c r="D15" s="293"/>
      <c r="E15" s="72"/>
      <c r="F15" s="131" t="str">
        <f t="shared" si="0"/>
        <v/>
      </c>
      <c r="G15" s="131" t="str">
        <f t="shared" si="2"/>
        <v/>
      </c>
      <c r="H15" s="261" t="str">
        <f t="shared" si="1"/>
        <v/>
      </c>
      <c r="I15" s="249" t="str">
        <f>_xlfn.CONCAT(LEFT('Project Assessment'!B17,1),'Project Assessment'!C17)</f>
        <v/>
      </c>
      <c r="J15" s="254"/>
      <c r="O15" s="71"/>
      <c r="P15" s="71"/>
      <c r="Q15" s="71"/>
      <c r="R15" s="71"/>
      <c r="S15" s="71"/>
      <c r="T15" s="71"/>
      <c r="U15" s="71"/>
      <c r="V15" s="71"/>
    </row>
    <row r="16" spans="1:22" ht="14.45" customHeight="1" x14ac:dyDescent="0.25">
      <c r="A16" s="308">
        <f>'Project Assessment'!A18:C18</f>
        <v>0</v>
      </c>
      <c r="B16" s="72"/>
      <c r="C16" s="293"/>
      <c r="D16" s="293"/>
      <c r="E16" s="72"/>
      <c r="F16" s="131" t="str">
        <f t="shared" si="0"/>
        <v/>
      </c>
      <c r="G16" s="131" t="str">
        <f t="shared" si="2"/>
        <v/>
      </c>
      <c r="H16" s="261" t="str">
        <f t="shared" si="1"/>
        <v/>
      </c>
      <c r="I16" s="249" t="str">
        <f>_xlfn.CONCAT(LEFT('Project Assessment'!B18,1),'Project Assessment'!C18)</f>
        <v/>
      </c>
      <c r="J16" s="254"/>
      <c r="O16" s="71"/>
      <c r="P16" s="71"/>
      <c r="Q16" s="71"/>
      <c r="R16" s="71"/>
      <c r="S16" s="71"/>
      <c r="T16" s="71"/>
      <c r="U16" s="71"/>
      <c r="V16" s="71"/>
    </row>
    <row r="17" spans="1:22" ht="14.45" customHeight="1" x14ac:dyDescent="0.25">
      <c r="A17" s="308">
        <f>'Project Assessment'!A19:C19</f>
        <v>0</v>
      </c>
      <c r="B17" s="72"/>
      <c r="C17" s="293"/>
      <c r="D17" s="293"/>
      <c r="E17" s="72"/>
      <c r="F17" s="131" t="str">
        <f t="shared" si="0"/>
        <v/>
      </c>
      <c r="G17" s="131" t="str">
        <f t="shared" si="2"/>
        <v/>
      </c>
      <c r="H17" s="261" t="str">
        <f t="shared" si="1"/>
        <v/>
      </c>
      <c r="I17" s="249" t="str">
        <f>_xlfn.CONCAT(LEFT('Project Assessment'!B19,1),'Project Assessment'!C19)</f>
        <v/>
      </c>
      <c r="J17" s="254"/>
      <c r="O17" s="71"/>
      <c r="P17" s="71"/>
      <c r="Q17" s="71"/>
      <c r="R17" s="71"/>
      <c r="S17" s="71"/>
      <c r="T17" s="71"/>
      <c r="U17" s="71"/>
      <c r="V17" s="71"/>
    </row>
    <row r="18" spans="1:22" ht="31.5" customHeight="1" thickBot="1" x14ac:dyDescent="0.3">
      <c r="A18" s="410" t="s">
        <v>101</v>
      </c>
      <c r="B18" s="411"/>
      <c r="C18" s="411"/>
      <c r="D18" s="411"/>
      <c r="E18" s="411"/>
      <c r="F18" s="411"/>
      <c r="G18" s="412"/>
      <c r="H18" s="413">
        <f>SUM(H8:H17)</f>
        <v>0</v>
      </c>
      <c r="I18" s="414"/>
      <c r="J18" s="254"/>
    </row>
    <row r="19" spans="1:22" ht="14.25" customHeight="1" x14ac:dyDescent="0.25">
      <c r="A19" s="69"/>
      <c r="B19" s="69"/>
      <c r="C19" s="69"/>
      <c r="D19" s="69"/>
      <c r="E19" s="69"/>
      <c r="F19" s="69"/>
      <c r="G19" s="69"/>
      <c r="H19" s="73"/>
      <c r="I19" s="73"/>
      <c r="J19" s="254"/>
    </row>
    <row r="20" spans="1:22" ht="30.75" customHeight="1" thickBot="1" x14ac:dyDescent="0.3">
      <c r="A20" s="419" t="s">
        <v>325</v>
      </c>
      <c r="B20" s="420"/>
      <c r="C20" s="421"/>
      <c r="E20" s="299" t="s">
        <v>131</v>
      </c>
      <c r="F20" s="407" t="s">
        <v>85</v>
      </c>
      <c r="G20" s="408"/>
      <c r="H20" s="405" t="s">
        <v>250</v>
      </c>
      <c r="I20" s="406"/>
      <c r="P20" s="74"/>
      <c r="Q20" s="74"/>
    </row>
    <row r="21" spans="1:22" ht="24" customHeight="1" thickTop="1" x14ac:dyDescent="0.25">
      <c r="A21" s="303" t="s">
        <v>165</v>
      </c>
      <c r="B21" s="300" t="s">
        <v>85</v>
      </c>
      <c r="C21" s="303" t="s">
        <v>130</v>
      </c>
      <c r="E21" s="382">
        <v>1</v>
      </c>
      <c r="F21" s="383" t="s">
        <v>326</v>
      </c>
      <c r="G21" s="383"/>
      <c r="H21" s="383" t="s">
        <v>328</v>
      </c>
      <c r="I21" s="383"/>
      <c r="P21" s="74"/>
      <c r="Q21" s="74"/>
    </row>
    <row r="22" spans="1:22" ht="24" customHeight="1" x14ac:dyDescent="0.25">
      <c r="A22" s="323" t="str">
        <f>'Existing Conditions'!B4</f>
        <v/>
      </c>
      <c r="B22" s="309" t="str">
        <f>IF(B8="","-",IF(B8=3,"-",'Existing Conditions'!J11))</f>
        <v>-</v>
      </c>
      <c r="C22" s="309" t="str">
        <f>IF(B8="","-",IF(OR(B8=2,B8=3),"-", 'Proposed Conditions'!J11))</f>
        <v>-</v>
      </c>
      <c r="E22" s="380"/>
      <c r="F22" s="381"/>
      <c r="G22" s="381"/>
      <c r="H22" s="381"/>
      <c r="I22" s="381"/>
      <c r="P22" s="74"/>
      <c r="Q22" s="74"/>
    </row>
    <row r="23" spans="1:22" ht="24" customHeight="1" x14ac:dyDescent="0.25">
      <c r="A23" s="323" t="str">
        <f>'Existing Conditions'!B42</f>
        <v/>
      </c>
      <c r="B23" s="309" t="str">
        <f>IF(B9="","-",IF(B9=3,"-",'Existing Conditions'!J49))</f>
        <v>-</v>
      </c>
      <c r="C23" s="309" t="str">
        <f>IF(B9="","-",IF(OR(B9=2,B9=3),"-",'Proposed Conditions'!J49))</f>
        <v>-</v>
      </c>
      <c r="E23" s="380"/>
      <c r="F23" s="381"/>
      <c r="G23" s="381"/>
      <c r="H23" s="381"/>
      <c r="I23" s="381"/>
      <c r="P23" s="74"/>
      <c r="Q23" s="74"/>
    </row>
    <row r="24" spans="1:22" ht="24" customHeight="1" x14ac:dyDescent="0.25">
      <c r="A24" s="323" t="str">
        <f>'Existing Conditions'!B80</f>
        <v/>
      </c>
      <c r="B24" s="309" t="str">
        <f>IF(B10="","-",IF(B10=3,"-",'Existing Conditions'!J87))</f>
        <v>-</v>
      </c>
      <c r="C24" s="309" t="str">
        <f>IF(B10="","-",IF(OR(B10=2,B10=3),"-",'Proposed Conditions'!J87))</f>
        <v>-</v>
      </c>
      <c r="E24" s="380">
        <v>2</v>
      </c>
      <c r="F24" s="381" t="s">
        <v>326</v>
      </c>
      <c r="G24" s="381"/>
      <c r="H24" s="381" t="s">
        <v>327</v>
      </c>
      <c r="I24" s="381"/>
      <c r="P24" s="74"/>
      <c r="Q24" s="74"/>
    </row>
    <row r="25" spans="1:22" ht="24" customHeight="1" x14ac:dyDescent="0.25">
      <c r="A25" s="323" t="str">
        <f>'Existing Conditions'!B118</f>
        <v/>
      </c>
      <c r="B25" s="309" t="str">
        <f>IF(B11="","-",IF(B11=3,"-",'Existing Conditions'!J125))</f>
        <v>-</v>
      </c>
      <c r="C25" s="309" t="str">
        <f>IF(B11="","-",IF(OR(B11=2,B11=3),"-",'Proposed Conditions'!J125))</f>
        <v>-</v>
      </c>
      <c r="E25" s="380"/>
      <c r="F25" s="381"/>
      <c r="G25" s="381"/>
      <c r="H25" s="381"/>
      <c r="I25" s="381"/>
      <c r="O25" s="74"/>
    </row>
    <row r="26" spans="1:22" ht="24" customHeight="1" x14ac:dyDescent="0.25">
      <c r="A26" s="323" t="str">
        <f>'Existing Conditions'!B156</f>
        <v/>
      </c>
      <c r="B26" s="309" t="str">
        <f>IF(B12="","-",IF(B12=3,"-",'Existing Conditions'!J163))</f>
        <v>-</v>
      </c>
      <c r="C26" s="309" t="str">
        <f>IF(B12="","-",IF(OR(B12=2,B12=3),"-",'Proposed Conditions'!J163))</f>
        <v>-</v>
      </c>
      <c r="E26" s="380"/>
      <c r="F26" s="381"/>
      <c r="G26" s="381"/>
      <c r="H26" s="381"/>
      <c r="I26" s="381"/>
      <c r="O26" s="10"/>
    </row>
    <row r="27" spans="1:22" ht="24" customHeight="1" x14ac:dyDescent="0.25">
      <c r="A27" s="323" t="str">
        <f>'Existing Conditions'!B194</f>
        <v/>
      </c>
      <c r="B27" s="309" t="str">
        <f>IF(B13="","-",IF(B13=3,"-",'Existing Conditions'!J201))</f>
        <v>-</v>
      </c>
      <c r="C27" s="309" t="str">
        <f>IF(B13="","-",IF(OR(B13=2,B13=3),"-",'Proposed Conditions'!J201))</f>
        <v>-</v>
      </c>
      <c r="E27" s="409">
        <v>3</v>
      </c>
      <c r="F27" s="428" t="s">
        <v>363</v>
      </c>
      <c r="G27" s="428"/>
      <c r="H27" s="433" t="s">
        <v>327</v>
      </c>
      <c r="I27" s="381"/>
      <c r="O27" s="70"/>
    </row>
    <row r="28" spans="1:22" ht="24" customHeight="1" x14ac:dyDescent="0.25">
      <c r="A28" s="323" t="str">
        <f>'Existing Conditions'!B232</f>
        <v/>
      </c>
      <c r="B28" s="309" t="str">
        <f>IF(B14="","-",IF(B14=3,"-",'Existing Conditions'!J239))</f>
        <v>-</v>
      </c>
      <c r="C28" s="309" t="str">
        <f>IF(B14="","-",IF(OR(B14=2,B14=3),"-",'Proposed Conditions'!J239))</f>
        <v>-</v>
      </c>
      <c r="E28" s="409"/>
      <c r="F28" s="429">
        <v>1</v>
      </c>
      <c r="G28" s="430"/>
      <c r="H28" s="433"/>
      <c r="I28" s="381"/>
      <c r="N28" s="70"/>
      <c r="O28" s="70"/>
    </row>
    <row r="29" spans="1:22" ht="24" customHeight="1" x14ac:dyDescent="0.25">
      <c r="A29" s="323" t="str">
        <f>'Existing Conditions'!B270</f>
        <v/>
      </c>
      <c r="B29" s="309" t="str">
        <f>IF(B15="","-",IF(B15=3,"-",'Existing Conditions'!J277))</f>
        <v>-</v>
      </c>
      <c r="C29" s="309" t="str">
        <f>IF(B15="","-",IF(OR(B15=2,B15=3),"-",'Proposed Conditions'!J277))</f>
        <v>-</v>
      </c>
      <c r="E29" s="409"/>
      <c r="F29" s="431"/>
      <c r="G29" s="432"/>
      <c r="H29" s="433"/>
      <c r="I29" s="381"/>
      <c r="N29" s="70"/>
      <c r="O29" s="70"/>
    </row>
    <row r="30" spans="1:22" ht="24" customHeight="1" x14ac:dyDescent="0.25">
      <c r="A30" s="323" t="str">
        <f>'Existing Conditions'!B308</f>
        <v/>
      </c>
      <c r="B30" s="309" t="str">
        <f>IF(B16="","-",IF(B16=3,"-",'Existing Conditions'!J315))</f>
        <v>-</v>
      </c>
      <c r="C30" s="309" t="str">
        <f>IF(B16="","-",IF(OR(B16=2,B16=3),"-",'Proposed Conditions'!J315))</f>
        <v>-</v>
      </c>
      <c r="E30" s="434" t="s">
        <v>352</v>
      </c>
      <c r="F30" s="435"/>
      <c r="G30" s="435"/>
      <c r="H30" s="434"/>
      <c r="I30" s="434"/>
      <c r="N30" s="70"/>
      <c r="O30" s="70"/>
    </row>
    <row r="31" spans="1:22" ht="24" customHeight="1" x14ac:dyDescent="0.25">
      <c r="A31" s="323" t="str">
        <f>'Existing Conditions'!B346</f>
        <v/>
      </c>
      <c r="B31" s="309" t="str">
        <f>IF(B17="","-",IF(B17=3,"-",'Existing Conditions'!J353))</f>
        <v>-</v>
      </c>
      <c r="C31" s="309" t="str">
        <f>IF(B17="","-",IF(OR(B17=2,B17=3),"-",'Proposed Conditions'!J353))</f>
        <v>-</v>
      </c>
      <c r="E31" s="434"/>
      <c r="F31" s="434"/>
      <c r="G31" s="434"/>
      <c r="H31" s="434"/>
      <c r="I31" s="434"/>
      <c r="N31" s="70"/>
      <c r="O31" s="70"/>
    </row>
    <row r="32" spans="1:22" ht="46.5" customHeight="1" x14ac:dyDescent="0.25">
      <c r="A32" s="422" t="s">
        <v>324</v>
      </c>
      <c r="B32" s="423"/>
      <c r="C32" s="424"/>
      <c r="D32" s="70"/>
      <c r="E32" s="434"/>
      <c r="F32" s="434"/>
      <c r="G32" s="434"/>
      <c r="H32" s="434"/>
      <c r="I32" s="434"/>
      <c r="N32" s="70"/>
      <c r="O32" s="70"/>
    </row>
    <row r="33" spans="1:16" x14ac:dyDescent="0.25">
      <c r="F33" s="259"/>
      <c r="G33" s="70"/>
      <c r="H33" s="70"/>
      <c r="I33" s="70"/>
      <c r="O33" s="70"/>
      <c r="P33" s="70"/>
    </row>
    <row r="34" spans="1:16" ht="46.5" customHeight="1" thickBot="1" x14ac:dyDescent="0.3">
      <c r="A34" s="301" t="s">
        <v>88</v>
      </c>
      <c r="B34" s="403" t="s">
        <v>330</v>
      </c>
      <c r="C34" s="403"/>
      <c r="D34" s="403"/>
      <c r="E34" s="403"/>
      <c r="F34" s="403"/>
      <c r="G34" s="405" t="s">
        <v>329</v>
      </c>
      <c r="H34" s="406"/>
      <c r="I34" s="302" t="s">
        <v>89</v>
      </c>
      <c r="O34" s="70"/>
      <c r="P34" s="70"/>
    </row>
    <row r="35" spans="1:16" ht="44.25" customHeight="1" thickTop="1" x14ac:dyDescent="0.25">
      <c r="A35" s="304" t="s">
        <v>87</v>
      </c>
      <c r="B35" s="404" t="s">
        <v>358</v>
      </c>
      <c r="C35" s="404"/>
      <c r="D35" s="404"/>
      <c r="E35" s="404"/>
      <c r="F35" s="404"/>
      <c r="G35" s="425">
        <v>1</v>
      </c>
      <c r="H35" s="426"/>
      <c r="I35" s="305">
        <v>0</v>
      </c>
      <c r="O35" s="70"/>
      <c r="P35" s="70"/>
    </row>
    <row r="36" spans="1:16" ht="34.5" customHeight="1" x14ac:dyDescent="0.25">
      <c r="A36" s="306" t="s">
        <v>90</v>
      </c>
      <c r="B36" s="384" t="s">
        <v>332</v>
      </c>
      <c r="C36" s="384"/>
      <c r="D36" s="384"/>
      <c r="E36" s="384"/>
      <c r="F36" s="384"/>
      <c r="G36" s="427">
        <v>0.9</v>
      </c>
      <c r="H36" s="427"/>
      <c r="I36" s="307">
        <v>0.1</v>
      </c>
      <c r="O36" s="70"/>
      <c r="P36" s="70"/>
    </row>
    <row r="37" spans="1:16" ht="89.25" customHeight="1" x14ac:dyDescent="0.25">
      <c r="A37" s="306" t="s">
        <v>91</v>
      </c>
      <c r="B37" s="384" t="s">
        <v>333</v>
      </c>
      <c r="C37" s="384"/>
      <c r="D37" s="384"/>
      <c r="E37" s="384"/>
      <c r="F37" s="384"/>
      <c r="G37" s="427">
        <v>0.7</v>
      </c>
      <c r="H37" s="427"/>
      <c r="I37" s="307">
        <v>0.3</v>
      </c>
      <c r="O37" s="70"/>
      <c r="P37" s="70"/>
    </row>
    <row r="38" spans="1:16" ht="89.25" customHeight="1" x14ac:dyDescent="0.25">
      <c r="A38" s="306" t="s">
        <v>92</v>
      </c>
      <c r="B38" s="384" t="s">
        <v>334</v>
      </c>
      <c r="C38" s="384"/>
      <c r="D38" s="384"/>
      <c r="E38" s="384"/>
      <c r="F38" s="384"/>
      <c r="G38" s="427">
        <v>0.4</v>
      </c>
      <c r="H38" s="427"/>
      <c r="I38" s="307">
        <v>0.6</v>
      </c>
      <c r="O38" s="70"/>
      <c r="P38" s="70"/>
    </row>
    <row r="39" spans="1:16" ht="46.5" customHeight="1" x14ac:dyDescent="0.25">
      <c r="A39" s="306" t="s">
        <v>93</v>
      </c>
      <c r="B39" s="384" t="s">
        <v>336</v>
      </c>
      <c r="C39" s="384"/>
      <c r="D39" s="384"/>
      <c r="E39" s="384"/>
      <c r="F39" s="384"/>
      <c r="G39" s="427">
        <v>0.2</v>
      </c>
      <c r="H39" s="427"/>
      <c r="I39" s="307">
        <v>0.8</v>
      </c>
      <c r="K39" s="70"/>
      <c r="L39" s="70"/>
      <c r="M39" s="70"/>
      <c r="N39" s="70"/>
      <c r="O39" s="70"/>
      <c r="P39" s="70"/>
    </row>
    <row r="40" spans="1:16" ht="15" customHeight="1" x14ac:dyDescent="0.25">
      <c r="A40" s="297" t="s">
        <v>94</v>
      </c>
      <c r="B40" s="384" t="s">
        <v>335</v>
      </c>
      <c r="C40" s="384"/>
      <c r="D40" s="384"/>
      <c r="E40" s="384"/>
      <c r="F40" s="384"/>
      <c r="G40" s="415">
        <v>0</v>
      </c>
      <c r="H40" s="415"/>
      <c r="I40" s="298">
        <v>1</v>
      </c>
      <c r="K40" s="70"/>
      <c r="L40" s="70"/>
      <c r="M40" s="70"/>
      <c r="N40" s="70"/>
    </row>
    <row r="41" spans="1:16" ht="15" customHeight="1" x14ac:dyDescent="0.25">
      <c r="A41" s="256"/>
      <c r="B41" s="257"/>
      <c r="C41" s="257"/>
      <c r="D41" s="257"/>
      <c r="E41" s="258"/>
      <c r="F41" s="258"/>
      <c r="K41" s="70"/>
      <c r="L41" s="70"/>
      <c r="M41" s="70"/>
      <c r="N41" s="70"/>
    </row>
    <row r="42" spans="1:16" x14ac:dyDescent="0.25">
      <c r="A42" s="75"/>
      <c r="B42" s="75"/>
    </row>
    <row r="43" spans="1:16" x14ac:dyDescent="0.25">
      <c r="A43" s="75"/>
      <c r="B43" s="75"/>
      <c r="G43" s="260"/>
      <c r="H43" s="254"/>
      <c r="I43" s="254"/>
    </row>
    <row r="44" spans="1:16" x14ac:dyDescent="0.25">
      <c r="A44" s="75"/>
      <c r="B44" s="75"/>
    </row>
    <row r="45" spans="1:16" x14ac:dyDescent="0.25">
      <c r="A45" s="75"/>
      <c r="B45" s="75"/>
    </row>
    <row r="46" spans="1:16" x14ac:dyDescent="0.25">
      <c r="A46" s="75"/>
      <c r="B46" s="75"/>
      <c r="G46" s="74"/>
      <c r="H46" s="74"/>
      <c r="I46" s="74"/>
    </row>
    <row r="47" spans="1:16" x14ac:dyDescent="0.25">
      <c r="A47" s="75"/>
      <c r="B47" s="75"/>
      <c r="G47" s="74"/>
      <c r="H47" s="74"/>
      <c r="I47" s="74"/>
    </row>
    <row r="48" spans="1:16" x14ac:dyDescent="0.25">
      <c r="G48" s="74"/>
      <c r="H48" s="74"/>
      <c r="I48" s="74"/>
    </row>
    <row r="49" spans="7:10" x14ac:dyDescent="0.25">
      <c r="G49" s="74"/>
      <c r="H49" s="74"/>
      <c r="I49" s="74"/>
    </row>
    <row r="50" spans="7:10" x14ac:dyDescent="0.25">
      <c r="G50" s="129"/>
      <c r="H50" s="129"/>
      <c r="I50" s="129"/>
    </row>
    <row r="63" spans="7:10" x14ac:dyDescent="0.25">
      <c r="J63" s="76"/>
    </row>
  </sheetData>
  <sheetProtection algorithmName="SHA-512" hashValue="j41jhsKYpU1OAuDtLPBBQHY2us2hIqHoSzUJmosDzbF4kMB7NlO32UuQJnfZdQQpFglpGDlycEk5bb1Jit+XTg==" saltValue="EgwJajBngVjoAv0BUGh6mQ==" spinCount="100000" sheet="1" objects="1" scenarios="1"/>
  <mergeCells count="38">
    <mergeCell ref="G40:H40"/>
    <mergeCell ref="A6:I6"/>
    <mergeCell ref="A20:C20"/>
    <mergeCell ref="A32:C32"/>
    <mergeCell ref="G34:H34"/>
    <mergeCell ref="G35:H35"/>
    <mergeCell ref="G36:H36"/>
    <mergeCell ref="G37:H37"/>
    <mergeCell ref="G38:H38"/>
    <mergeCell ref="F27:G27"/>
    <mergeCell ref="F28:G29"/>
    <mergeCell ref="H27:I29"/>
    <mergeCell ref="E30:I32"/>
    <mergeCell ref="G39:H39"/>
    <mergeCell ref="B37:F37"/>
    <mergeCell ref="B38:F38"/>
    <mergeCell ref="B39:F39"/>
    <mergeCell ref="B40:F40"/>
    <mergeCell ref="A1:D1"/>
    <mergeCell ref="B4:D4"/>
    <mergeCell ref="F2:I2"/>
    <mergeCell ref="F3:I3"/>
    <mergeCell ref="B2:D2"/>
    <mergeCell ref="B3:D3"/>
    <mergeCell ref="B34:F34"/>
    <mergeCell ref="B35:F35"/>
    <mergeCell ref="B36:F36"/>
    <mergeCell ref="H20:I20"/>
    <mergeCell ref="F20:G20"/>
    <mergeCell ref="E27:E29"/>
    <mergeCell ref="A18:G18"/>
    <mergeCell ref="H18:I18"/>
    <mergeCell ref="E24:E26"/>
    <mergeCell ref="F24:G26"/>
    <mergeCell ref="E21:E23"/>
    <mergeCell ref="F21:G23"/>
    <mergeCell ref="H21:I23"/>
    <mergeCell ref="H24:I26"/>
  </mergeCells>
  <phoneticPr fontId="17" type="noConversion"/>
  <conditionalFormatting sqref="F5 F3">
    <cfRule type="beginsWith" dxfId="879" priority="36" stopIfTrue="1" operator="beginsWith" text="Functioning At Risk">
      <formula>LEFT(F3,LEN("Functioning At Risk"))="Functioning At Risk"</formula>
    </cfRule>
    <cfRule type="beginsWith" dxfId="878" priority="37" stopIfTrue="1" operator="beginsWith" text="Not Functioning">
      <formula>LEFT(F3,LEN("Not Functioning"))="Not Functioning"</formula>
    </cfRule>
    <cfRule type="containsText" dxfId="877" priority="38" operator="containsText" text="Functioning">
      <formula>NOT(ISERROR(SEARCH("Functioning",F3)))</formula>
    </cfRule>
  </conditionalFormatting>
  <conditionalFormatting sqref="F2">
    <cfRule type="beginsWith" dxfId="876" priority="39" stopIfTrue="1" operator="beginsWith" text="Functioning At Risk">
      <formula>LEFT(F2,LEN("Functioning At Risk"))="Functioning At Risk"</formula>
    </cfRule>
    <cfRule type="beginsWith" dxfId="875" priority="40" stopIfTrue="1" operator="beginsWith" text="Not Functioning">
      <formula>LEFT(F2,LEN("Not Functioning"))="Not Functioning"</formula>
    </cfRule>
    <cfRule type="containsText" dxfId="874" priority="41" operator="containsText" text="Functioning">
      <formula>NOT(ISERROR(SEARCH("Functioning",F2)))</formula>
    </cfRule>
  </conditionalFormatting>
  <conditionalFormatting sqref="D8">
    <cfRule type="expression" dxfId="873" priority="35">
      <formula>D8&gt;C8</formula>
    </cfRule>
  </conditionalFormatting>
  <conditionalFormatting sqref="D9">
    <cfRule type="expression" dxfId="872" priority="34">
      <formula>D9&gt;C9</formula>
    </cfRule>
  </conditionalFormatting>
  <conditionalFormatting sqref="D10">
    <cfRule type="expression" dxfId="871" priority="33">
      <formula>D10&gt;C10</formula>
    </cfRule>
  </conditionalFormatting>
  <conditionalFormatting sqref="D11">
    <cfRule type="expression" dxfId="870" priority="32">
      <formula>D11&gt;C11</formula>
    </cfRule>
  </conditionalFormatting>
  <conditionalFormatting sqref="D12">
    <cfRule type="expression" dxfId="869" priority="31">
      <formula>D12&gt;C12</formula>
    </cfRule>
  </conditionalFormatting>
  <conditionalFormatting sqref="D14">
    <cfRule type="expression" dxfId="868" priority="29">
      <formula>D14&gt;C14</formula>
    </cfRule>
  </conditionalFormatting>
  <conditionalFormatting sqref="D15">
    <cfRule type="expression" dxfId="867" priority="28">
      <formula>D15&gt;C15</formula>
    </cfRule>
  </conditionalFormatting>
  <conditionalFormatting sqref="D16">
    <cfRule type="expression" dxfId="866" priority="27">
      <formula>D16&gt;C16</formula>
    </cfRule>
  </conditionalFormatting>
  <conditionalFormatting sqref="D17">
    <cfRule type="expression" dxfId="865" priority="26">
      <formula>D17&gt;C17</formula>
    </cfRule>
  </conditionalFormatting>
  <conditionalFormatting sqref="D13">
    <cfRule type="expression" dxfId="864" priority="30">
      <formula>D13&gt;C13</formula>
    </cfRule>
  </conditionalFormatting>
  <pageMargins left="0.7" right="0.7" top="0.75" bottom="0.75" header="0.3" footer="0.3"/>
  <pageSetup fitToWidth="0" fitToHeight="0" orientation="landscape" horizontalDpi="4294967292" verticalDpi="1200" r:id="rId1"/>
  <headerFooter>
    <oddFooter>&amp;LAKSQTint v1.0 - Debit Calculator Workbook
 Debit Calculator</oddFooter>
  </headerFooter>
  <rowBreaks count="2" manualBreakCount="2">
    <brk id="19" max="8" man="1"/>
    <brk id="32" max="16383" man="1"/>
  </rowBreaks>
  <colBreaks count="1" manualBreakCount="1">
    <brk id="9" max="39" man="1"/>
  </colBreaks>
  <ignoredErrors>
    <ignoredError sqref="A22" unlockedFormula="1"/>
  </ignoredErrors>
  <extLst>
    <ext xmlns:x14="http://schemas.microsoft.com/office/spreadsheetml/2009/9/main" uri="{CCE6A557-97BC-4b89-ADB6-D9C93CAAB3DF}">
      <x14:dataValidations xmlns:xm="http://schemas.microsoft.com/office/excel/2006/main" xWindow="456" yWindow="444" count="2">
        <x14:dataValidation type="list" showErrorMessage="1" xr:uid="{C0C5BB8B-FCB1-4369-9674-029F2BEC1BF2}">
          <x14:formula1>
            <xm:f>'Pull Down Notes'!$B$103:$B$106</xm:f>
          </x14:formula1>
          <xm:sqref>B8:B17</xm:sqref>
        </x14:dataValidation>
        <x14:dataValidation type="list" allowBlank="1" showInputMessage="1" showErrorMessage="1" xr:uid="{0220CB5B-AD14-4D7E-8C45-9C6016A580A7}">
          <x14:formula1>
            <xm:f>'Pull Down Notes'!$F$50:$F$56</xm:f>
          </x14:formula1>
          <xm:sqref>E8:E17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81"/>
  <sheetViews>
    <sheetView topLeftCell="A343" zoomScaleNormal="100" zoomScaleSheetLayoutView="100" workbookViewId="0">
      <selection activeCell="F347" sqref="F347:G347"/>
    </sheetView>
  </sheetViews>
  <sheetFormatPr defaultRowHeight="15" x14ac:dyDescent="0.25"/>
  <cols>
    <col min="1" max="1" width="21.85546875" customWidth="1"/>
    <col min="2" max="2" width="29.28515625" customWidth="1"/>
    <col min="3" max="3" width="27.85546875" customWidth="1"/>
    <col min="4" max="4" width="17.42578125" style="4" customWidth="1"/>
    <col min="5" max="6" width="17.42578125" customWidth="1"/>
    <col min="7" max="7" width="17.42578125" style="4" customWidth="1"/>
    <col min="8" max="8" width="17.42578125" customWidth="1"/>
    <col min="9" max="9" width="17.42578125" style="47" customWidth="1"/>
    <col min="10" max="10" width="17.42578125" customWidth="1"/>
    <col min="11" max="11" width="18.5703125" customWidth="1"/>
    <col min="12" max="12" width="13.7109375" customWidth="1"/>
    <col min="13" max="13" width="30.85546875" customWidth="1"/>
  </cols>
  <sheetData>
    <row r="1" spans="1:14" s="4" customFormat="1" x14ac:dyDescent="0.25">
      <c r="A1" s="444" t="s">
        <v>353</v>
      </c>
      <c r="B1" s="444"/>
      <c r="C1" s="444"/>
      <c r="D1" s="444"/>
      <c r="E1" s="444"/>
      <c r="F1" s="444"/>
      <c r="G1" s="444"/>
      <c r="H1" s="444"/>
      <c r="I1" s="444"/>
      <c r="J1" s="444"/>
    </row>
    <row r="2" spans="1:14" s="4" customFormat="1" x14ac:dyDescent="0.25">
      <c r="I2" s="47"/>
    </row>
    <row r="3" spans="1:14" ht="21" customHeight="1" x14ac:dyDescent="0.25">
      <c r="A3" s="495" t="s">
        <v>167</v>
      </c>
      <c r="B3" s="496"/>
      <c r="C3" s="496"/>
      <c r="D3" s="496"/>
      <c r="E3" s="496"/>
      <c r="F3" s="496"/>
      <c r="G3" s="496"/>
      <c r="H3" s="496"/>
      <c r="I3" s="496"/>
      <c r="J3" s="497"/>
      <c r="L3" s="4"/>
      <c r="M3" s="4"/>
    </row>
    <row r="4" spans="1:14" s="4" customFormat="1" ht="16.149999999999999" customHeight="1" x14ac:dyDescent="0.25">
      <c r="A4" s="115" t="s">
        <v>59</v>
      </c>
      <c r="B4" s="130" t="str">
        <f>IF('Project Assessment'!A10="","",'Project Assessment'!A10)</f>
        <v/>
      </c>
      <c r="C4" s="115" t="s">
        <v>168</v>
      </c>
      <c r="D4" s="117"/>
      <c r="E4" s="157" t="s">
        <v>73</v>
      </c>
      <c r="F4" s="498"/>
      <c r="G4" s="498"/>
      <c r="H4" s="493" t="s">
        <v>102</v>
      </c>
      <c r="I4" s="494"/>
      <c r="J4" s="116"/>
    </row>
    <row r="5" spans="1:14" s="4" customFormat="1" ht="16.149999999999999" customHeight="1" x14ac:dyDescent="0.25">
      <c r="A5" s="120" t="s">
        <v>212</v>
      </c>
      <c r="B5" s="130" t="str">
        <f>IF('Project Assessment'!B10="","",'Project Assessment'!B10)</f>
        <v/>
      </c>
      <c r="C5" s="250" t="s">
        <v>359</v>
      </c>
      <c r="D5" s="138"/>
      <c r="E5" s="157" t="s">
        <v>156</v>
      </c>
      <c r="F5" s="498"/>
      <c r="G5" s="498"/>
      <c r="H5" s="493" t="s">
        <v>103</v>
      </c>
      <c r="I5" s="494"/>
      <c r="J5" s="116"/>
    </row>
    <row r="6" spans="1:14" s="4" customFormat="1" ht="16.149999999999999" customHeight="1" x14ac:dyDescent="0.35">
      <c r="A6" s="119" t="s">
        <v>157</v>
      </c>
      <c r="B6" s="130" t="str">
        <f>IF('Project Assessment'!C10="","",'Project Assessment'!C10)</f>
        <v/>
      </c>
      <c r="C6" s="239" t="s">
        <v>360</v>
      </c>
      <c r="D6" s="117"/>
      <c r="E6" s="157" t="s">
        <v>220</v>
      </c>
      <c r="F6" s="498"/>
      <c r="G6" s="498"/>
      <c r="H6" s="493" t="s">
        <v>104</v>
      </c>
      <c r="I6" s="494"/>
      <c r="J6" s="32"/>
      <c r="K6" s="24"/>
    </row>
    <row r="7" spans="1:14" ht="16.149999999999999" customHeight="1" x14ac:dyDescent="0.25">
      <c r="A7" s="499"/>
      <c r="B7" s="500"/>
      <c r="C7" s="233" t="s">
        <v>155</v>
      </c>
      <c r="D7" s="117"/>
      <c r="E7" s="502"/>
      <c r="F7" s="503"/>
      <c r="G7" s="504"/>
      <c r="H7" s="493" t="s">
        <v>105</v>
      </c>
      <c r="I7" s="494"/>
      <c r="J7" s="116"/>
      <c r="K7" s="37"/>
      <c r="L7" s="4"/>
      <c r="M7" s="4"/>
    </row>
    <row r="8" spans="1:14" s="4" customFormat="1" ht="4.5" customHeight="1" x14ac:dyDescent="0.25">
      <c r="B8" s="50"/>
      <c r="C8" s="50"/>
      <c r="D8" s="50"/>
      <c r="E8" s="50"/>
      <c r="F8" s="50"/>
      <c r="G8" s="50"/>
      <c r="H8" s="50"/>
      <c r="I8" s="48"/>
      <c r="J8" s="9"/>
      <c r="K8" s="37"/>
    </row>
    <row r="9" spans="1:14" ht="19.899999999999999" customHeight="1" x14ac:dyDescent="0.35">
      <c r="A9" s="492" t="str">
        <f>_xlfn.CONCAT("EXISTING CONDITION ASSESSMENT for Reach ",B4)</f>
        <v xml:space="preserve">EXISTING CONDITION ASSESSMENT for Reach </v>
      </c>
      <c r="B9" s="492"/>
      <c r="C9" s="492"/>
      <c r="D9" s="492"/>
      <c r="E9" s="492"/>
      <c r="F9" s="492"/>
      <c r="G9" s="492" t="s">
        <v>244</v>
      </c>
      <c r="H9" s="492"/>
      <c r="I9" s="492"/>
      <c r="J9" s="492"/>
      <c r="K9" s="9"/>
      <c r="L9" s="4"/>
      <c r="M9" s="4"/>
      <c r="N9" s="4"/>
    </row>
    <row r="10" spans="1:14" ht="15.75" x14ac:dyDescent="0.25">
      <c r="A10" s="30" t="s">
        <v>1</v>
      </c>
      <c r="B10" s="12" t="s">
        <v>2</v>
      </c>
      <c r="C10" s="448" t="s">
        <v>316</v>
      </c>
      <c r="D10" s="449"/>
      <c r="E10" s="30" t="s">
        <v>8</v>
      </c>
      <c r="F10" s="29" t="s">
        <v>9</v>
      </c>
      <c r="G10" s="12" t="s">
        <v>11</v>
      </c>
      <c r="H10" s="12" t="s">
        <v>12</v>
      </c>
      <c r="I10" s="49" t="s">
        <v>12</v>
      </c>
      <c r="J10" s="271" t="s">
        <v>85</v>
      </c>
      <c r="K10" s="9"/>
      <c r="L10" s="4"/>
      <c r="M10" s="4"/>
      <c r="N10" s="4"/>
    </row>
    <row r="11" spans="1:14" ht="15.75" x14ac:dyDescent="0.25">
      <c r="A11" s="450" t="s">
        <v>223</v>
      </c>
      <c r="B11" s="453" t="s">
        <v>224</v>
      </c>
      <c r="C11" s="212" t="s">
        <v>114</v>
      </c>
      <c r="D11" s="215"/>
      <c r="E11" s="35"/>
      <c r="F11" s="218" t="str">
        <f>IF(E11="","",IF(E11&gt;=86,0,IF(E11&lt;=9,1,ROUND(IF(E11&gt;22,E11*'Reference Curves'!B$4+'Reference Curves'!B$5, IF(E11&gt;16, E11*'Reference Curves'!C$4+'Reference Curves'!C$5,E11*'Reference Curves'!$D$4+'Reference Curves'!$D$5)),2))))</f>
        <v/>
      </c>
      <c r="G11" s="456" t="str">
        <f>IFERROR(AVERAGE(F11:F13),"")</f>
        <v/>
      </c>
      <c r="H11" s="458" t="str">
        <f>IFERROR(ROUND(AVERAGE(G11:G17),2),"")</f>
        <v/>
      </c>
      <c r="I11" s="445" t="str">
        <f>IF(H11="","",IF(H11&gt;0.69,"Functioning",IF(H11&gt;0.29,"Functioning At Risk",IF(H11&gt;-1,"Not Functioning"))))</f>
        <v/>
      </c>
      <c r="J11" s="461">
        <f>IF(AND(H11="",H18="",H21="",H32="",H35=""),"",ROUND((IF(H11="",0,H11)*0.2)+(IF(H18="",0,H18)*0.2)+(IF(H21="",0,H21)*0.2)+(IF(H32="",0,H32)*0.2)+(IF(H35="",0,H35)*0.2),2))</f>
        <v>0.4</v>
      </c>
      <c r="K11" s="9"/>
      <c r="L11" s="4"/>
      <c r="M11" s="4"/>
      <c r="N11" s="4"/>
    </row>
    <row r="12" spans="1:14" s="4" customFormat="1" ht="15.75" x14ac:dyDescent="0.25">
      <c r="A12" s="451"/>
      <c r="B12" s="454"/>
      <c r="C12" s="213" t="s">
        <v>221</v>
      </c>
      <c r="D12" s="216"/>
      <c r="E12" s="34"/>
      <c r="F12" s="235" t="str">
        <f>IF(E12="","",IF(E12&gt;=33.5,0,IF(E12=0,1,ROUND(E12*'Reference Curves'!B$9+'Reference Curves'!B$10,2))))</f>
        <v/>
      </c>
      <c r="G12" s="457"/>
      <c r="H12" s="459"/>
      <c r="I12" s="446"/>
      <c r="J12" s="462"/>
      <c r="K12" s="9"/>
    </row>
    <row r="13" spans="1:14" s="4" customFormat="1" ht="15.75" x14ac:dyDescent="0.25">
      <c r="A13" s="451"/>
      <c r="B13" s="455"/>
      <c r="C13" s="214" t="s">
        <v>222</v>
      </c>
      <c r="D13" s="216"/>
      <c r="E13" s="36"/>
      <c r="F13" s="235" t="str">
        <f>IF(E13="","",IF(E13&gt;=61,0,IF(E13=0,1, ROUND(IF(E13&gt;35,E13*'Reference Curves'!B$15+'Reference Curves'!B$16,  E13*'Reference Curves'!C$15+'Reference Curves'!C$16),2))))</f>
        <v/>
      </c>
      <c r="G13" s="457"/>
      <c r="H13" s="459"/>
      <c r="I13" s="446"/>
      <c r="J13" s="462"/>
      <c r="K13" s="9"/>
    </row>
    <row r="14" spans="1:14" s="4" customFormat="1" ht="15.75" x14ac:dyDescent="0.25">
      <c r="A14" s="451"/>
      <c r="B14" s="464" t="s">
        <v>63</v>
      </c>
      <c r="C14" s="212" t="s">
        <v>114</v>
      </c>
      <c r="D14" s="215"/>
      <c r="E14" s="34"/>
      <c r="F14" s="218" t="str">
        <f>IF(E14="","",IF(E14&gt;=86,0,IF(E14&lt;=9,1,ROUND(IF(E14&gt;22,E14*'Reference Curves'!B$4+'Reference Curves'!B$5, IF(E14&gt;16, E14*'Reference Curves'!C$4+'Reference Curves'!C$5,E14*'Reference Curves'!$D$4+'Reference Curves'!$D$5)),2))))</f>
        <v/>
      </c>
      <c r="G14" s="456" t="str">
        <f>IFERROR(AVERAGE(F14:F17),"")</f>
        <v/>
      </c>
      <c r="H14" s="459"/>
      <c r="I14" s="446"/>
      <c r="J14" s="462"/>
      <c r="K14" s="9"/>
    </row>
    <row r="15" spans="1:14" s="4" customFormat="1" ht="15.75" x14ac:dyDescent="0.25">
      <c r="A15" s="451"/>
      <c r="B15" s="464"/>
      <c r="C15" s="213" t="s">
        <v>221</v>
      </c>
      <c r="D15" s="216"/>
      <c r="E15" s="34"/>
      <c r="F15" s="235" t="str">
        <f>IF(E15="","",IF(E15&gt;=33.5,0,IF(E15=0,1,ROUND(E15*'Reference Curves'!B$9+'Reference Curves'!B$10,2))))</f>
        <v/>
      </c>
      <c r="G15" s="457"/>
      <c r="H15" s="459"/>
      <c r="I15" s="446"/>
      <c r="J15" s="462"/>
      <c r="K15" s="9"/>
    </row>
    <row r="16" spans="1:14" s="4" customFormat="1" ht="15.75" x14ac:dyDescent="0.25">
      <c r="A16" s="451"/>
      <c r="B16" s="464"/>
      <c r="C16" s="213" t="s">
        <v>222</v>
      </c>
      <c r="D16" s="216"/>
      <c r="E16" s="34"/>
      <c r="F16" s="235" t="str">
        <f>IF(E16="","",IF(E16&gt;=61,0,IF(E16=0,1, ROUND(IF(E16&gt;35,E16*'Reference Curves'!B$15+'Reference Curves'!B$16,  E16*'Reference Curves'!C$15+'Reference Curves'!C$16),2))))</f>
        <v/>
      </c>
      <c r="G16" s="457"/>
      <c r="H16" s="459"/>
      <c r="I16" s="446"/>
      <c r="J16" s="462"/>
      <c r="K16" s="9"/>
    </row>
    <row r="17" spans="1:14" s="4" customFormat="1" ht="15.75" x14ac:dyDescent="0.25">
      <c r="A17" s="452"/>
      <c r="B17" s="465"/>
      <c r="C17" s="214" t="s">
        <v>225</v>
      </c>
      <c r="D17" s="217"/>
      <c r="E17" s="34"/>
      <c r="F17" s="236" t="str">
        <f>IF(E17="","",   IF(E17&gt;3.35,0, IF(E17&lt;0, "", ROUND('Reference Curves'!$B$20*E17+'Reference Curves'!$B$21,2))))</f>
        <v/>
      </c>
      <c r="G17" s="457"/>
      <c r="H17" s="460"/>
      <c r="I17" s="447"/>
      <c r="J17" s="462"/>
      <c r="K17" s="9"/>
    </row>
    <row r="18" spans="1:14" s="4" customFormat="1" ht="15.75" x14ac:dyDescent="0.25">
      <c r="A18" s="466" t="s">
        <v>226</v>
      </c>
      <c r="B18" s="469" t="s">
        <v>3</v>
      </c>
      <c r="C18" s="95" t="s">
        <v>227</v>
      </c>
      <c r="D18" s="13"/>
      <c r="E18" s="28"/>
      <c r="F18" s="121" t="str">
        <f>IF(E18="","", IF(E18&gt;1.71,0,IF(E18&lt;=1,1, ROUND(E18*'Reference Curves'!G$3+'Reference Curves'!G$4,2))))</f>
        <v/>
      </c>
      <c r="G18" s="471" t="str">
        <f>IFERROR(AVERAGE(F18:F19),"")</f>
        <v/>
      </c>
      <c r="H18" s="471" t="str">
        <f>IFERROR(ROUND(AVERAGE(G18:G20),2),"")</f>
        <v/>
      </c>
      <c r="I18" s="445" t="str">
        <f>IF(H18="","",IF(H18&gt;0.69,"Functioning",IF(H18&gt;0.29,"Functioning At Risk",IF(H18&gt;-1,"Not Functioning"))))</f>
        <v/>
      </c>
      <c r="J18" s="462"/>
      <c r="K18" s="9"/>
      <c r="N18" s="8"/>
    </row>
    <row r="19" spans="1:14" s="4" customFormat="1" ht="15.75" x14ac:dyDescent="0.25">
      <c r="A19" s="467"/>
      <c r="B19" s="470"/>
      <c r="C19" s="97" t="s">
        <v>228</v>
      </c>
      <c r="D19" s="102"/>
      <c r="E19" s="33"/>
      <c r="F19" s="237" t="str">
        <f>IF(E19="","",IF(LEFT(D4,1)="B",IF(E19&lt;=1,0,IF(E19&gt;=2.2,1,ROUND(IF(E19&lt;1.4,E19*'Reference Curves'!$G$19+'Reference Curves'!$G$20,E19*'Reference Curves'!$H$19+'Reference Curves'!$H$20),2))),
IF(LEFT(D4,1)="C",IF(E19&lt;1.7,0,IF(E19&gt;=4.4,1,ROUND(IF(E19&gt;2.4,E19*'Reference Curves'!$H$9+'Reference Curves'!$H$10,E19*'Reference Curves'!$G$9+'Reference Curves'!$G$10),2))),
IF(LEFT(D4,1)="E",IF(E19&lt;1.7,0,IF(E19&gt;=6.5,1,ROUND(IF(E19&gt;2.4,E19*'Reference Curves'!$H$14+'Reference Curves'!$H$15,E19*'Reference Curves'!$G$14+'Reference Curves'!$G$15),2)))))))</f>
        <v/>
      </c>
      <c r="G19" s="472"/>
      <c r="H19" s="473"/>
      <c r="I19" s="446"/>
      <c r="J19" s="462"/>
      <c r="K19" s="9"/>
      <c r="N19" s="8"/>
    </row>
    <row r="20" spans="1:14" s="4" customFormat="1" ht="15.75" customHeight="1" x14ac:dyDescent="0.25">
      <c r="A20" s="468"/>
      <c r="B20" s="219" t="s">
        <v>229</v>
      </c>
      <c r="C20" s="96" t="s">
        <v>230</v>
      </c>
      <c r="D20" s="13"/>
      <c r="E20" s="32"/>
      <c r="F20" s="122" t="str">
        <f>IF(E20="","",IF(E20&gt;=180,0, IF(E20=100,1, ROUND(IF(E20&gt;100,E20*'Reference Curves'!$H$25+'Reference Curves'!$H$26, IF(E18&gt;1.2,IF(E20 &lt;=20,0, E20*'Reference Curves'!$G$25+'Reference Curves'!$G$26),1)),2))))</f>
        <v/>
      </c>
      <c r="G20" s="156" t="str">
        <f>IFERROR(AVERAGE(F20),"")</f>
        <v/>
      </c>
      <c r="H20" s="472"/>
      <c r="I20" s="447"/>
      <c r="J20" s="462"/>
      <c r="K20" s="9"/>
      <c r="N20" s="8"/>
    </row>
    <row r="21" spans="1:14" s="4" customFormat="1" ht="15.75" x14ac:dyDescent="0.25">
      <c r="A21" s="474" t="s">
        <v>16</v>
      </c>
      <c r="B21" s="150" t="s">
        <v>231</v>
      </c>
      <c r="C21" s="220" t="s">
        <v>232</v>
      </c>
      <c r="D21" s="221"/>
      <c r="E21" s="46"/>
      <c r="F21" s="238" t="str">
        <f>IF(E21="","",IF(F5="Alaska Range",ROUND(IF(E21&lt;=0.05,0, IF(E21&gt;=6.3,1,IF(E21&lt;=1.5,'Reference Curves'!$K$5*E21+'Reference Curves'!$K$6, 'Reference Curves'!$L$5*E21+'Reference Curves'!$L$6))),2),
IF(F5="Brooks Range",ROUND(IF(E21&gt;=4.2,1,IF(E21&lt;0.03,0, IF(E21&lt;=1.2,'Reference Curves'!$M$5*E21+'Reference Curves'!$M$6, 'Reference Curves'!$N$5*E21+'Reference Curves'!$N$6))),2),
IF(OR(F5="Interior Bottomlands", F5="Yukon Flats"),ROUND(IF(E21&gt;=54.5,1,IF(E21&lt;=3.7,'Reference Curves'!$K$11*E21+'Reference Curves'!$K$12, IF(E21&lt;4.7,  'Reference Curves'!$L$11*E21+'Reference Curves'!$L$12,  'Reference Curves'!$M$11*E21+'Reference Curves'!$M$12))),2),
IF(OR(F5="Interior Forested Lowlands/Uplands",F5="Interior Highlands"),ROUND(IF(E21=0,0,IF(E21&gt;=24.1,1,IF(E21&lt;=1.3,'Reference Curves'!$N$11*E21+'Reference Curves'!$N$12, 'Reference Curves'!$O$11*E21+'Reference Curves'!$O$12))),2))))))</f>
        <v/>
      </c>
      <c r="G21" s="151" t="str">
        <f>IFERROR(AVERAGE(F21:F21),"")</f>
        <v/>
      </c>
      <c r="H21" s="476" t="str">
        <f>IFERROR(ROUND(AVERAGE(G21:G31),2),"")</f>
        <v/>
      </c>
      <c r="I21" s="479" t="str">
        <f>IF(H21="","",IF(H21&gt;0.69,"Functioning",IF(H21&gt;0.29,"Functioning At Risk",IF(H21&gt;-1,"Not Functioning"))))</f>
        <v/>
      </c>
      <c r="J21" s="462"/>
      <c r="K21" s="9"/>
      <c r="N21" s="8"/>
    </row>
    <row r="22" spans="1:14" s="4" customFormat="1" ht="15.75" x14ac:dyDescent="0.25">
      <c r="A22" s="475"/>
      <c r="B22" s="475" t="s">
        <v>99</v>
      </c>
      <c r="C22" s="16" t="s">
        <v>37</v>
      </c>
      <c r="D22" s="100"/>
      <c r="E22" s="234"/>
      <c r="F22" s="123" t="str">
        <f>IF(E22="","",IF(OR(E22="Ex/Ex",E22="Ex/VH",E22="Ex/H",E22="Ex/M",E22="VH/Ex",E22="VH/VH", E22="H/Ex",E22="H/VH"),0,
IF(OR(E22="M/Ex"),0.1,
IF(OR(E22="VH/H",E22="VH/M",E22="H/H",E22="H/M", E22="M/VH"),0.2,
IF(OR(E22="Ex/VL",E22="Ex/L", E22="M/H"),0.3,
IF(OR(E22="VH/L",E22="H/L"),0.4,
IF(OR(E22="VH/VL",E22="H/VL",E22="M/M"),0.5,
IF(OR(E22="M/L",E22="L/Ex"),0.6,
IF(OR(E22="M/VL",E22="L/VH", E22="L/H",E22="L/M",E22="L/L",E22="L/VL", LEFT(E22,2)="VL"),1)))))))))</f>
        <v/>
      </c>
      <c r="G22" s="476" t="str">
        <f>IFERROR(IF(E24&gt;=50,0,AVERAGE(F22:F24)),"")</f>
        <v/>
      </c>
      <c r="H22" s="477"/>
      <c r="I22" s="480"/>
      <c r="J22" s="462"/>
      <c r="K22" s="9"/>
      <c r="N22" s="8"/>
    </row>
    <row r="23" spans="1:14" s="4" customFormat="1" ht="15.75" x14ac:dyDescent="0.25">
      <c r="A23" s="475"/>
      <c r="B23" s="475"/>
      <c r="C23" s="98" t="s">
        <v>48</v>
      </c>
      <c r="D23" s="230"/>
      <c r="E23" s="32"/>
      <c r="F23" s="123" t="str">
        <f>IF(E23="","",ROUND(IF(E23&gt;=75,0,IF(E23&lt;=5,1,IF(E23&gt;10,E23*'Reference Curves'!K$17+'Reference Curves'!K$18,'Reference Curves'!$L$17*E23+'Reference Curves'!$L$18))),2))</f>
        <v/>
      </c>
      <c r="G23" s="477"/>
      <c r="H23" s="477"/>
      <c r="I23" s="480"/>
      <c r="J23" s="462"/>
      <c r="K23" s="9"/>
      <c r="N23" s="8"/>
    </row>
    <row r="24" spans="1:14" s="4" customFormat="1" ht="15.75" x14ac:dyDescent="0.25">
      <c r="A24" s="475"/>
      <c r="B24" s="482"/>
      <c r="C24" s="99" t="s">
        <v>233</v>
      </c>
      <c r="D24" s="231"/>
      <c r="E24" s="33"/>
      <c r="F24" s="124" t="str">
        <f>IF(E24="","",IF(E24&gt;=30,0,ROUND(E24*'Reference Curves'!$K$22+'Reference Curves'!$K$23,2)))</f>
        <v/>
      </c>
      <c r="G24" s="478"/>
      <c r="H24" s="477"/>
      <c r="I24" s="480"/>
      <c r="J24" s="462"/>
      <c r="K24" s="9"/>
      <c r="N24" s="8"/>
    </row>
    <row r="25" spans="1:14" s="4" customFormat="1" ht="15.75" x14ac:dyDescent="0.25">
      <c r="A25" s="475"/>
      <c r="B25" s="222" t="s">
        <v>234</v>
      </c>
      <c r="C25" s="17" t="s">
        <v>235</v>
      </c>
      <c r="D25" s="100"/>
      <c r="E25" s="33"/>
      <c r="F25" s="123" t="str">
        <f>IF(E25="","",IF(OR(D6="Cobble",D6="Boulders",D6="Bedrock"),ROUND(IF(E25&lt;=0,1,IF(E25&gt;=13.7,0, IF(E25&gt;5,E25*'Reference Curves'!$M$29+'Reference Curves'!$M$30,  E25*'Reference Curves'!$N$29+'Reference Curves'!$N$30))),2),
IF(D6="Gravel",ROUND(IF(E25&lt;=3,1,IF(E25&gt;=54,0, IF(E25&gt;15,E25*'Reference Curves'!$K$29+'Reference Curves'!$K$30,  E25*'Reference Curves'!$L$29+'Reference Curves'!$L$30))),2))))</f>
        <v/>
      </c>
      <c r="G25" s="151" t="str">
        <f>IFERROR(AVERAGE(F25:F25),"")</f>
        <v/>
      </c>
      <c r="H25" s="477"/>
      <c r="I25" s="480"/>
      <c r="J25" s="462"/>
      <c r="K25" s="9"/>
      <c r="N25" s="8"/>
    </row>
    <row r="26" spans="1:14" s="4" customFormat="1" ht="15.75" x14ac:dyDescent="0.25">
      <c r="A26" s="475"/>
      <c r="B26" s="474" t="s">
        <v>39</v>
      </c>
      <c r="C26" s="14" t="s">
        <v>236</v>
      </c>
      <c r="D26" s="18"/>
      <c r="E26" s="35"/>
      <c r="F26" s="125" t="str">
        <f>IF(E26="","",IF(D4="Bc",IF(E26&gt;=12,0,IF(E26&lt;=3.4,1,ROUND('Reference Curves'!$K$39*E26+'Reference Curves'!$K$40,2))),
IF(OR(D4="B",D4="Ba"),IF(E26&gt;=6,0,IF(E26&lt;=2,1,ROUND(IF(E26&gt;3.9,'Reference Curves'!$K$35*E26+'Reference Curves'!$K$36,'Reference Curves'!$L$35*E26+'Reference Curves'!$L$36),2))),
IF(LEFT(D4,1)="C",IF(OR(E26&gt;=9.3,E26&lt;=3),0,IF(AND(E26&gt;=4,E26&lt;=6),1,ROUND(IF(E26&lt;4,'Reference Curves'!$K$49*E26+'Reference Curves'!$K$50,'Reference Curves'!$L$49*E26+'Reference Curves'!$L$50),2))),
IF(D4="E",IF(OR(E26&gt;=8.3,E26&lt;=1.8),0,IF(AND(E26&gt;=3.5,E26&lt;=5),1,ROUND(IF(E26&lt;3.5,'Reference Curves'!$K$44*E26+'Reference Curves'!$K$45,'Reference Curves'!$L$44*E26+'Reference Curves'!$L$45),2)))      )))))</f>
        <v/>
      </c>
      <c r="G26" s="483" t="str">
        <f>IFERROR(AVERAGE(F26:F28),"")</f>
        <v/>
      </c>
      <c r="H26" s="477"/>
      <c r="I26" s="480"/>
      <c r="J26" s="462"/>
      <c r="K26" s="9"/>
      <c r="N26" s="8"/>
    </row>
    <row r="27" spans="1:14" s="4" customFormat="1" ht="15.75" x14ac:dyDescent="0.25">
      <c r="A27" s="475"/>
      <c r="B27" s="475"/>
      <c r="C27" s="16" t="s">
        <v>237</v>
      </c>
      <c r="D27" s="100"/>
      <c r="E27" s="34"/>
      <c r="F27" s="126" t="str">
        <f>IF(E27="","",ROUND(IF(E27&lt;=1,0, IF(OR(D4="B", D4="Ba"), IF(E27&gt;=2.8,1,IF(E27&gt;=1.8,'Reference Curves'!$L$56*E27+'Reference Curves'!$L$57,'Reference Curves'!$K$56*E27+'Reference Curves'!$K$57)),IF(E27&gt;=3.2,1,IF(E27&gt;=2.2,'Reference Curves'!$N$56*E27+'Reference Curves'!$N$57,'Reference Curves'!$M$56*E27+'Reference Curves'!$M$57)))),2))</f>
        <v/>
      </c>
      <c r="G27" s="484"/>
      <c r="H27" s="477"/>
      <c r="I27" s="480"/>
      <c r="J27" s="462"/>
      <c r="K27" s="9"/>
      <c r="N27" s="8"/>
    </row>
    <row r="28" spans="1:14" s="4" customFormat="1" ht="15.75" customHeight="1" x14ac:dyDescent="0.25">
      <c r="A28" s="475"/>
      <c r="B28" s="475"/>
      <c r="C28" s="16" t="s">
        <v>79</v>
      </c>
      <c r="D28" s="100"/>
      <c r="E28" s="34"/>
      <c r="F28" s="155" t="str">
        <f>IF(E28="","",IF(D5&gt;=3,IF(OR(E28&lt;=0,E28&gt;=100),0,IF(AND(E28&gt;=68,E28&lt;=85),1,IF(E28&lt;68,IF(E28&lt;62,ROUND(E28*'Reference Curves'!$K$69+'Reference Curves'!$K$70,2),ROUND(E28*'Reference Curves'!$L$69+'Reference Curves'!$L$70,2)),
IF(E28&gt;87,ROUND(E28*'Reference Curves'!$M$69+'Reference Curves'!$M$70,2),ROUND(E28*'Reference Curves'!$N$69+'Reference Curves'!$N$70,2))))),
IF(D5&lt;&gt;0,IF(OR(E28&lt;=0,E28&gt;=100),0,IF(AND(E28&lt;=60,E28&gt;=50),1,IF(E28&lt;50,IF(E28&lt;39,ROUND(E28*'Reference Curves'!$K$63+'Reference Curves'!$K$64,2),ROUND(E28*'Reference Curves'!$L$63+'Reference Curves'!$L$64,2)),
IF(E28&gt;69,ROUND(E28*'Reference Curves'!$M$63+'Reference Curves'!$M$64,2),ROUND(E28*'Reference Curves'!$N$63+'Reference Curves'!$N$64,2))))))))</f>
        <v/>
      </c>
      <c r="G28" s="484"/>
      <c r="H28" s="477"/>
      <c r="I28" s="480"/>
      <c r="J28" s="462"/>
      <c r="K28" s="9"/>
      <c r="N28" s="8"/>
    </row>
    <row r="29" spans="1:14" s="4" customFormat="1" ht="15.75" x14ac:dyDescent="0.25">
      <c r="A29" s="475"/>
      <c r="B29" s="474" t="s">
        <v>38</v>
      </c>
      <c r="C29" s="14" t="s">
        <v>238</v>
      </c>
      <c r="D29" s="41"/>
      <c r="E29" s="15"/>
      <c r="F29" s="127" t="str">
        <f>IF( E29="","",
IF( F4="Unconfined Alluvial", IF( E29&gt;=100,1,
ROUND('Reference Curves'!$K$76*E29+'Reference Curves'!$K$77,2) ),
IF( OR(F4="Confined Alluvial", F4="Colluvial/V-Shaped"), ( IF(E29&gt;=100,1,
IF(E29&gt;=60, ROUND('Reference Curves'!$M$76*E29+'Reference Curves'!$M$77,2), ROUND('Reference Curves'!$L$76*E29+'Reference Curves'!$L$77,2) ) ) ) ) ) )</f>
        <v/>
      </c>
      <c r="G29" s="476" t="str">
        <f>IFERROR(AVERAGE(F29:F31),"")</f>
        <v/>
      </c>
      <c r="H29" s="477"/>
      <c r="I29" s="480"/>
      <c r="J29" s="462"/>
      <c r="K29" s="9"/>
      <c r="N29" s="8"/>
    </row>
    <row r="30" spans="1:14" s="4" customFormat="1" ht="15.75" x14ac:dyDescent="0.25">
      <c r="A30" s="475"/>
      <c r="B30" s="475"/>
      <c r="C30" s="16" t="s">
        <v>202</v>
      </c>
      <c r="D30" s="57"/>
      <c r="E30" s="65"/>
      <c r="F30" s="126" t="str">
        <f>IF(E30="","",IF(OR(F5="Alaska Range",F5="Brooks Range"),ROUND(IF(E30&gt;=1.57,1,IF(E30&lt;=0.06,'Reference Curves'!$K$83*E30+'Reference Curves'!$K$84, IF(E30&lt;0.83, 'Reference Curves'!$L$83*E30+'Reference Curves'!$L$84, 'Reference Curves'!$M$83*E30+'Reference Curves'!$M$84))),2),
IF(F5="Interior Highlands",ROUND(IF(E30&gt;=1.67,1,IF(E30&lt;=0.94,'Reference Curves'!$N$83*E30+'Reference Curves'!$N$84, IF(E30&lt;1.21, 'Reference Curves'!$O$83*E30+'Reference Curves'!$O$84, 'Reference Curves'!$P$83*E30+'Reference Curves'!$P$84))),2),
IF(OR(F5="Interior Bottomlands",F5="Yukon Flats"),ROUND(IF(E30&gt;=1.82,1,IF(E30&lt;=1.19,'Reference Curves'!$K$89*E30+'Reference Curves'!$K$90, IF(E30&lt;1.37, 'Reference Curves'!$L$89*E30+'Reference Curves'!$L$90, 'Reference Curves'!$M$89*E30+'Reference Curves'!$M$90))),2),
IF(F5="Interior Forested Lowlands/Uplands",ROUND(IF(E30&gt;=1.87,1,IF(E30&lt;=1.24,'Reference Curves'!$N$89*E30+'Reference Curves'!$N$90, IF(E30&lt;1.45, 'Reference Curves'!$O$89*E30+'Reference Curves'!$O$90, 'Reference Curves'!$P$89*E30+'Reference Curves'!$P$90))),2))))))</f>
        <v/>
      </c>
      <c r="G30" s="477"/>
      <c r="H30" s="477"/>
      <c r="I30" s="480"/>
      <c r="J30" s="462"/>
      <c r="K30" s="9"/>
      <c r="N30" s="8"/>
    </row>
    <row r="31" spans="1:14" s="4" customFormat="1" ht="15.75" x14ac:dyDescent="0.25">
      <c r="A31" s="475"/>
      <c r="B31" s="475"/>
      <c r="C31" s="16" t="s">
        <v>239</v>
      </c>
      <c r="D31" s="57"/>
      <c r="E31" s="65"/>
      <c r="F31" s="155" t="str">
        <f>IF(E31="","",IF(E31&lt;83.5,0,IF(E31&gt;=100,1,ROUND(E31*'Reference Curves'!$K$94+'Reference Curves'!$K$95,2))))</f>
        <v/>
      </c>
      <c r="G31" s="478"/>
      <c r="H31" s="478"/>
      <c r="I31" s="481"/>
      <c r="J31" s="462"/>
      <c r="K31" s="9"/>
      <c r="N31" s="8"/>
    </row>
    <row r="32" spans="1:14" ht="15.75" x14ac:dyDescent="0.25">
      <c r="A32" s="485" t="s">
        <v>41</v>
      </c>
      <c r="B32" s="223" t="s">
        <v>115</v>
      </c>
      <c r="C32" s="224" t="s">
        <v>340</v>
      </c>
      <c r="D32" s="225"/>
      <c r="E32" s="28"/>
      <c r="F32" s="232" t="str">
        <f>IF(E32="","", IF(E32&lt;=1.1,1, IF(E32 &gt;1.315,0, ROUND(E32*'Reference Curves'!R$3+'Reference Curves'!R$4,2))))</f>
        <v/>
      </c>
      <c r="G32" s="232" t="str">
        <f>IFERROR(AVERAGE(F32),"")</f>
        <v/>
      </c>
      <c r="H32" s="488">
        <f>IF(OR(G32&lt;&gt;"",G33&lt;&gt;"",G34&lt;&gt;""),ROUND(AVERAGE(G32:G34),2),'Debit Calculator'!$F$28)</f>
        <v>1</v>
      </c>
      <c r="I32" s="436" t="str">
        <f>IF(H32="","",IF(H32&gt;0.69,"Functioning",IF(H32&gt;0.29,"Functioning At Risk",IF(H32&gt;-1,"Not Functioning"))))</f>
        <v>Functioning</v>
      </c>
      <c r="J32" s="462"/>
      <c r="K32" s="9"/>
      <c r="L32" s="4"/>
      <c r="M32" s="4"/>
      <c r="N32" s="8"/>
    </row>
    <row r="33" spans="1:14" s="4" customFormat="1" ht="15.75" x14ac:dyDescent="0.25">
      <c r="A33" s="486"/>
      <c r="B33" s="223" t="s">
        <v>240</v>
      </c>
      <c r="C33" s="224" t="s">
        <v>341</v>
      </c>
      <c r="D33" s="225"/>
      <c r="E33" s="46"/>
      <c r="F33" s="240" t="str">
        <f>IF(E33="","",ROUND( IF(E33&lt;=3,1, IF(E33&gt;=100,0,IF(E33&gt;10, E33*'Reference Curves'!$R$9+'Reference Curves'!$R$10,E33*'Reference Curves'!$S$9+'Reference Curves'!$S$10))),2))</f>
        <v/>
      </c>
      <c r="G33" s="232" t="str">
        <f>IFERROR(AVERAGE(F33),"")</f>
        <v/>
      </c>
      <c r="H33" s="489"/>
      <c r="I33" s="436"/>
      <c r="J33" s="462"/>
      <c r="K33" s="9"/>
      <c r="N33" s="8"/>
    </row>
    <row r="34" spans="1:14" ht="15.75" x14ac:dyDescent="0.25">
      <c r="A34" s="487"/>
      <c r="B34" s="223" t="s">
        <v>241</v>
      </c>
      <c r="C34" s="226" t="s">
        <v>355</v>
      </c>
      <c r="D34" s="227"/>
      <c r="E34" s="46"/>
      <c r="F34" s="232" t="str">
        <f>IF(E34="","", IF(E34&gt;=75,1, IF(E34 &lt;19,0, ROUND(E34*'Reference Curves'!R$14+'Reference Curves'!R$15,2))))</f>
        <v/>
      </c>
      <c r="G34" s="232" t="str">
        <f>IFERROR(AVERAGE(F34),"")</f>
        <v/>
      </c>
      <c r="H34" s="490"/>
      <c r="I34" s="436"/>
      <c r="J34" s="462"/>
      <c r="K34" s="9"/>
      <c r="L34" s="4"/>
      <c r="M34" s="4"/>
      <c r="N34" s="8"/>
    </row>
    <row r="35" spans="1:14" ht="15.75" x14ac:dyDescent="0.25">
      <c r="A35" s="437" t="s">
        <v>42</v>
      </c>
      <c r="B35" s="228" t="s">
        <v>80</v>
      </c>
      <c r="C35" s="229" t="s">
        <v>366</v>
      </c>
      <c r="D35" s="26"/>
      <c r="E35" s="28"/>
      <c r="F35" s="128" t="str">
        <f>IF(E35="","",ROUND( IF(E35&gt;=81,0, IF(E35&lt;=36,1,IF(E35&gt;62, E35*'Reference Curves'!$V$4+'Reference Curves'!$V$5,IF(E35&gt;43, E35*'Reference Curves'!$W$4+'Reference Curves'!$W$5,E35*'Reference Curves'!$X$4+'Reference Curves'!$X$5)))),2))</f>
        <v/>
      </c>
      <c r="G35" s="104" t="str">
        <f>IFERROR(AVERAGE(F35),"")</f>
        <v/>
      </c>
      <c r="H35" s="440">
        <f>IF(OR(G35&lt;&gt;"",G36&lt;&gt;""),ROUND(AVERAGE(G35:G38),2),'Debit Calculator'!$F$28)</f>
        <v>1</v>
      </c>
      <c r="I35" s="436" t="str">
        <f>IF(H35="","",IF(H35&gt;0.69,"Functioning",IF(H35&gt;0.29,"Functioning At Risk",IF(H35&gt;-1,"Not Functioning"))))</f>
        <v>Functioning</v>
      </c>
      <c r="J35" s="462"/>
      <c r="K35" s="9"/>
      <c r="L35" s="4"/>
      <c r="M35" s="4"/>
      <c r="N35" s="8"/>
    </row>
    <row r="36" spans="1:14" s="4" customFormat="1" ht="15.75" x14ac:dyDescent="0.25">
      <c r="A36" s="438"/>
      <c r="B36" s="437" t="s">
        <v>45</v>
      </c>
      <c r="C36" s="229" t="s">
        <v>242</v>
      </c>
      <c r="D36" s="26"/>
      <c r="E36" s="35"/>
      <c r="F36" s="104" t="str">
        <f>IF(E36="","",IF(F6="Anadromous", IF(E36&lt;=0,0,IF(E36&gt;=100,1,ROUND(IF(E36&lt;80,E36*'Reference Curves'!$V$11+'Reference Curves'!$V$12,E36*'Reference Curves'!$W$11+'Reference Curves'!$W$12),2))),
IF(F6="Non-anadromous", IF(E36&lt;=0,0,IF(E36&gt;=100,1,ROUND(IF(E36&lt;60,E36*'Reference Curves'!$X$11+'Reference Curves'!$X$12,E36*'Reference Curves'!$Y$11+'Reference Curves'!$Y$12),2))))))</f>
        <v/>
      </c>
      <c r="G36" s="441" t="str">
        <f>IFERROR(AVERAGE(F36:F38),"")</f>
        <v/>
      </c>
      <c r="H36" s="440"/>
      <c r="I36" s="436"/>
      <c r="J36" s="462"/>
      <c r="K36" s="9"/>
      <c r="N36" s="8"/>
    </row>
    <row r="37" spans="1:14" s="4" customFormat="1" ht="15.75" x14ac:dyDescent="0.25">
      <c r="A37" s="438"/>
      <c r="B37" s="438"/>
      <c r="C37" s="294" t="s">
        <v>322</v>
      </c>
      <c r="D37" s="295"/>
      <c r="E37" s="34"/>
      <c r="F37" s="104" t="str">
        <f>IF(E37="","", IF(E37&lt;=0,0,IF(E37&gt;=0.9,1,ROUND(E37*'Reference Curves'!$V$16+'Reference Curves'!$V$17,2))))</f>
        <v/>
      </c>
      <c r="G37" s="491"/>
      <c r="H37" s="440"/>
      <c r="I37" s="436"/>
      <c r="J37" s="462"/>
      <c r="K37" s="9"/>
      <c r="N37" s="8"/>
    </row>
    <row r="38" spans="1:14" s="4" customFormat="1" ht="15.75" x14ac:dyDescent="0.25">
      <c r="A38" s="439"/>
      <c r="B38" s="439"/>
      <c r="C38" s="101" t="s">
        <v>243</v>
      </c>
      <c r="D38" s="103"/>
      <c r="E38" s="36"/>
      <c r="F38" s="128" t="str">
        <f>IF(E38="","", IF(E38&lt;=0,0,IF(E38&gt;=0.9,1,ROUND(E38*'Reference Curves'!$V$16+'Reference Curves'!$V$17,2))))</f>
        <v/>
      </c>
      <c r="G38" s="443"/>
      <c r="H38" s="440"/>
      <c r="I38" s="436"/>
      <c r="J38" s="463"/>
      <c r="K38" s="9"/>
      <c r="N38" s="8"/>
    </row>
    <row r="39" spans="1:14" x14ac:dyDescent="0.25">
      <c r="J39" s="3"/>
      <c r="K39" s="9"/>
      <c r="L39" s="4"/>
      <c r="M39" s="4"/>
    </row>
    <row r="40" spans="1:14" x14ac:dyDescent="0.25">
      <c r="H40" s="4"/>
      <c r="J40" s="4"/>
      <c r="K40" s="9"/>
      <c r="L40" s="4"/>
      <c r="M40" s="4"/>
    </row>
    <row r="41" spans="1:14" s="4" customFormat="1" ht="21" customHeight="1" x14ac:dyDescent="0.25">
      <c r="A41" s="495" t="s">
        <v>167</v>
      </c>
      <c r="B41" s="496"/>
      <c r="C41" s="496"/>
      <c r="D41" s="496"/>
      <c r="E41" s="496"/>
      <c r="F41" s="496"/>
      <c r="G41" s="496"/>
      <c r="H41" s="496"/>
      <c r="I41" s="496"/>
      <c r="J41" s="497"/>
    </row>
    <row r="42" spans="1:14" s="4" customFormat="1" ht="16.149999999999999" customHeight="1" x14ac:dyDescent="0.25">
      <c r="A42" s="115" t="s">
        <v>59</v>
      </c>
      <c r="B42" s="130" t="str">
        <f>IF('Project Assessment'!A11="","",'Project Assessment'!A11)</f>
        <v/>
      </c>
      <c r="C42" s="115" t="s">
        <v>168</v>
      </c>
      <c r="D42" s="251"/>
      <c r="E42" s="250" t="s">
        <v>73</v>
      </c>
      <c r="F42" s="498"/>
      <c r="G42" s="498"/>
      <c r="H42" s="493" t="s">
        <v>102</v>
      </c>
      <c r="I42" s="494"/>
      <c r="J42" s="116"/>
    </row>
    <row r="43" spans="1:14" s="4" customFormat="1" ht="16.149999999999999" customHeight="1" x14ac:dyDescent="0.25">
      <c r="A43" s="134" t="s">
        <v>212</v>
      </c>
      <c r="B43" s="130" t="str">
        <f>IF('Project Assessment'!B11="","",'Project Assessment'!B11)</f>
        <v/>
      </c>
      <c r="C43" s="250" t="s">
        <v>359</v>
      </c>
      <c r="D43" s="138"/>
      <c r="E43" s="250" t="s">
        <v>156</v>
      </c>
      <c r="F43" s="498"/>
      <c r="G43" s="498"/>
      <c r="H43" s="493" t="s">
        <v>103</v>
      </c>
      <c r="I43" s="494"/>
      <c r="J43" s="116"/>
    </row>
    <row r="44" spans="1:14" s="4" customFormat="1" ht="16.149999999999999" customHeight="1" x14ac:dyDescent="0.35">
      <c r="A44" s="119" t="s">
        <v>157</v>
      </c>
      <c r="B44" s="130" t="str">
        <f>IF('Project Assessment'!C11="","",'Project Assessment'!C11)</f>
        <v/>
      </c>
      <c r="C44" s="239" t="s">
        <v>360</v>
      </c>
      <c r="D44" s="251"/>
      <c r="E44" s="250" t="s">
        <v>220</v>
      </c>
      <c r="F44" s="498"/>
      <c r="G44" s="498"/>
      <c r="H44" s="493" t="s">
        <v>104</v>
      </c>
      <c r="I44" s="494"/>
      <c r="J44" s="32"/>
      <c r="K44" s="24"/>
    </row>
    <row r="45" spans="1:14" s="4" customFormat="1" ht="16.149999999999999" customHeight="1" x14ac:dyDescent="0.25">
      <c r="A45" s="499"/>
      <c r="B45" s="500"/>
      <c r="C45" s="233" t="s">
        <v>155</v>
      </c>
      <c r="D45" s="251"/>
      <c r="E45" s="502"/>
      <c r="F45" s="503"/>
      <c r="G45" s="504"/>
      <c r="H45" s="493" t="s">
        <v>105</v>
      </c>
      <c r="I45" s="494"/>
      <c r="J45" s="116"/>
      <c r="K45" s="37"/>
    </row>
    <row r="46" spans="1:14" s="4" customFormat="1" ht="9" customHeight="1" x14ac:dyDescent="0.25">
      <c r="B46" s="50"/>
      <c r="C46" s="50"/>
      <c r="D46" s="50"/>
      <c r="E46" s="50"/>
      <c r="F46" s="50"/>
      <c r="G46" s="50"/>
      <c r="H46" s="50"/>
      <c r="I46" s="48"/>
      <c r="J46" s="9"/>
      <c r="K46" s="37"/>
    </row>
    <row r="47" spans="1:14" s="4" customFormat="1" ht="19.899999999999999" customHeight="1" x14ac:dyDescent="0.35">
      <c r="A47" s="492" t="str">
        <f>_xlfn.CONCAT("EXISTING CONDITION ASSESSMENT for Reach ",B42)</f>
        <v xml:space="preserve">EXISTING CONDITION ASSESSMENT for Reach </v>
      </c>
      <c r="B47" s="492"/>
      <c r="C47" s="492"/>
      <c r="D47" s="492"/>
      <c r="E47" s="492"/>
      <c r="F47" s="492"/>
      <c r="G47" s="492" t="s">
        <v>10</v>
      </c>
      <c r="H47" s="492"/>
      <c r="I47" s="492"/>
      <c r="J47" s="492"/>
      <c r="K47" s="9"/>
    </row>
    <row r="48" spans="1:14" s="4" customFormat="1" ht="15.75" x14ac:dyDescent="0.25">
      <c r="A48" s="30" t="s">
        <v>1</v>
      </c>
      <c r="B48" s="30" t="s">
        <v>2</v>
      </c>
      <c r="C48" s="448" t="s">
        <v>316</v>
      </c>
      <c r="D48" s="449"/>
      <c r="E48" s="30" t="s">
        <v>8</v>
      </c>
      <c r="F48" s="29" t="s">
        <v>9</v>
      </c>
      <c r="G48" s="30" t="s">
        <v>11</v>
      </c>
      <c r="H48" s="30" t="s">
        <v>12</v>
      </c>
      <c r="I48" s="49" t="s">
        <v>12</v>
      </c>
      <c r="J48" s="271" t="s">
        <v>85</v>
      </c>
      <c r="K48" s="9"/>
    </row>
    <row r="49" spans="1:13" ht="15.75" x14ac:dyDescent="0.25">
      <c r="A49" s="450" t="s">
        <v>223</v>
      </c>
      <c r="B49" s="453" t="s">
        <v>224</v>
      </c>
      <c r="C49" s="212" t="s">
        <v>114</v>
      </c>
      <c r="D49" s="215"/>
      <c r="E49" s="35"/>
      <c r="F49" s="218" t="str">
        <f>IF(E49="","",IF(E49&gt;=86,0,IF(E49&lt;=9,1,ROUND(IF(E49&gt;22,E49*'Reference Curves'!B$4+'Reference Curves'!B$5, IF(E49&gt;16, E49*'Reference Curves'!C$4+'Reference Curves'!C$5,E49*'Reference Curves'!$D$4+'Reference Curves'!$D$5)),2))))</f>
        <v/>
      </c>
      <c r="G49" s="456" t="str">
        <f>IFERROR(AVERAGE(F49:F51),"")</f>
        <v/>
      </c>
      <c r="H49" s="458" t="str">
        <f>IFERROR(ROUND(AVERAGE(G49:G55),2),"")</f>
        <v/>
      </c>
      <c r="I49" s="445" t="str">
        <f>IF(H49="","",IF(H49&gt;0.69,"Functioning",IF(H49&gt;0.29,"Functioning At Risk",IF(H49&gt;-1,"Not Functioning"))))</f>
        <v/>
      </c>
      <c r="J49" s="461">
        <f>IF(AND(H49="",H56="",H59="",H70="",H73=""),"",ROUND((IF(H49="",0,H49)*0.2)+(IF(H56="",0,H56)*0.2)+(IF(H59="",0,H59)*0.2)+(IF(H70="",0,H70)*0.2)+(IF(H73="",0,H73)*0.2),2))</f>
        <v>0.4</v>
      </c>
      <c r="L49" s="4"/>
      <c r="M49" s="4"/>
    </row>
    <row r="50" spans="1:13" s="4" customFormat="1" ht="21" customHeight="1" x14ac:dyDescent="0.25">
      <c r="A50" s="451"/>
      <c r="B50" s="454"/>
      <c r="C50" s="213" t="s">
        <v>221</v>
      </c>
      <c r="D50" s="216"/>
      <c r="E50" s="34"/>
      <c r="F50" s="235" t="str">
        <f>IF(E50="","",IF(E50&gt;=33.5,0,IF(E50=0,1,ROUND(E50*'Reference Curves'!B$9+'Reference Curves'!B$10,2))))</f>
        <v/>
      </c>
      <c r="G50" s="457"/>
      <c r="H50" s="459"/>
      <c r="I50" s="446"/>
      <c r="J50" s="462"/>
    </row>
    <row r="51" spans="1:13" s="4" customFormat="1" ht="16.149999999999999" customHeight="1" x14ac:dyDescent="0.25">
      <c r="A51" s="451"/>
      <c r="B51" s="455"/>
      <c r="C51" s="214" t="s">
        <v>222</v>
      </c>
      <c r="D51" s="216"/>
      <c r="E51" s="36"/>
      <c r="F51" s="235" t="str">
        <f>IF(E51="","",IF(E51&gt;=61,0,IF(E51=0,1, ROUND(IF(E51&gt;35,E51*'Reference Curves'!B$15+'Reference Curves'!B$16,  E51*'Reference Curves'!C$15+'Reference Curves'!C$16),2))))</f>
        <v/>
      </c>
      <c r="G51" s="457"/>
      <c r="H51" s="459"/>
      <c r="I51" s="446"/>
      <c r="J51" s="462"/>
    </row>
    <row r="52" spans="1:13" s="4" customFormat="1" ht="16.149999999999999" customHeight="1" x14ac:dyDescent="0.25">
      <c r="A52" s="451"/>
      <c r="B52" s="464" t="s">
        <v>63</v>
      </c>
      <c r="C52" s="212" t="s">
        <v>114</v>
      </c>
      <c r="D52" s="215"/>
      <c r="E52" s="34"/>
      <c r="F52" s="218" t="str">
        <f>IF(E52="","",IF(E52&gt;=86,0,IF(E52&lt;=9,1,ROUND(IF(E52&gt;22,E52*'Reference Curves'!B$4+'Reference Curves'!B$5, IF(E52&gt;16, E52*'Reference Curves'!C$4+'Reference Curves'!C$5,E52*'Reference Curves'!$D$4+'Reference Curves'!$D$5)),2))))</f>
        <v/>
      </c>
      <c r="G52" s="456" t="str">
        <f>IFERROR(AVERAGE(F52:F55),"")</f>
        <v/>
      </c>
      <c r="H52" s="459"/>
      <c r="I52" s="446"/>
      <c r="J52" s="462"/>
    </row>
    <row r="53" spans="1:13" s="4" customFormat="1" ht="16.149999999999999" customHeight="1" x14ac:dyDescent="0.35">
      <c r="A53" s="451"/>
      <c r="B53" s="464"/>
      <c r="C53" s="213" t="s">
        <v>221</v>
      </c>
      <c r="D53" s="216"/>
      <c r="E53" s="34"/>
      <c r="F53" s="235" t="str">
        <f>IF(E53="","",IF(E53&gt;=33.5,0,IF(E53=0,1,ROUND(E53*'Reference Curves'!B$9+'Reference Curves'!B$10,2))))</f>
        <v/>
      </c>
      <c r="G53" s="457"/>
      <c r="H53" s="459"/>
      <c r="I53" s="446"/>
      <c r="J53" s="462"/>
      <c r="K53" s="24"/>
    </row>
    <row r="54" spans="1:13" s="4" customFormat="1" ht="16.149999999999999" customHeight="1" x14ac:dyDescent="0.25">
      <c r="A54" s="451"/>
      <c r="B54" s="464"/>
      <c r="C54" s="213" t="s">
        <v>222</v>
      </c>
      <c r="D54" s="216"/>
      <c r="E54" s="34"/>
      <c r="F54" s="235" t="str">
        <f>IF(E54="","",IF(E54&gt;=61,0,IF(E54=0,1, ROUND(IF(E54&gt;35,E54*'Reference Curves'!B$15+'Reference Curves'!B$16,  E54*'Reference Curves'!C$15+'Reference Curves'!C$16),2))))</f>
        <v/>
      </c>
      <c r="G54" s="457"/>
      <c r="H54" s="459"/>
      <c r="I54" s="446"/>
      <c r="J54" s="462"/>
      <c r="K54" s="37"/>
    </row>
    <row r="55" spans="1:13" s="4" customFormat="1" ht="18.75" customHeight="1" x14ac:dyDescent="0.25">
      <c r="A55" s="452"/>
      <c r="B55" s="465"/>
      <c r="C55" s="214" t="s">
        <v>225</v>
      </c>
      <c r="D55" s="217"/>
      <c r="E55" s="34"/>
      <c r="F55" s="236" t="str">
        <f>IF(E55="","",   IF(E55&gt;3.35,0, IF(E55&lt;0, "", ROUND('Reference Curves'!$B$20*E55+'Reference Curves'!$B$21,2))))</f>
        <v/>
      </c>
      <c r="G55" s="457"/>
      <c r="H55" s="460"/>
      <c r="I55" s="447"/>
      <c r="J55" s="462"/>
      <c r="K55" s="37"/>
    </row>
    <row r="56" spans="1:13" s="4" customFormat="1" ht="19.899999999999999" customHeight="1" x14ac:dyDescent="0.25">
      <c r="A56" s="466" t="s">
        <v>226</v>
      </c>
      <c r="B56" s="469" t="s">
        <v>3</v>
      </c>
      <c r="C56" s="95" t="s">
        <v>227</v>
      </c>
      <c r="D56" s="13"/>
      <c r="E56" s="28"/>
      <c r="F56" s="121" t="str">
        <f>IF(E56="","", IF(E56&gt;1.71,0,IF(E56&lt;=1,1, ROUND(E56*'Reference Curves'!G$3+'Reference Curves'!G$4,2))))</f>
        <v/>
      </c>
      <c r="G56" s="471" t="str">
        <f>IFERROR(AVERAGE(F56:F57),"")</f>
        <v/>
      </c>
      <c r="H56" s="471" t="str">
        <f>IFERROR(ROUND(AVERAGE(G56:G58),2),"")</f>
        <v/>
      </c>
      <c r="I56" s="445" t="str">
        <f>IF(H56="","",IF(H56&gt;0.69,"Functioning",IF(H56&gt;0.29,"Functioning At Risk",IF(H56&gt;-1,"Not Functioning"))))</f>
        <v/>
      </c>
      <c r="J56" s="462"/>
      <c r="K56" s="9"/>
    </row>
    <row r="57" spans="1:13" s="4" customFormat="1" ht="15.75" x14ac:dyDescent="0.25">
      <c r="A57" s="467"/>
      <c r="B57" s="470"/>
      <c r="C57" s="97" t="s">
        <v>228</v>
      </c>
      <c r="D57" s="102"/>
      <c r="E57" s="33"/>
      <c r="F57" s="237" t="str">
        <f>IF(E57="","",IF(LEFT(D42,1)="B",IF(E57&lt;=1,0,IF(E57&gt;=2.2,1,ROUND(IF(E57&lt;1.4,E57*'Reference Curves'!$G$19+'Reference Curves'!$G$20,E57*'Reference Curves'!$H$19+'Reference Curves'!$H$20),2))),
IF(LEFT(D42,1)="C",IF(E57&lt;1.7,0,IF(E57&gt;=4.4,1,ROUND(IF(E57&gt;2.4,E57*'Reference Curves'!$H$9+'Reference Curves'!$H$10,E57*'Reference Curves'!$G$9+'Reference Curves'!$G$10),2))),
IF(LEFT(D42,1)="E",IF(E57&lt;1.7,0,IF(E57&gt;=6.5,1,ROUND(IF(E57&gt;2.4,E57*'Reference Curves'!$H$14+'Reference Curves'!$H$15,E57*'Reference Curves'!$G$14+'Reference Curves'!$G$15),2)))))))</f>
        <v/>
      </c>
      <c r="G57" s="472"/>
      <c r="H57" s="473"/>
      <c r="I57" s="446"/>
      <c r="J57" s="462"/>
      <c r="K57" s="9"/>
    </row>
    <row r="58" spans="1:13" s="4" customFormat="1" ht="15.75" x14ac:dyDescent="0.25">
      <c r="A58" s="468"/>
      <c r="B58" s="219" t="s">
        <v>229</v>
      </c>
      <c r="C58" s="96" t="s">
        <v>230</v>
      </c>
      <c r="D58" s="13"/>
      <c r="E58" s="32"/>
      <c r="F58" s="122" t="str">
        <f>IF(E58="","",IF(E58&gt;=180,0, IF(E58=100,1, ROUND(IF(E58&gt;100,E58*'Reference Curves'!$H$25+'Reference Curves'!$H$26, IF(E56&gt;1.2,IF(E58 &lt;=20,0, E58*'Reference Curves'!$G$25+'Reference Curves'!$G$26),1)),2))))</f>
        <v/>
      </c>
      <c r="G58" s="269" t="str">
        <f>IFERROR(AVERAGE(F58),"")</f>
        <v/>
      </c>
      <c r="H58" s="472"/>
      <c r="I58" s="447"/>
      <c r="J58" s="462"/>
      <c r="K58" s="9"/>
    </row>
    <row r="59" spans="1:13" s="4" customFormat="1" ht="15.75" x14ac:dyDescent="0.25">
      <c r="A59" s="474" t="s">
        <v>16</v>
      </c>
      <c r="B59" s="270" t="s">
        <v>231</v>
      </c>
      <c r="C59" s="220" t="s">
        <v>232</v>
      </c>
      <c r="D59" s="221"/>
      <c r="E59" s="46"/>
      <c r="F59" s="238" t="str">
        <f>IF(E59="","",IF(F43="Alaska Range",ROUND(IF(E59&lt;=0.05,0, IF(E59&gt;=6.3,1,IF(E59&lt;=1.5,'Reference Curves'!$K$5*E59+'Reference Curves'!$K$6, 'Reference Curves'!$L$5*E59+'Reference Curves'!$L$6))),2),
IF(F43="Brooks Range",ROUND(IF(E59&gt;=4.2,1,IF(E59&lt;0.03,0, IF(E59&lt;=1.2,'Reference Curves'!$M$5*E59+'Reference Curves'!$M$6, 'Reference Curves'!$N$5*E59+'Reference Curves'!$N$6))),2),
IF(OR(F43="Interior Bottomlands", F43="Yukon Flats"),ROUND(IF(E59&gt;=54.5,1,IF(E59&lt;=3.7,'Reference Curves'!$K$11*E59+'Reference Curves'!$K$12, IF(E59&lt;4.7,  'Reference Curves'!$L$11*E59+'Reference Curves'!$L$12,  'Reference Curves'!$M$11*E59+'Reference Curves'!$M$12))),2),
IF(OR(F43="Interior Forested Lowlands/Uplands",F43="Interior Highlands"),ROUND(IF(E59=0,0,IF(E59&gt;=24.1,1,IF(E59&lt;=1.3,'Reference Curves'!$N$11*E59+'Reference Curves'!$N$12, 'Reference Curves'!$O$11*E59+'Reference Curves'!$O$12))),2))))))</f>
        <v/>
      </c>
      <c r="G59" s="265" t="str">
        <f>IFERROR(AVERAGE(F59:F59),"")</f>
        <v/>
      </c>
      <c r="H59" s="476" t="str">
        <f>IFERROR(ROUND(AVERAGE(G59:G69),2),"")</f>
        <v/>
      </c>
      <c r="I59" s="479" t="str">
        <f>IF(H59="","",IF(H59&gt;0.69,"Functioning",IF(H59&gt;0.29,"Functioning At Risk",IF(H59&gt;-1,"Not Functioning"))))</f>
        <v/>
      </c>
      <c r="J59" s="462"/>
    </row>
    <row r="60" spans="1:13" s="4" customFormat="1" ht="16.149999999999999" customHeight="1" x14ac:dyDescent="0.25">
      <c r="A60" s="475"/>
      <c r="B60" s="475" t="s">
        <v>99</v>
      </c>
      <c r="C60" s="16" t="s">
        <v>37</v>
      </c>
      <c r="D60" s="100"/>
      <c r="E60" s="234"/>
      <c r="F60" s="123" t="str">
        <f>IF(E60="","",IF(OR(E60="Ex/Ex",E60="Ex/VH",E60="Ex/H",E60="Ex/M",E60="VH/Ex",E60="VH/VH", E60="H/Ex",E60="H/VH"),0,
IF(OR(E60="M/Ex"),0.1,
IF(OR(E60="VH/H",E60="VH/M",E60="H/H",E60="H/M", E60="M/VH"),0.2,
IF(OR(E60="Ex/VL",E60="Ex/L", E60="M/H"),0.3,
IF(OR(E60="VH/L",E60="H/L"),0.4,
IF(OR(E60="VH/VL",E60="H/VL",E60="M/M"),0.5,
IF(OR(E60="M/L",E60="L/Ex"),0.6,
IF(OR(E60="M/VL",E60="L/VH", E60="L/H",E60="L/M",E60="L/L",E60="L/VL", LEFT(E60,2)="VL"),1)))))))))</f>
        <v/>
      </c>
      <c r="G60" s="476" t="str">
        <f>IFERROR(IF(E62&gt;=50,0,AVERAGE(F60:F62)),"")</f>
        <v/>
      </c>
      <c r="H60" s="477"/>
      <c r="I60" s="480"/>
      <c r="J60" s="462"/>
    </row>
    <row r="61" spans="1:13" s="4" customFormat="1" ht="16.149999999999999" customHeight="1" x14ac:dyDescent="0.25">
      <c r="A61" s="475"/>
      <c r="B61" s="475"/>
      <c r="C61" s="98" t="s">
        <v>48</v>
      </c>
      <c r="D61" s="230"/>
      <c r="E61" s="32"/>
      <c r="F61" s="123" t="str">
        <f>IF(E61="","",ROUND(IF(E61&gt;=75,0,IF(E61&lt;=5,1,IF(E61&gt;10,E61*'Reference Curves'!K$17+'Reference Curves'!K$18,'Reference Curves'!$L$17*E61+'Reference Curves'!$L$18))),2))</f>
        <v/>
      </c>
      <c r="G61" s="477"/>
      <c r="H61" s="477"/>
      <c r="I61" s="480"/>
      <c r="J61" s="462"/>
    </row>
    <row r="62" spans="1:13" s="4" customFormat="1" ht="16.149999999999999" customHeight="1" x14ac:dyDescent="0.35">
      <c r="A62" s="475"/>
      <c r="B62" s="482"/>
      <c r="C62" s="99" t="s">
        <v>233</v>
      </c>
      <c r="D62" s="231"/>
      <c r="E62" s="33"/>
      <c r="F62" s="124" t="str">
        <f>IF(E62="","",IF(E62&gt;=30,0,ROUND(E62*'Reference Curves'!$K$22+'Reference Curves'!$K$23,2)))</f>
        <v/>
      </c>
      <c r="G62" s="478"/>
      <c r="H62" s="477"/>
      <c r="I62" s="480"/>
      <c r="J62" s="462"/>
      <c r="K62" s="24"/>
    </row>
    <row r="63" spans="1:13" s="4" customFormat="1" ht="16.149999999999999" customHeight="1" x14ac:dyDescent="0.25">
      <c r="A63" s="475"/>
      <c r="B63" s="268" t="s">
        <v>234</v>
      </c>
      <c r="C63" s="17" t="s">
        <v>235</v>
      </c>
      <c r="D63" s="100"/>
      <c r="E63" s="33"/>
      <c r="F63" s="123" t="str">
        <f>IF(E63="","",IF(OR(D44="Cobble",D44="Boulders",D44="Bedrock"),ROUND(IF(E63&lt;=0,1,IF(E63&gt;=13.7,0, IF(E63&gt;5,E63*'Reference Curves'!$M$29+'Reference Curves'!$M$30,  E63*'Reference Curves'!$N$29+'Reference Curves'!$N$30))),2),
IF(D44="Gravel",ROUND(IF(E63&lt;=3,1,IF(E63&gt;=54,0, IF(E63&gt;15,E63*'Reference Curves'!$K$29+'Reference Curves'!$K$30,  E63*'Reference Curves'!$L$29+'Reference Curves'!$L$30))),2))))</f>
        <v/>
      </c>
      <c r="G63" s="265" t="str">
        <f>IFERROR(AVERAGE(F63:F63),"")</f>
        <v/>
      </c>
      <c r="H63" s="477"/>
      <c r="I63" s="480"/>
      <c r="J63" s="462"/>
      <c r="K63" s="37"/>
    </row>
    <row r="64" spans="1:13" s="4" customFormat="1" ht="15.75" x14ac:dyDescent="0.25">
      <c r="A64" s="475"/>
      <c r="B64" s="474" t="s">
        <v>39</v>
      </c>
      <c r="C64" s="14" t="s">
        <v>236</v>
      </c>
      <c r="D64" s="18"/>
      <c r="E64" s="35"/>
      <c r="F64" s="125" t="str">
        <f>IF(E64="","",IF(D42="Bc",IF(E64&gt;=12,0,IF(E64&lt;=3.4,1,ROUND('Reference Curves'!$K$39*E64+'Reference Curves'!$K$40,2))),
IF(OR(D42="B",D42="Ba"),IF(E64&gt;=6,0,IF(E64&lt;=2,1,ROUND(IF(E64&gt;3.9,'Reference Curves'!$K$35*E64+'Reference Curves'!$K$36,'Reference Curves'!$L$35*E64+'Reference Curves'!$L$36),2))),
IF(LEFT(D42,1)="C",IF(OR(E64&gt;=9.3,E64&lt;=3),0,IF(AND(E64&gt;=4,E64&lt;=6),1,ROUND(IF(E64&lt;4,'Reference Curves'!$K$49*E64+'Reference Curves'!$K$50,'Reference Curves'!$L$49*E64+'Reference Curves'!$L$50),2))),
IF(D42="E",IF(OR(E64&gt;=8.3,E64&lt;=1.8),0,IF(AND(E64&gt;=3.5,E64&lt;=5),1,ROUND(IF(E64&lt;3.5,'Reference Curves'!$K$44*E64+'Reference Curves'!$K$45,'Reference Curves'!$L$44*E64+'Reference Curves'!$L$45),2)))      )))))</f>
        <v/>
      </c>
      <c r="G64" s="483" t="str">
        <f>IFERROR(AVERAGE(F64:F66),"")</f>
        <v/>
      </c>
      <c r="H64" s="477"/>
      <c r="I64" s="480"/>
      <c r="J64" s="462"/>
      <c r="K64" s="37"/>
    </row>
    <row r="65" spans="1:11" s="4" customFormat="1" ht="15.75" x14ac:dyDescent="0.25">
      <c r="A65" s="475"/>
      <c r="B65" s="475"/>
      <c r="C65" s="16" t="s">
        <v>237</v>
      </c>
      <c r="D65" s="100"/>
      <c r="E65" s="34"/>
      <c r="F65" s="126" t="str">
        <f>IF(E65="","",ROUND(IF(E65&lt;=1,0, IF(OR(D42="B", D42="Ba"), IF(E65&gt;=2.8,1,IF(E65&gt;=1.8,'Reference Curves'!$L$56*E65+'Reference Curves'!$L$57,'Reference Curves'!$K$56*E65+'Reference Curves'!$K$57)),IF(E65&gt;=3.2,1,IF(E65&gt;=2.2,'Reference Curves'!$N$56*E65+'Reference Curves'!$N$57,'Reference Curves'!$M$56*E65+'Reference Curves'!$M$57)))),2))</f>
        <v/>
      </c>
      <c r="G65" s="484"/>
      <c r="H65" s="477"/>
      <c r="I65" s="480"/>
      <c r="J65" s="462"/>
      <c r="K65" s="9"/>
    </row>
    <row r="66" spans="1:11" s="4" customFormat="1" ht="15.75" x14ac:dyDescent="0.25">
      <c r="A66" s="475"/>
      <c r="B66" s="475"/>
      <c r="C66" s="16" t="s">
        <v>79</v>
      </c>
      <c r="D66" s="100"/>
      <c r="E66" s="34"/>
      <c r="F66" s="266" t="str">
        <f>IF(E66="","",IF(D43&gt;=3,IF(OR(E66&lt;=0,E66&gt;=100),0,IF(AND(E66&gt;=68,E66&lt;=85),1,IF(E66&lt;68,IF(E66&lt;62,ROUND(E66*'Reference Curves'!$K$69+'Reference Curves'!$K$70,2),ROUND(E66*'Reference Curves'!$L$69+'Reference Curves'!$L$70,2)),
IF(E66&gt;87,ROUND(E66*'Reference Curves'!$M$69+'Reference Curves'!$M$70,2),ROUND(E66*'Reference Curves'!$N$69+'Reference Curves'!$N$70,2))))),
IF(D43&lt;&gt;0,IF(OR(E66&lt;=0,E66&gt;=100),0,IF(AND(E66&lt;=60,E66&gt;=50),1,IF(E66&lt;50,IF(E66&lt;39,ROUND(E66*'Reference Curves'!$K$63+'Reference Curves'!$K$64,2),ROUND(E66*'Reference Curves'!$L$63+'Reference Curves'!$L$64,2)),
IF(E66&gt;69,ROUND(E66*'Reference Curves'!$M$63+'Reference Curves'!$M$64,2),ROUND(E66*'Reference Curves'!$N$63+'Reference Curves'!$N$64,2))))))))</f>
        <v/>
      </c>
      <c r="G66" s="484"/>
      <c r="H66" s="477"/>
      <c r="I66" s="480"/>
      <c r="J66" s="462"/>
      <c r="K66" s="9"/>
    </row>
    <row r="67" spans="1:11" s="4" customFormat="1" ht="15.75" x14ac:dyDescent="0.25">
      <c r="A67" s="475"/>
      <c r="B67" s="474" t="s">
        <v>38</v>
      </c>
      <c r="C67" s="14" t="s">
        <v>238</v>
      </c>
      <c r="D67" s="41"/>
      <c r="E67" s="15"/>
      <c r="F67" s="127" t="str">
        <f>IF( E67="","",
IF( F42="Unconfined Alluvial", IF( E67&gt;=100,1,
ROUND('Reference Curves'!$K$76*E67+'Reference Curves'!$K$77,2) ),
IF( OR(F42="Confined Alluvial", F42="Colluvial/V-Shaped"), ( IF(E67&gt;=100,1,
IF(E67&gt;=60, ROUND('Reference Curves'!$M$76*E67+'Reference Curves'!$M$77,2), ROUND('Reference Curves'!$L$76*E67+'Reference Curves'!$L$77,2) ) ) ) ) ) )</f>
        <v/>
      </c>
      <c r="G67" s="476" t="str">
        <f>IFERROR(AVERAGE(F67:F69),"")</f>
        <v/>
      </c>
      <c r="H67" s="477"/>
      <c r="I67" s="480"/>
      <c r="J67" s="462"/>
      <c r="K67" s="9"/>
    </row>
    <row r="68" spans="1:11" s="4" customFormat="1" ht="15.75" x14ac:dyDescent="0.25">
      <c r="A68" s="475"/>
      <c r="B68" s="475"/>
      <c r="C68" s="16" t="s">
        <v>202</v>
      </c>
      <c r="D68" s="57"/>
      <c r="E68" s="65"/>
      <c r="F68" s="126" t="str">
        <f>IF(E68="","",IF(OR(F43="Alaska Range",F43="Brooks Range"),ROUND(IF(E68&gt;=1.57,1,IF(E68&lt;=0.06,'Reference Curves'!$K$83*E68+'Reference Curves'!$K$84, IF(E68&lt;0.83, 'Reference Curves'!$L$83*E68+'Reference Curves'!$L$84, 'Reference Curves'!$M$83*E68+'Reference Curves'!$M$84))),2),
IF(F43="Interior Highlands",ROUND(IF(E68&gt;=1.67,1,IF(E68&lt;=0.94,'Reference Curves'!$N$83*E68+'Reference Curves'!$N$84, IF(E68&lt;1.21, 'Reference Curves'!$O$83*E68+'Reference Curves'!$O$84, 'Reference Curves'!$P$83*E68+'Reference Curves'!$P$84))),2),
IF(OR(F43="Interior Bottomlands",F43="Yukon Flats"),ROUND(IF(E68&gt;=1.82,1,IF(E68&lt;=1.19,'Reference Curves'!$K$89*E68+'Reference Curves'!$K$90, IF(E68&lt;1.37, 'Reference Curves'!$L$89*E68+'Reference Curves'!$L$90, 'Reference Curves'!$M$89*E68+'Reference Curves'!$M$90))),2),
IF(F43="Interior Forested Lowlands/Uplands",ROUND(IF(E68&gt;=1.87,1,IF(E68&lt;=1.24,'Reference Curves'!$N$89*E68+'Reference Curves'!$N$90, IF(E68&lt;1.45, 'Reference Curves'!$O$89*E68+'Reference Curves'!$O$90, 'Reference Curves'!$P$89*E68+'Reference Curves'!$P$90))),2))))))</f>
        <v/>
      </c>
      <c r="G68" s="477"/>
      <c r="H68" s="477"/>
      <c r="I68" s="480"/>
      <c r="J68" s="462"/>
    </row>
    <row r="69" spans="1:11" s="4" customFormat="1" ht="16.149999999999999" customHeight="1" x14ac:dyDescent="0.25">
      <c r="A69" s="475"/>
      <c r="B69" s="475"/>
      <c r="C69" s="16" t="s">
        <v>239</v>
      </c>
      <c r="D69" s="57"/>
      <c r="E69" s="65"/>
      <c r="F69" s="266" t="str">
        <f>IF(E69="","",IF(E69&lt;83.5,0,IF(E69&gt;=100,1,ROUND(E69*'Reference Curves'!$K$94+'Reference Curves'!$K$95,2))))</f>
        <v/>
      </c>
      <c r="G69" s="478"/>
      <c r="H69" s="478"/>
      <c r="I69" s="481"/>
      <c r="J69" s="462"/>
    </row>
    <row r="70" spans="1:11" s="4" customFormat="1" ht="16.149999999999999" customHeight="1" x14ac:dyDescent="0.25">
      <c r="A70" s="485" t="s">
        <v>41</v>
      </c>
      <c r="B70" s="223" t="s">
        <v>115</v>
      </c>
      <c r="C70" s="224" t="s">
        <v>340</v>
      </c>
      <c r="D70" s="225"/>
      <c r="E70" s="28"/>
      <c r="F70" s="232" t="str">
        <f>IF(E70="","", IF(E70&lt;=1.1,1, IF(E70 &gt;1.315,0, ROUND(E70*'Reference Curves'!R$3+'Reference Curves'!R$4,2))))</f>
        <v/>
      </c>
      <c r="G70" s="267" t="str">
        <f>IFERROR(AVERAGE(F70:F70),"")</f>
        <v/>
      </c>
      <c r="H70" s="488">
        <f>IF(OR(G70&lt;&gt;"",G71&lt;&gt;"",G72&lt;&gt;""),ROUND(AVERAGE(G70:G72),2),'Debit Calculator'!$F$28)</f>
        <v>1</v>
      </c>
      <c r="I70" s="436" t="str">
        <f>IF(H70="","",IF(H70&gt;0.69,"Functioning",IF(H70&gt;0.29,"Functioning At Risk",IF(H70&gt;-1,"Not Functioning"))))</f>
        <v>Functioning</v>
      </c>
      <c r="J70" s="462"/>
    </row>
    <row r="71" spans="1:11" s="4" customFormat="1" ht="16.149999999999999" customHeight="1" x14ac:dyDescent="0.35">
      <c r="A71" s="486"/>
      <c r="B71" s="223" t="s">
        <v>240</v>
      </c>
      <c r="C71" s="224" t="s">
        <v>341</v>
      </c>
      <c r="D71" s="225"/>
      <c r="E71" s="46"/>
      <c r="F71" s="240" t="str">
        <f>IF(E71="","",ROUND( IF(E71&lt;=3,1, IF(E71&gt;=100,0,IF(E71&gt;10, E71*'Reference Curves'!$R$9+'Reference Curves'!$R$10,E71*'Reference Curves'!$S$9+'Reference Curves'!$S$10))),2))</f>
        <v/>
      </c>
      <c r="G71" s="232" t="str">
        <f>IFERROR(AVERAGE(F71),"")</f>
        <v/>
      </c>
      <c r="H71" s="489"/>
      <c r="I71" s="436"/>
      <c r="J71" s="462"/>
      <c r="K71" s="24"/>
    </row>
    <row r="72" spans="1:11" s="4" customFormat="1" ht="16.149999999999999" customHeight="1" x14ac:dyDescent="0.25">
      <c r="A72" s="487"/>
      <c r="B72" s="223" t="s">
        <v>241</v>
      </c>
      <c r="C72" s="226" t="s">
        <v>355</v>
      </c>
      <c r="D72" s="227"/>
      <c r="E72" s="46"/>
      <c r="F72" s="232" t="str">
        <f>IF(E72="","", IF(E72&gt;=75,1, IF(E72 &lt;19,0, ROUND(E72*'Reference Curves'!R$14+'Reference Curves'!R$15,2))))</f>
        <v/>
      </c>
      <c r="G72" s="232" t="str">
        <f>IFERROR(AVERAGE(F72),"")</f>
        <v/>
      </c>
      <c r="H72" s="490"/>
      <c r="I72" s="436"/>
      <c r="J72" s="462"/>
      <c r="K72" s="37"/>
    </row>
    <row r="73" spans="1:11" s="4" customFormat="1" ht="18" customHeight="1" x14ac:dyDescent="0.25">
      <c r="A73" s="437" t="s">
        <v>42</v>
      </c>
      <c r="B73" s="228" t="s">
        <v>80</v>
      </c>
      <c r="C73" s="229" t="s">
        <v>366</v>
      </c>
      <c r="D73" s="26"/>
      <c r="E73" s="28"/>
      <c r="F73" s="128" t="str">
        <f>IF(E73="","",ROUND( IF(E73&gt;=81,0, IF(E73&lt;=36,1,IF(E73&gt;62, E73*'Reference Curves'!$V$4+'Reference Curves'!$V$5,IF(E73&gt;43, E73*'Reference Curves'!$W$4+'Reference Curves'!$W$5,E73*'Reference Curves'!$X$4+'Reference Curves'!$X$5)))),2))</f>
        <v/>
      </c>
      <c r="G73" s="104" t="str">
        <f>IFERROR(AVERAGE(F73),"")</f>
        <v/>
      </c>
      <c r="H73" s="440">
        <f>IF(OR(G73&lt;&gt;"",G74&lt;&gt;""),ROUND(AVERAGE(G73:G76),2),'Debit Calculator'!$F$28)</f>
        <v>1</v>
      </c>
      <c r="I73" s="436" t="str">
        <f>IF(H73="","",IF(H73&gt;0.69,"Functioning",IF(H73&gt;0.29,"Functioning At Risk",IF(H73&gt;-1,"Not Functioning"))))</f>
        <v>Functioning</v>
      </c>
      <c r="J73" s="462"/>
      <c r="K73" s="37"/>
    </row>
    <row r="74" spans="1:11" s="4" customFormat="1" ht="15.75" x14ac:dyDescent="0.25">
      <c r="A74" s="438"/>
      <c r="B74" s="437" t="s">
        <v>45</v>
      </c>
      <c r="C74" s="229" t="s">
        <v>242</v>
      </c>
      <c r="D74" s="26"/>
      <c r="E74" s="35"/>
      <c r="F74" s="104" t="str">
        <f>IF(E74="","",IF(F44="Anadromous", IF(E74&lt;=0,0,IF(E74&gt;=100,1,ROUND(IF(E74&lt;80,E74*'Reference Curves'!$V$11+'Reference Curves'!$V$12,E74*'Reference Curves'!$W$11+'Reference Curves'!$W$12),2))),
IF(F44="Non-anadromous", IF(E74&lt;=0,0,IF(E74&gt;=100,1,ROUND(IF(E74&lt;60,E74*'Reference Curves'!$X$11+'Reference Curves'!$X$12,E74*'Reference Curves'!$Y$11+'Reference Curves'!$Y$12),2))))))</f>
        <v/>
      </c>
      <c r="G74" s="441" t="str">
        <f>IFERROR(AVERAGE(F74:F76),"")</f>
        <v/>
      </c>
      <c r="H74" s="440"/>
      <c r="I74" s="436"/>
      <c r="J74" s="462"/>
      <c r="K74" s="9"/>
    </row>
    <row r="75" spans="1:11" s="4" customFormat="1" ht="15.75" x14ac:dyDescent="0.25">
      <c r="A75" s="438"/>
      <c r="B75" s="438"/>
      <c r="C75" s="294" t="s">
        <v>322</v>
      </c>
      <c r="D75" s="295"/>
      <c r="E75" s="34"/>
      <c r="F75" s="104" t="str">
        <f>IF(E75="","", IF(E75&lt;=0,0,IF(E75&gt;=0.9,1,ROUND(E75*'Reference Curves'!$V$16+'Reference Curves'!$V$17,2))))</f>
        <v/>
      </c>
      <c r="G75" s="491"/>
      <c r="H75" s="440"/>
      <c r="I75" s="436"/>
      <c r="J75" s="462"/>
      <c r="K75" s="9"/>
    </row>
    <row r="76" spans="1:11" s="4" customFormat="1" ht="15.75" x14ac:dyDescent="0.25">
      <c r="A76" s="439"/>
      <c r="B76" s="439"/>
      <c r="C76" s="101" t="s">
        <v>243</v>
      </c>
      <c r="D76" s="103"/>
      <c r="E76" s="36"/>
      <c r="F76" s="128" t="str">
        <f>IF(E76="","", IF(E76&lt;=0,0,IF(E76&gt;=0.9,1,ROUND(E76*'Reference Curves'!$V$16+'Reference Curves'!$V$17,2))))</f>
        <v/>
      </c>
      <c r="G76" s="443"/>
      <c r="H76" s="440"/>
      <c r="I76" s="436"/>
      <c r="J76" s="463"/>
      <c r="K76" s="9"/>
    </row>
    <row r="77" spans="1:11" s="4" customFormat="1" x14ac:dyDescent="0.25">
      <c r="I77" s="47"/>
      <c r="J77" s="3"/>
      <c r="K77" s="9"/>
    </row>
    <row r="78" spans="1:11" s="4" customFormat="1" x14ac:dyDescent="0.25">
      <c r="A78"/>
      <c r="B78"/>
      <c r="C78"/>
      <c r="E78"/>
      <c r="F78"/>
      <c r="H78"/>
      <c r="I78" s="47"/>
      <c r="J78"/>
      <c r="K78" s="9"/>
    </row>
    <row r="79" spans="1:11" s="4" customFormat="1" ht="21" x14ac:dyDescent="0.25">
      <c r="A79" s="495" t="s">
        <v>167</v>
      </c>
      <c r="B79" s="496"/>
      <c r="C79" s="496"/>
      <c r="D79" s="496"/>
      <c r="E79" s="496"/>
      <c r="F79" s="496"/>
      <c r="G79" s="496"/>
      <c r="H79" s="496"/>
      <c r="I79" s="496"/>
      <c r="J79" s="497"/>
      <c r="K79" s="9"/>
    </row>
    <row r="80" spans="1:11" s="4" customFormat="1" ht="15.75" x14ac:dyDescent="0.25">
      <c r="A80" s="115" t="s">
        <v>59</v>
      </c>
      <c r="B80" s="130" t="str">
        <f>IF('Project Assessment'!A12="","",'Project Assessment'!A12)</f>
        <v/>
      </c>
      <c r="C80" s="115" t="s">
        <v>168</v>
      </c>
      <c r="D80" s="251"/>
      <c r="E80" s="250" t="s">
        <v>73</v>
      </c>
      <c r="F80" s="498"/>
      <c r="G80" s="498"/>
      <c r="H80" s="493" t="s">
        <v>102</v>
      </c>
      <c r="I80" s="494"/>
      <c r="J80" s="116"/>
      <c r="K80" s="9"/>
    </row>
    <row r="81" spans="1:14" s="4" customFormat="1" ht="15.75" x14ac:dyDescent="0.25">
      <c r="A81" s="134" t="s">
        <v>212</v>
      </c>
      <c r="B81" s="130" t="str">
        <f>IF('Project Assessment'!B12="","",'Project Assessment'!B12)</f>
        <v/>
      </c>
      <c r="C81" s="250" t="s">
        <v>359</v>
      </c>
      <c r="D81" s="138"/>
      <c r="E81" s="250" t="s">
        <v>156</v>
      </c>
      <c r="F81" s="498"/>
      <c r="G81" s="498"/>
      <c r="H81" s="493" t="s">
        <v>103</v>
      </c>
      <c r="I81" s="494"/>
      <c r="J81" s="116"/>
      <c r="K81" s="9"/>
      <c r="N81" s="8"/>
    </row>
    <row r="82" spans="1:14" s="4" customFormat="1" ht="15.75" x14ac:dyDescent="0.25">
      <c r="A82" s="119" t="s">
        <v>157</v>
      </c>
      <c r="B82" s="130" t="str">
        <f>IF('Project Assessment'!C12="","",'Project Assessment'!C12)</f>
        <v/>
      </c>
      <c r="C82" s="239" t="s">
        <v>360</v>
      </c>
      <c r="D82" s="251"/>
      <c r="E82" s="250" t="s">
        <v>220</v>
      </c>
      <c r="F82" s="498"/>
      <c r="G82" s="498"/>
      <c r="H82" s="493" t="s">
        <v>104</v>
      </c>
      <c r="I82" s="494"/>
      <c r="J82" s="32"/>
      <c r="K82" s="9"/>
      <c r="N82" s="8"/>
    </row>
    <row r="83" spans="1:14" s="4" customFormat="1" ht="15.75" customHeight="1" x14ac:dyDescent="0.25">
      <c r="A83" s="499"/>
      <c r="B83" s="500"/>
      <c r="C83" s="233" t="s">
        <v>155</v>
      </c>
      <c r="D83" s="251"/>
      <c r="E83" s="502"/>
      <c r="F83" s="503"/>
      <c r="G83" s="504"/>
      <c r="H83" s="493" t="s">
        <v>105</v>
      </c>
      <c r="I83" s="494"/>
      <c r="J83" s="116"/>
      <c r="K83" s="9"/>
      <c r="N83" s="8"/>
    </row>
    <row r="84" spans="1:14" s="4" customFormat="1" ht="7.5" customHeight="1" x14ac:dyDescent="0.25">
      <c r="B84" s="50"/>
      <c r="C84" s="50"/>
      <c r="D84" s="50"/>
      <c r="E84" s="50"/>
      <c r="F84" s="50"/>
      <c r="G84" s="50"/>
      <c r="H84" s="50"/>
      <c r="I84" s="48"/>
      <c r="J84" s="9"/>
      <c r="K84" s="9"/>
      <c r="N84" s="8"/>
    </row>
    <row r="85" spans="1:14" s="4" customFormat="1" ht="21" x14ac:dyDescent="0.35">
      <c r="A85" s="492" t="str">
        <f>_xlfn.CONCAT("EXISTING CONDITION ASSESSMENT for Reach ",B80)</f>
        <v xml:space="preserve">EXISTING CONDITION ASSESSMENT for Reach </v>
      </c>
      <c r="B85" s="492"/>
      <c r="C85" s="492"/>
      <c r="D85" s="492"/>
      <c r="E85" s="492"/>
      <c r="F85" s="492"/>
      <c r="G85" s="492" t="s">
        <v>10</v>
      </c>
      <c r="H85" s="492"/>
      <c r="I85" s="492"/>
      <c r="J85" s="492"/>
      <c r="K85" s="9"/>
      <c r="N85" s="8"/>
    </row>
    <row r="86" spans="1:14" s="4" customFormat="1" ht="15.75" x14ac:dyDescent="0.25">
      <c r="A86" s="30" t="s">
        <v>1</v>
      </c>
      <c r="B86" s="30" t="s">
        <v>2</v>
      </c>
      <c r="C86" s="448" t="s">
        <v>316</v>
      </c>
      <c r="D86" s="449"/>
      <c r="E86" s="30" t="s">
        <v>8</v>
      </c>
      <c r="F86" s="29" t="s">
        <v>9</v>
      </c>
      <c r="G86" s="30" t="s">
        <v>11</v>
      </c>
      <c r="H86" s="30" t="s">
        <v>12</v>
      </c>
      <c r="I86" s="49" t="s">
        <v>12</v>
      </c>
      <c r="J86" s="271" t="s">
        <v>85</v>
      </c>
      <c r="K86" s="9"/>
      <c r="N86" s="8"/>
    </row>
    <row r="87" spans="1:14" s="4" customFormat="1" ht="15.75" x14ac:dyDescent="0.25">
      <c r="A87" s="450" t="s">
        <v>223</v>
      </c>
      <c r="B87" s="453" t="s">
        <v>224</v>
      </c>
      <c r="C87" s="212" t="s">
        <v>114</v>
      </c>
      <c r="D87" s="215"/>
      <c r="E87" s="35"/>
      <c r="F87" s="218" t="str">
        <f>IF(E87="","",IF(E87&gt;=86,0,IF(E87&lt;=9,1,ROUND(IF(E87&gt;22,E87*'Reference Curves'!B$4+'Reference Curves'!B$5, IF(E87&gt;16, E87*'Reference Curves'!C$4+'Reference Curves'!C$5,E87*'Reference Curves'!$D$4+'Reference Curves'!$D$5)),2))))</f>
        <v/>
      </c>
      <c r="G87" s="456" t="str">
        <f>IFERROR(AVERAGE(F87:F89),"")</f>
        <v/>
      </c>
      <c r="H87" s="458" t="str">
        <f>IFERROR(ROUND(AVERAGE(G87:G93),2),"")</f>
        <v/>
      </c>
      <c r="I87" s="445" t="str">
        <f>IF(H87="","",IF(H87&gt;0.69,"Functioning",IF(H87&gt;0.29,"Functioning At Risk",IF(H87&gt;-1,"Not Functioning"))))</f>
        <v/>
      </c>
      <c r="J87" s="461">
        <f>IF(AND(H87="",H94="",H97="",H108="",H111=""),"",ROUND((IF(H87="",0,H87)*0.2)+(IF(H94="",0,H94)*0.2)+(IF(H97="",0,H97)*0.2)+(IF(H108="",0,H108)*0.2)+(IF(H111="",0,H111)*0.2),2))</f>
        <v>0.4</v>
      </c>
      <c r="K87" s="9"/>
      <c r="N87" s="8"/>
    </row>
    <row r="88" spans="1:14" s="4" customFormat="1" ht="15.75" x14ac:dyDescent="0.25">
      <c r="A88" s="451"/>
      <c r="B88" s="454"/>
      <c r="C88" s="213" t="s">
        <v>221</v>
      </c>
      <c r="D88" s="216"/>
      <c r="E88" s="34"/>
      <c r="F88" s="235" t="str">
        <f>IF(E88="","",IF(E88&gt;=33.5,0,IF(E88=0,1,ROUND(E88*'Reference Curves'!B$9+'Reference Curves'!B$10,2))))</f>
        <v/>
      </c>
      <c r="G88" s="457"/>
      <c r="H88" s="459"/>
      <c r="I88" s="446"/>
      <c r="J88" s="462"/>
      <c r="K88" s="9"/>
      <c r="N88" s="8"/>
    </row>
    <row r="89" spans="1:14" s="4" customFormat="1" ht="15.75" x14ac:dyDescent="0.25">
      <c r="A89" s="451"/>
      <c r="B89" s="455"/>
      <c r="C89" s="214" t="s">
        <v>222</v>
      </c>
      <c r="D89" s="216"/>
      <c r="E89" s="36"/>
      <c r="F89" s="235" t="str">
        <f>IF(E89="","",IF(E89&gt;=61,0,IF(E89=0,1, ROUND(IF(E89&gt;35,E89*'Reference Curves'!B$15+'Reference Curves'!B$16,  E89*'Reference Curves'!C$15+'Reference Curves'!C$16),2))))</f>
        <v/>
      </c>
      <c r="G89" s="457"/>
      <c r="H89" s="459"/>
      <c r="I89" s="446"/>
      <c r="J89" s="462"/>
      <c r="K89" s="9"/>
      <c r="N89" s="8"/>
    </row>
    <row r="90" spans="1:14" s="4" customFormat="1" ht="15.75" x14ac:dyDescent="0.25">
      <c r="A90" s="451"/>
      <c r="B90" s="464" t="s">
        <v>63</v>
      </c>
      <c r="C90" s="212" t="s">
        <v>114</v>
      </c>
      <c r="D90" s="215"/>
      <c r="E90" s="34"/>
      <c r="F90" s="218" t="str">
        <f>IF(E90="","",IF(E90&gt;=86,0,IF(E90&lt;=9,1,ROUND(IF(E90&gt;22,E90*'Reference Curves'!B$4+'Reference Curves'!B$5, IF(E90&gt;16, E90*'Reference Curves'!C$4+'Reference Curves'!C$5,E90*'Reference Curves'!$D$4+'Reference Curves'!$D$5)),2))))</f>
        <v/>
      </c>
      <c r="G90" s="456" t="str">
        <f>IFERROR(AVERAGE(F90:F93),"")</f>
        <v/>
      </c>
      <c r="H90" s="459"/>
      <c r="I90" s="446"/>
      <c r="J90" s="462"/>
      <c r="K90" s="9"/>
      <c r="N90" s="8"/>
    </row>
    <row r="91" spans="1:14" s="4" customFormat="1" ht="15.75" x14ac:dyDescent="0.25">
      <c r="A91" s="451"/>
      <c r="B91" s="464"/>
      <c r="C91" s="213" t="s">
        <v>221</v>
      </c>
      <c r="D91" s="216"/>
      <c r="E91" s="34"/>
      <c r="F91" s="235" t="str">
        <f>IF(E91="","",IF(E91&gt;=33.5,0,IF(E91=0,1,ROUND(E91*'Reference Curves'!B$9+'Reference Curves'!B$10,2))))</f>
        <v/>
      </c>
      <c r="G91" s="457"/>
      <c r="H91" s="459"/>
      <c r="I91" s="446"/>
      <c r="J91" s="462"/>
      <c r="K91" s="9"/>
      <c r="N91" s="8"/>
    </row>
    <row r="92" spans="1:14" s="4" customFormat="1" ht="15.75" customHeight="1" x14ac:dyDescent="0.25">
      <c r="A92" s="451"/>
      <c r="B92" s="464"/>
      <c r="C92" s="213" t="s">
        <v>222</v>
      </c>
      <c r="D92" s="216"/>
      <c r="E92" s="34"/>
      <c r="F92" s="235" t="str">
        <f>IF(E92="","",IF(E92&gt;=61,0,IF(E92=0,1, ROUND(IF(E92&gt;35,E92*'Reference Curves'!B$15+'Reference Curves'!B$16,  E92*'Reference Curves'!C$15+'Reference Curves'!C$16),2))))</f>
        <v/>
      </c>
      <c r="G92" s="457"/>
      <c r="H92" s="459"/>
      <c r="I92" s="446"/>
      <c r="J92" s="462"/>
      <c r="K92" s="9"/>
      <c r="N92" s="8"/>
    </row>
    <row r="93" spans="1:14" s="4" customFormat="1" ht="15.75" x14ac:dyDescent="0.25">
      <c r="A93" s="452"/>
      <c r="B93" s="465"/>
      <c r="C93" s="214" t="s">
        <v>225</v>
      </c>
      <c r="D93" s="217"/>
      <c r="E93" s="34"/>
      <c r="F93" s="236" t="str">
        <f>IF(E93="","",   IF(E93&gt;3.35,0, IF(E93&lt;0, "", ROUND('Reference Curves'!$B$20*E93+'Reference Curves'!$B$21,2))))</f>
        <v/>
      </c>
      <c r="G93" s="457"/>
      <c r="H93" s="460"/>
      <c r="I93" s="447"/>
      <c r="J93" s="462"/>
      <c r="K93" s="9"/>
      <c r="N93" s="8"/>
    </row>
    <row r="94" spans="1:14" s="4" customFormat="1" ht="15.75" x14ac:dyDescent="0.25">
      <c r="A94" s="466" t="s">
        <v>226</v>
      </c>
      <c r="B94" s="469" t="s">
        <v>3</v>
      </c>
      <c r="C94" s="95" t="s">
        <v>227</v>
      </c>
      <c r="D94" s="13"/>
      <c r="E94" s="28"/>
      <c r="F94" s="121" t="str">
        <f>IF(E94="","", IF(E94&gt;1.71,0,IF(E94&lt;=1,1, ROUND(E94*'Reference Curves'!G$3+'Reference Curves'!G$4,2))))</f>
        <v/>
      </c>
      <c r="G94" s="471" t="str">
        <f>IFERROR(AVERAGE(F94:F95),"")</f>
        <v/>
      </c>
      <c r="H94" s="471" t="str">
        <f>IFERROR(ROUND(AVERAGE(G94:G96),2),"")</f>
        <v/>
      </c>
      <c r="I94" s="445" t="str">
        <f>IF(H94="","",IF(H94&gt;0.69,"Functioning",IF(H94&gt;0.29,"Functioning At Risk",IF(H94&gt;-1,"Not Functioning"))))</f>
        <v/>
      </c>
      <c r="J94" s="462"/>
      <c r="K94" s="9"/>
      <c r="N94" s="8"/>
    </row>
    <row r="95" spans="1:14" s="4" customFormat="1" ht="15.75" x14ac:dyDescent="0.25">
      <c r="A95" s="467"/>
      <c r="B95" s="470"/>
      <c r="C95" s="97" t="s">
        <v>228</v>
      </c>
      <c r="D95" s="102"/>
      <c r="E95" s="33"/>
      <c r="F95" s="237" t="str">
        <f>IF(E95="","",IF(LEFT(D80,1)="B",IF(E95&lt;=1,0,IF(E95&gt;=2.2,1,ROUND(IF(E95&lt;1.4,E95*'Reference Curves'!$G$19+'Reference Curves'!$G$20,E95*'Reference Curves'!$H$19+'Reference Curves'!$H$20),2))),
IF(LEFT(D80,1)="C",IF(E95&lt;1.7,0,IF(E95&gt;=4.4,1,ROUND(IF(E95&gt;2.4,E95*'Reference Curves'!$H$9+'Reference Curves'!$H$10,E95*'Reference Curves'!$G$9+'Reference Curves'!$G$10),2))),
IF(LEFT(D80,1)="E",IF(E95&lt;1.7,0,IF(E95&gt;=6.5,1,ROUND(IF(E95&gt;2.4,E95*'Reference Curves'!$H$14+'Reference Curves'!$H$15,E95*'Reference Curves'!$G$14+'Reference Curves'!$G$15),2)))))))</f>
        <v/>
      </c>
      <c r="G95" s="472"/>
      <c r="H95" s="473"/>
      <c r="I95" s="446"/>
      <c r="J95" s="462"/>
      <c r="K95" s="9"/>
      <c r="N95" s="8"/>
    </row>
    <row r="96" spans="1:14" s="4" customFormat="1" ht="15.75" x14ac:dyDescent="0.25">
      <c r="A96" s="468"/>
      <c r="B96" s="219" t="s">
        <v>229</v>
      </c>
      <c r="C96" s="96" t="s">
        <v>230</v>
      </c>
      <c r="D96" s="13"/>
      <c r="E96" s="32"/>
      <c r="F96" s="122" t="str">
        <f>IF(E96="","",IF(E96&gt;=180,0, IF(E96=100,1, ROUND(IF(E96&gt;100,E96*'Reference Curves'!$H$25+'Reference Curves'!$H$26, IF(E94&gt;1.2,IF(E96 &lt;=20,0, E96*'Reference Curves'!$G$25+'Reference Curves'!$G$26),1)),2))))</f>
        <v/>
      </c>
      <c r="G96" s="269" t="str">
        <f>IFERROR(AVERAGE(F96),"")</f>
        <v/>
      </c>
      <c r="H96" s="472"/>
      <c r="I96" s="447"/>
      <c r="J96" s="462"/>
      <c r="K96" s="9"/>
      <c r="N96" s="8"/>
    </row>
    <row r="97" spans="1:14" s="4" customFormat="1" ht="15.75" x14ac:dyDescent="0.25">
      <c r="A97" s="474" t="s">
        <v>16</v>
      </c>
      <c r="B97" s="270" t="s">
        <v>231</v>
      </c>
      <c r="C97" s="220" t="s">
        <v>232</v>
      </c>
      <c r="D97" s="221"/>
      <c r="E97" s="46"/>
      <c r="F97" s="238" t="str">
        <f>IF(E97="","",IF(F81="Alaska Range",ROUND(IF(E97&lt;=0.05,0, IF(E97&gt;=6.3,1,IF(E97&lt;=1.5,'Reference Curves'!$K$5*E97+'Reference Curves'!$K$6, 'Reference Curves'!$L$5*E97+'Reference Curves'!$L$6))),2),
IF(F81="Brooks Range",ROUND(IF(E97&gt;=4.2,1,IF(E97&lt;0.03,0, IF(E97&lt;=1.2,'Reference Curves'!$M$5*E97+'Reference Curves'!$M$6, 'Reference Curves'!$N$5*E97+'Reference Curves'!$N$6))),2),
IF(OR(F81="Interior Bottomlands", F81="Yukon Flats"),ROUND(IF(E97&gt;=54.5,1,IF(E97&lt;=3.7,'Reference Curves'!$K$11*E97+'Reference Curves'!$K$12, IF(E97&lt;4.7,  'Reference Curves'!$L$11*E97+'Reference Curves'!$L$12,  'Reference Curves'!$M$11*E97+'Reference Curves'!$M$12))),2),
IF(OR(F81="Interior Forested Lowlands/Uplands",F81="Interior Highlands"),ROUND(IF(E97=0,0,IF(E97&gt;=24.1,1,IF(E97&lt;=1.3,'Reference Curves'!$N$11*E97+'Reference Curves'!$N$12, 'Reference Curves'!$O$11*E97+'Reference Curves'!$O$12))),2))))))</f>
        <v/>
      </c>
      <c r="G97" s="265" t="str">
        <f>IFERROR(AVERAGE(F97:F97),"")</f>
        <v/>
      </c>
      <c r="H97" s="476" t="str">
        <f>IFERROR(ROUND(AVERAGE(G97:G107),2),"")</f>
        <v/>
      </c>
      <c r="I97" s="479" t="str">
        <f>IF(H97="","",IF(H97&gt;0.69,"Functioning",IF(H97&gt;0.29,"Functioning At Risk",IF(H97&gt;-1,"Not Functioning"))))</f>
        <v/>
      </c>
      <c r="J97" s="462"/>
      <c r="K97" s="9"/>
      <c r="N97" s="8"/>
    </row>
    <row r="98" spans="1:14" s="4" customFormat="1" ht="15.6" customHeight="1" x14ac:dyDescent="0.25">
      <c r="A98" s="475"/>
      <c r="B98" s="475" t="s">
        <v>99</v>
      </c>
      <c r="C98" s="16" t="s">
        <v>37</v>
      </c>
      <c r="D98" s="100"/>
      <c r="E98" s="234"/>
      <c r="F98" s="123" t="str">
        <f>IF(E98="","",IF(OR(E98="Ex/Ex",E98="Ex/VH",E98="Ex/H",E98="Ex/M",E98="VH/Ex",E98="VH/VH", E98="H/Ex",E98="H/VH"),0,
IF(OR(E98="M/Ex"),0.1,
IF(OR(E98="VH/H",E98="VH/M",E98="H/H",E98="H/M", E98="M/VH"),0.2,
IF(OR(E98="Ex/VL",E98="Ex/L", E98="M/H"),0.3,
IF(OR(E98="VH/L",E98="H/L"),0.4,
IF(OR(E98="VH/VL",E98="H/VL",E98="M/M"),0.5,
IF(OR(E98="M/L",E98="L/Ex"),0.6,
IF(OR(E98="M/VL",E98="L/VH", E98="L/H",E98="L/M",E98="L/L",E98="L/VL", LEFT(E98,2)="VL"),1)))))))))</f>
        <v/>
      </c>
      <c r="G98" s="476" t="str">
        <f>IFERROR(IF(E100&gt;=50,0,AVERAGE(F98:F100)),"")</f>
        <v/>
      </c>
      <c r="H98" s="477"/>
      <c r="I98" s="480"/>
      <c r="J98" s="462"/>
      <c r="K98" s="9"/>
      <c r="N98" s="8"/>
    </row>
    <row r="99" spans="1:14" s="4" customFormat="1" ht="15.75" x14ac:dyDescent="0.25">
      <c r="A99" s="475"/>
      <c r="B99" s="475"/>
      <c r="C99" s="98" t="s">
        <v>48</v>
      </c>
      <c r="D99" s="230"/>
      <c r="E99" s="32"/>
      <c r="F99" s="123" t="str">
        <f>IF(E99="","",ROUND(IF(E99&gt;=75,0,IF(E99&lt;=5,1,IF(E99&gt;10,E99*'Reference Curves'!K$17+'Reference Curves'!K$18,'Reference Curves'!$L$17*E99+'Reference Curves'!$L$18))),2))</f>
        <v/>
      </c>
      <c r="G99" s="477"/>
      <c r="H99" s="477"/>
      <c r="I99" s="480"/>
      <c r="J99" s="462"/>
      <c r="K99" s="9"/>
      <c r="N99" s="8"/>
    </row>
    <row r="100" spans="1:14" s="4" customFormat="1" ht="15.75" x14ac:dyDescent="0.25">
      <c r="A100" s="475"/>
      <c r="B100" s="482"/>
      <c r="C100" s="99" t="s">
        <v>233</v>
      </c>
      <c r="D100" s="231"/>
      <c r="E100" s="33"/>
      <c r="F100" s="124" t="str">
        <f>IF(E100="","",IF(E100&gt;=30,0,ROUND(E100*'Reference Curves'!$K$22+'Reference Curves'!$K$23,2)))</f>
        <v/>
      </c>
      <c r="G100" s="478"/>
      <c r="H100" s="477"/>
      <c r="I100" s="480"/>
      <c r="J100" s="462"/>
      <c r="K100" s="9"/>
      <c r="N100" s="8"/>
    </row>
    <row r="101" spans="1:14" s="4" customFormat="1" ht="15.75" x14ac:dyDescent="0.25">
      <c r="A101" s="475"/>
      <c r="B101" s="268" t="s">
        <v>234</v>
      </c>
      <c r="C101" s="17" t="s">
        <v>235</v>
      </c>
      <c r="D101" s="100"/>
      <c r="E101" s="33"/>
      <c r="F101" s="123" t="str">
        <f>IF(E101="","",IF(OR(D82="Cobble",D82="Boulders",D82="Bedrock"),ROUND(IF(E101&lt;=0,1,IF(E101&gt;=13.7,0, IF(E101&gt;5,E101*'Reference Curves'!$M$29+'Reference Curves'!$M$30,  E101*'Reference Curves'!$N$29+'Reference Curves'!$N$30))),2),
IF(D82="Gravel",ROUND(IF(E101&lt;=3,1,IF(E101&gt;=54,0, IF(E101&gt;15,E101*'Reference Curves'!$K$29+'Reference Curves'!$K$30,  E101*'Reference Curves'!$L$29+'Reference Curves'!$L$30))),2))))</f>
        <v/>
      </c>
      <c r="G101" s="265" t="str">
        <f>IFERROR(AVERAGE(F101:F101),"")</f>
        <v/>
      </c>
      <c r="H101" s="477"/>
      <c r="I101" s="480"/>
      <c r="J101" s="462"/>
      <c r="K101" s="9"/>
      <c r="N101" s="8"/>
    </row>
    <row r="102" spans="1:14" s="4" customFormat="1" ht="15.75" x14ac:dyDescent="0.25">
      <c r="A102" s="475"/>
      <c r="B102" s="474" t="s">
        <v>39</v>
      </c>
      <c r="C102" s="14" t="s">
        <v>236</v>
      </c>
      <c r="D102" s="18"/>
      <c r="E102" s="35"/>
      <c r="F102" s="125" t="str">
        <f>IF(E102="","",IF(D80="Bc",IF(E102&gt;=12,0,IF(E102&lt;=3.4,1,ROUND('Reference Curves'!$K$39*E102+'Reference Curves'!$K$40,2))),
IF(OR(D80="B",D80="Ba"),IF(E102&gt;=6,0,IF(E102&lt;=2,1,ROUND(IF(E102&gt;3.9,'Reference Curves'!$K$35*E102+'Reference Curves'!$K$36,'Reference Curves'!$L$35*E102+'Reference Curves'!$L$36),2))),
IF(LEFT(D80,1)="C",IF(OR(E102&gt;=9.3,E102&lt;=3),0,IF(AND(E102&gt;=4,E102&lt;=6),1,ROUND(IF(E102&lt;4,'Reference Curves'!$K$49*E102+'Reference Curves'!$K$50,'Reference Curves'!$L$49*E102+'Reference Curves'!$L$50),2))),
IF(D80="E",IF(OR(E102&gt;=8.3,E102&lt;=1.8),0,IF(AND(E102&gt;=3.5,E102&lt;=5),1,ROUND(IF(E102&lt;3.5,'Reference Curves'!$K$44*E102+'Reference Curves'!$K$45,'Reference Curves'!$L$44*E102+'Reference Curves'!$L$45),2)))      )))))</f>
        <v/>
      </c>
      <c r="G102" s="483" t="str">
        <f>IFERROR(AVERAGE(F102:F104),"")</f>
        <v/>
      </c>
      <c r="H102" s="477"/>
      <c r="I102" s="480"/>
      <c r="J102" s="462"/>
      <c r="K102" s="9"/>
      <c r="N102" s="8"/>
    </row>
    <row r="103" spans="1:14" s="4" customFormat="1" ht="15.75" x14ac:dyDescent="0.25">
      <c r="A103" s="475"/>
      <c r="B103" s="475"/>
      <c r="C103" s="16" t="s">
        <v>237</v>
      </c>
      <c r="D103" s="100"/>
      <c r="E103" s="34"/>
      <c r="F103" s="126" t="str">
        <f>IF(E103="","",ROUND(IF(E103&lt;=1,0, IF(OR(D80="B", D80="Ba"), IF(E103&gt;=2.8,1,IF(E103&gt;=1.8,'Reference Curves'!$L$56*E103+'Reference Curves'!$L$57,'Reference Curves'!$K$56*E103+'Reference Curves'!$K$57)),IF(E103&gt;=3.2,1,IF(E103&gt;=2.2,'Reference Curves'!$N$56*E103+'Reference Curves'!$N$57,'Reference Curves'!$M$56*E103+'Reference Curves'!$M$57)))),2))</f>
        <v/>
      </c>
      <c r="G103" s="484"/>
      <c r="H103" s="477"/>
      <c r="I103" s="480"/>
      <c r="J103" s="462"/>
      <c r="K103" s="9"/>
      <c r="N103" s="8"/>
    </row>
    <row r="104" spans="1:14" s="4" customFormat="1" ht="15.75" x14ac:dyDescent="0.25">
      <c r="A104" s="475"/>
      <c r="B104" s="475"/>
      <c r="C104" s="16" t="s">
        <v>79</v>
      </c>
      <c r="D104" s="100"/>
      <c r="E104" s="34"/>
      <c r="F104" s="266" t="str">
        <f>IF(E104="","",IF(D81&gt;=3,IF(OR(E104&lt;=0,E104&gt;=100),0,IF(AND(E104&gt;=68,E104&lt;=85),1,IF(E104&lt;68,IF(E104&lt;62,ROUND(E104*'Reference Curves'!$K$69+'Reference Curves'!$K$70,2),ROUND(E104*'Reference Curves'!$L$69+'Reference Curves'!$L$70,2)),
IF(E104&gt;87,ROUND(E104*'Reference Curves'!$M$69+'Reference Curves'!$M$70,2),ROUND(E104*'Reference Curves'!$N$69+'Reference Curves'!$N$70,2))))),
IF(D81&lt;&gt;0,IF(OR(E104&lt;=0,E104&gt;=100),0,IF(AND(E104&lt;=60,E104&gt;=50),1,IF(E104&lt;50,IF(E104&lt;39,ROUND(E104*'Reference Curves'!$K$63+'Reference Curves'!$K$64,2),ROUND(E104*'Reference Curves'!$L$63+'Reference Curves'!$L$64,2)),
IF(E104&gt;69,ROUND(E104*'Reference Curves'!$M$63+'Reference Curves'!$M$64,2),ROUND(E104*'Reference Curves'!$N$63+'Reference Curves'!$N$64,2))))))))</f>
        <v/>
      </c>
      <c r="G104" s="484"/>
      <c r="H104" s="477"/>
      <c r="I104" s="480"/>
      <c r="J104" s="462"/>
      <c r="K104" s="9"/>
      <c r="N104" s="8"/>
    </row>
    <row r="105" spans="1:14" s="4" customFormat="1" ht="15.75" x14ac:dyDescent="0.25">
      <c r="A105" s="475"/>
      <c r="B105" s="474" t="s">
        <v>38</v>
      </c>
      <c r="C105" s="14" t="s">
        <v>238</v>
      </c>
      <c r="D105" s="41"/>
      <c r="E105" s="15"/>
      <c r="F105" s="127" t="str">
        <f>IF( E105="","",
IF( F80="Unconfined Alluvial", IF( E105&gt;=100,1,
ROUND('Reference Curves'!$K$76*E105+'Reference Curves'!$K$77,2) ),
IF( OR(F80="Confined Alluvial", F80="Colluvial/V-Shaped"), ( IF(E105&gt;=100,1,
IF(E105&gt;=60, ROUND('Reference Curves'!$M$76*E105+'Reference Curves'!$M$77,2), ROUND('Reference Curves'!$L$76*E105+'Reference Curves'!$L$77,2) ) ) ) ) ) )</f>
        <v/>
      </c>
      <c r="G105" s="476" t="str">
        <f>IFERROR(AVERAGE(F105:F107),"")</f>
        <v/>
      </c>
      <c r="H105" s="477"/>
      <c r="I105" s="480"/>
      <c r="J105" s="462"/>
      <c r="K105" s="9"/>
      <c r="N105" s="8"/>
    </row>
    <row r="106" spans="1:14" s="4" customFormat="1" ht="15.6" customHeight="1" x14ac:dyDescent="0.25">
      <c r="A106" s="475"/>
      <c r="B106" s="475"/>
      <c r="C106" s="16" t="s">
        <v>202</v>
      </c>
      <c r="D106" s="57"/>
      <c r="E106" s="65"/>
      <c r="F106" s="126" t="str">
        <f>IF(E106="","",IF(OR(F81="Alaska Range",F81="Brooks Range"),ROUND(IF(E106&gt;=1.57,1,IF(E106&lt;=0.06,'Reference Curves'!$K$83*E106+'Reference Curves'!$K$84, IF(E106&lt;0.83, 'Reference Curves'!$L$83*E106+'Reference Curves'!$L$84, 'Reference Curves'!$M$83*E106+'Reference Curves'!$M$84))),2),
IF(F81="Interior Highlands",ROUND(IF(E106&gt;=1.67,1,IF(E106&lt;=0.94,'Reference Curves'!$N$83*E106+'Reference Curves'!$N$84, IF(E106&lt;1.21, 'Reference Curves'!$O$83*E106+'Reference Curves'!$O$84, 'Reference Curves'!$P$83*E106+'Reference Curves'!$P$84))),2),
IF(OR(F81="Interior Bottomlands",F81="Yukon Flats"),ROUND(IF(E106&gt;=1.82,1,IF(E106&lt;=1.19,'Reference Curves'!$K$89*E106+'Reference Curves'!$K$90, IF(E106&lt;1.37, 'Reference Curves'!$L$89*E106+'Reference Curves'!$L$90, 'Reference Curves'!$M$89*E106+'Reference Curves'!$M$90))),2),
IF(F81="Interior Forested Lowlands/Uplands",ROUND(IF(E106&gt;=1.87,1,IF(E106&lt;=1.24,'Reference Curves'!$N$89*E106+'Reference Curves'!$N$90, IF(E106&lt;1.45, 'Reference Curves'!$O$89*E106+'Reference Curves'!$O$90, 'Reference Curves'!$P$89*E106+'Reference Curves'!$P$90))),2))))))</f>
        <v/>
      </c>
      <c r="G106" s="477"/>
      <c r="H106" s="477"/>
      <c r="I106" s="480"/>
      <c r="J106" s="462"/>
      <c r="K106" s="9"/>
      <c r="N106" s="8"/>
    </row>
    <row r="107" spans="1:14" s="4" customFormat="1" ht="15.75" x14ac:dyDescent="0.25">
      <c r="A107" s="475"/>
      <c r="B107" s="475"/>
      <c r="C107" s="16" t="s">
        <v>239</v>
      </c>
      <c r="D107" s="57"/>
      <c r="E107" s="65"/>
      <c r="F107" s="266" t="str">
        <f>IF(E107="","",IF(E107&lt;83.5,0,IF(E107&gt;=100,1,ROUND(E107*'Reference Curves'!$K$94+'Reference Curves'!$K$95,2))))</f>
        <v/>
      </c>
      <c r="G107" s="478"/>
      <c r="H107" s="478"/>
      <c r="I107" s="481"/>
      <c r="J107" s="462"/>
      <c r="K107" s="9"/>
      <c r="N107" s="8"/>
    </row>
    <row r="108" spans="1:14" s="4" customFormat="1" ht="15.75" x14ac:dyDescent="0.25">
      <c r="A108" s="485" t="s">
        <v>41</v>
      </c>
      <c r="B108" s="223" t="s">
        <v>115</v>
      </c>
      <c r="C108" s="224" t="s">
        <v>340</v>
      </c>
      <c r="D108" s="225"/>
      <c r="E108" s="28"/>
      <c r="F108" s="232" t="str">
        <f>IF(E108="","", IF(E108&lt;=1.1,1, IF(E108 &gt;1.315,0, ROUND(E108*'Reference Curves'!R$3+'Reference Curves'!R$4,2))))</f>
        <v/>
      </c>
      <c r="G108" s="267" t="str">
        <f>IFERROR(AVERAGE(F108:F108),"")</f>
        <v/>
      </c>
      <c r="H108" s="488">
        <f>IF(OR(G108&lt;&gt;"",G109&lt;&gt;"",G110&lt;&gt;""),ROUND(AVERAGE(G108:G110),2),'Debit Calculator'!$F$28)</f>
        <v>1</v>
      </c>
      <c r="I108" s="436" t="str">
        <f>IF(H108="","",IF(H108&gt;0.69,"Functioning",IF(H108&gt;0.29,"Functioning At Risk",IF(H108&gt;-1,"Not Functioning"))))</f>
        <v>Functioning</v>
      </c>
      <c r="J108" s="462"/>
      <c r="K108" s="9"/>
      <c r="N108" s="8"/>
    </row>
    <row r="109" spans="1:14" s="4" customFormat="1" ht="15.75" x14ac:dyDescent="0.25">
      <c r="A109" s="486"/>
      <c r="B109" s="223" t="s">
        <v>240</v>
      </c>
      <c r="C109" s="224" t="s">
        <v>341</v>
      </c>
      <c r="D109" s="225"/>
      <c r="E109" s="46"/>
      <c r="F109" s="240" t="str">
        <f>IF(E109="","",ROUND( IF(E109&lt;=3,1, IF(E109&gt;=100,0,IF(E109&gt;10, E109*'Reference Curves'!$R$9+'Reference Curves'!$R$10,E109*'Reference Curves'!$S$9+'Reference Curves'!$S$10))),2))</f>
        <v/>
      </c>
      <c r="G109" s="232" t="str">
        <f>IFERROR(AVERAGE(F109),"")</f>
        <v/>
      </c>
      <c r="H109" s="489"/>
      <c r="I109" s="436"/>
      <c r="J109" s="462"/>
      <c r="K109" s="9"/>
      <c r="N109" s="8"/>
    </row>
    <row r="110" spans="1:14" s="4" customFormat="1" ht="15.75" x14ac:dyDescent="0.25">
      <c r="A110" s="487"/>
      <c r="B110" s="223" t="s">
        <v>241</v>
      </c>
      <c r="C110" s="226" t="s">
        <v>355</v>
      </c>
      <c r="D110" s="227"/>
      <c r="E110" s="46"/>
      <c r="F110" s="232" t="str">
        <f>IF(E110="","", IF(E110&gt;=75,1, IF(E110 &lt;19,0, ROUND(E110*'Reference Curves'!R$14+'Reference Curves'!R$15,2))))</f>
        <v/>
      </c>
      <c r="G110" s="232" t="str">
        <f>IFERROR(AVERAGE(F110),"")</f>
        <v/>
      </c>
      <c r="H110" s="490"/>
      <c r="I110" s="436"/>
      <c r="J110" s="462"/>
      <c r="K110" s="9"/>
      <c r="N110" s="8"/>
    </row>
    <row r="111" spans="1:14" s="4" customFormat="1" ht="15.75" x14ac:dyDescent="0.25">
      <c r="A111" s="437" t="s">
        <v>42</v>
      </c>
      <c r="B111" s="228" t="s">
        <v>80</v>
      </c>
      <c r="C111" s="229" t="s">
        <v>366</v>
      </c>
      <c r="D111" s="26"/>
      <c r="E111" s="28"/>
      <c r="F111" s="128" t="str">
        <f>IF(E111="","",ROUND( IF(E111&gt;=81,0, IF(E111&lt;=36,1,IF(E111&gt;62, E111*'Reference Curves'!$V$4+'Reference Curves'!$V$5,IF(E111&gt;43, E111*'Reference Curves'!$W$4+'Reference Curves'!$W$5,E111*'Reference Curves'!$X$4+'Reference Curves'!$X$5)))),2))</f>
        <v/>
      </c>
      <c r="G111" s="104" t="str">
        <f>IFERROR(AVERAGE(F111),"")</f>
        <v/>
      </c>
      <c r="H111" s="440">
        <f>IF(OR(G111&lt;&gt;"",G112&lt;&gt;""),ROUND(AVERAGE(G111:G114),2),'Debit Calculator'!$F$28)</f>
        <v>1</v>
      </c>
      <c r="I111" s="436" t="str">
        <f>IF(H111="","",IF(H111&gt;0.69,"Functioning",IF(H111&gt;0.29,"Functioning At Risk",IF(H111&gt;-1,"Not Functioning"))))</f>
        <v>Functioning</v>
      </c>
      <c r="J111" s="462"/>
      <c r="K111" s="9"/>
      <c r="N111" s="8"/>
    </row>
    <row r="112" spans="1:14" s="4" customFormat="1" ht="15.75" x14ac:dyDescent="0.25">
      <c r="A112" s="438"/>
      <c r="B112" s="437" t="s">
        <v>45</v>
      </c>
      <c r="C112" s="229" t="s">
        <v>242</v>
      </c>
      <c r="D112" s="26"/>
      <c r="E112" s="35"/>
      <c r="F112" s="104" t="str">
        <f>IF(E112="","",IF(F82="Anadromous", IF(E112&lt;=0,0,IF(E112&gt;=100,1,ROUND(IF(E112&lt;80,E112*'Reference Curves'!$V$11+'Reference Curves'!$V$12,E112*'Reference Curves'!$W$11+'Reference Curves'!$W$12),2))),
IF(F82="Non-anadromous", IF(E112&lt;=0,0,IF(E112&gt;=100,1,ROUND(IF(E112&lt;60,E112*'Reference Curves'!$X$11+'Reference Curves'!$X$12,E112*'Reference Curves'!$Y$11+'Reference Curves'!$Y$12),2))))))</f>
        <v/>
      </c>
      <c r="G112" s="441" t="str">
        <f>IFERROR(AVERAGE(F112:F114),"")</f>
        <v/>
      </c>
      <c r="H112" s="440"/>
      <c r="I112" s="436"/>
      <c r="J112" s="462"/>
      <c r="K112" s="9"/>
      <c r="N112" s="8"/>
    </row>
    <row r="113" spans="1:14" s="4" customFormat="1" ht="15.75" x14ac:dyDescent="0.25">
      <c r="A113" s="438"/>
      <c r="B113" s="438"/>
      <c r="C113" s="294" t="s">
        <v>322</v>
      </c>
      <c r="D113" s="295"/>
      <c r="E113" s="34"/>
      <c r="F113" s="104" t="str">
        <f>IF(E113="","", IF(E113&lt;=0,0,IF(E113&gt;=0.9,1,ROUND(E113*'Reference Curves'!$V$16+'Reference Curves'!$V$17,2))))</f>
        <v/>
      </c>
      <c r="G113" s="491"/>
      <c r="H113" s="440"/>
      <c r="I113" s="436"/>
      <c r="J113" s="462"/>
      <c r="K113" s="9"/>
      <c r="N113" s="8"/>
    </row>
    <row r="114" spans="1:14" s="4" customFormat="1" ht="15.75" x14ac:dyDescent="0.25">
      <c r="A114" s="439"/>
      <c r="B114" s="439"/>
      <c r="C114" s="101" t="s">
        <v>243</v>
      </c>
      <c r="D114" s="103"/>
      <c r="E114" s="36"/>
      <c r="F114" s="128" t="str">
        <f>IF(E114="","", IF(E114&lt;=0,0,IF(E114&gt;=0.9,1,ROUND(E114*'Reference Curves'!$V$16+'Reference Curves'!$V$17,2))))</f>
        <v/>
      </c>
      <c r="G114" s="443"/>
      <c r="H114" s="440"/>
      <c r="I114" s="436"/>
      <c r="J114" s="463"/>
      <c r="K114" s="9"/>
      <c r="N114" s="8"/>
    </row>
    <row r="115" spans="1:14" s="4" customFormat="1" x14ac:dyDescent="0.25">
      <c r="I115" s="47"/>
      <c r="J115" s="3"/>
      <c r="K115" s="9"/>
      <c r="N115" s="8"/>
    </row>
    <row r="116" spans="1:14" s="4" customFormat="1" ht="15.6" customHeight="1" x14ac:dyDescent="0.25">
      <c r="I116" s="47"/>
      <c r="J116" s="3"/>
      <c r="K116" s="9"/>
      <c r="N116" s="8"/>
    </row>
    <row r="117" spans="1:14" s="4" customFormat="1" ht="21" x14ac:dyDescent="0.25">
      <c r="A117" s="495" t="s">
        <v>167</v>
      </c>
      <c r="B117" s="496"/>
      <c r="C117" s="496"/>
      <c r="D117" s="496"/>
      <c r="E117" s="496"/>
      <c r="F117" s="496"/>
      <c r="G117" s="496"/>
      <c r="H117" s="496"/>
      <c r="I117" s="496"/>
      <c r="J117" s="497"/>
      <c r="K117" s="9"/>
      <c r="N117" s="8"/>
    </row>
    <row r="118" spans="1:14" s="4" customFormat="1" ht="15.75" x14ac:dyDescent="0.25">
      <c r="A118" s="115" t="s">
        <v>59</v>
      </c>
      <c r="B118" s="130" t="str">
        <f>IF('Project Assessment'!A13="","",'Project Assessment'!A13)</f>
        <v/>
      </c>
      <c r="C118" s="115" t="s">
        <v>168</v>
      </c>
      <c r="D118" s="251"/>
      <c r="E118" s="250" t="s">
        <v>73</v>
      </c>
      <c r="F118" s="498"/>
      <c r="G118" s="498"/>
      <c r="H118" s="493" t="s">
        <v>102</v>
      </c>
      <c r="I118" s="494"/>
      <c r="J118" s="116"/>
      <c r="K118" s="9"/>
      <c r="N118" s="8"/>
    </row>
    <row r="119" spans="1:14" s="4" customFormat="1" ht="15.75" x14ac:dyDescent="0.25">
      <c r="A119" s="134" t="s">
        <v>212</v>
      </c>
      <c r="B119" s="130" t="str">
        <f>IF('Project Assessment'!B13="","",'Project Assessment'!B13)</f>
        <v/>
      </c>
      <c r="C119" s="250" t="s">
        <v>359</v>
      </c>
      <c r="D119" s="138"/>
      <c r="E119" s="250" t="s">
        <v>156</v>
      </c>
      <c r="F119" s="498"/>
      <c r="G119" s="498"/>
      <c r="H119" s="493" t="s">
        <v>103</v>
      </c>
      <c r="I119" s="494"/>
      <c r="J119" s="116"/>
      <c r="K119" s="9"/>
      <c r="N119" s="8"/>
    </row>
    <row r="120" spans="1:14" s="4" customFormat="1" ht="15.75" x14ac:dyDescent="0.25">
      <c r="A120" s="119" t="s">
        <v>157</v>
      </c>
      <c r="B120" s="130" t="str">
        <f>IF('Project Assessment'!C13="","",'Project Assessment'!C13)</f>
        <v/>
      </c>
      <c r="C120" s="239" t="s">
        <v>360</v>
      </c>
      <c r="D120" s="251"/>
      <c r="E120" s="250" t="s">
        <v>220</v>
      </c>
      <c r="F120" s="498"/>
      <c r="G120" s="498"/>
      <c r="H120" s="493" t="s">
        <v>104</v>
      </c>
      <c r="I120" s="494"/>
      <c r="J120" s="32"/>
      <c r="K120" s="9"/>
      <c r="N120" s="8"/>
    </row>
    <row r="121" spans="1:14" s="4" customFormat="1" ht="15.75" x14ac:dyDescent="0.25">
      <c r="A121" s="499"/>
      <c r="B121" s="500"/>
      <c r="C121" s="233" t="s">
        <v>155</v>
      </c>
      <c r="D121" s="251"/>
      <c r="E121" s="502"/>
      <c r="F121" s="503"/>
      <c r="G121" s="504"/>
      <c r="H121" s="493" t="s">
        <v>105</v>
      </c>
      <c r="I121" s="494"/>
      <c r="J121" s="116"/>
      <c r="K121" s="9"/>
      <c r="N121" s="8"/>
    </row>
    <row r="122" spans="1:14" s="4" customFormat="1" ht="7.5" customHeight="1" x14ac:dyDescent="0.25">
      <c r="B122" s="50"/>
      <c r="C122" s="50"/>
      <c r="D122" s="50"/>
      <c r="E122" s="50"/>
      <c r="F122" s="50"/>
      <c r="G122" s="50"/>
      <c r="H122" s="50"/>
      <c r="I122" s="48"/>
      <c r="J122" s="9"/>
      <c r="K122" s="9"/>
      <c r="N122" s="8"/>
    </row>
    <row r="123" spans="1:14" s="4" customFormat="1" ht="21" x14ac:dyDescent="0.35">
      <c r="A123" s="492" t="str">
        <f>_xlfn.CONCAT("EXISTING CONDITION ASSESSMENT for Reach ",B118)</f>
        <v xml:space="preserve">EXISTING CONDITION ASSESSMENT for Reach </v>
      </c>
      <c r="B123" s="492"/>
      <c r="C123" s="492"/>
      <c r="D123" s="492"/>
      <c r="E123" s="492"/>
      <c r="F123" s="492"/>
      <c r="G123" s="492" t="s">
        <v>10</v>
      </c>
      <c r="H123" s="492"/>
      <c r="I123" s="492"/>
      <c r="J123" s="492"/>
      <c r="K123" s="9"/>
      <c r="N123" s="8"/>
    </row>
    <row r="124" spans="1:14" s="4" customFormat="1" ht="15.75" x14ac:dyDescent="0.25">
      <c r="A124" s="30" t="s">
        <v>1</v>
      </c>
      <c r="B124" s="30" t="s">
        <v>2</v>
      </c>
      <c r="C124" s="448" t="s">
        <v>316</v>
      </c>
      <c r="D124" s="449"/>
      <c r="E124" s="30" t="s">
        <v>8</v>
      </c>
      <c r="F124" s="29" t="s">
        <v>9</v>
      </c>
      <c r="G124" s="30" t="s">
        <v>11</v>
      </c>
      <c r="H124" s="30" t="s">
        <v>12</v>
      </c>
      <c r="I124" s="49" t="s">
        <v>12</v>
      </c>
      <c r="J124" s="271" t="s">
        <v>85</v>
      </c>
      <c r="K124" s="9"/>
      <c r="N124" s="8"/>
    </row>
    <row r="125" spans="1:14" s="4" customFormat="1" ht="15.6" customHeight="1" x14ac:dyDescent="0.25">
      <c r="A125" s="450" t="s">
        <v>223</v>
      </c>
      <c r="B125" s="453" t="s">
        <v>224</v>
      </c>
      <c r="C125" s="212" t="s">
        <v>114</v>
      </c>
      <c r="D125" s="215"/>
      <c r="E125" s="35"/>
      <c r="F125" s="218" t="str">
        <f>IF(E125="","",IF(E125&gt;=86,0,IF(E125&lt;=9,1,ROUND(IF(E125&gt;22,E125*'Reference Curves'!B$4+'Reference Curves'!B$5, IF(E125&gt;16, E125*'Reference Curves'!C$4+'Reference Curves'!C$5,E125*'Reference Curves'!$D$4+'Reference Curves'!$D$5)),2))))</f>
        <v/>
      </c>
      <c r="G125" s="456" t="str">
        <f>IFERROR(AVERAGE(F125:F127),"")</f>
        <v/>
      </c>
      <c r="H125" s="458" t="str">
        <f>IFERROR(ROUND(AVERAGE(G125:G131),2),"")</f>
        <v/>
      </c>
      <c r="I125" s="445" t="str">
        <f>IF(H125="","",IF(H125&gt;0.69,"Functioning",IF(H125&gt;0.29,"Functioning At Risk",IF(H125&gt;-1,"Not Functioning"))))</f>
        <v/>
      </c>
      <c r="J125" s="461">
        <f>IF(AND(H125="",H132="",H135="",H146="",H149=""),"",ROUND((IF(H125="",0,H125)*0.2)+(IF(H132="",0,H132)*0.2)+(IF(H135="",0,H135)*0.2)+(IF(H146="",0,H146)*0.2)+(IF(H149="",0,H149)*0.2),2))</f>
        <v>0.4</v>
      </c>
      <c r="K125" s="9"/>
      <c r="N125" s="8"/>
    </row>
    <row r="126" spans="1:14" s="4" customFormat="1" ht="15.75" x14ac:dyDescent="0.25">
      <c r="A126" s="451"/>
      <c r="B126" s="454"/>
      <c r="C126" s="213" t="s">
        <v>221</v>
      </c>
      <c r="D126" s="216"/>
      <c r="E126" s="34"/>
      <c r="F126" s="235" t="str">
        <f>IF(E126="","",IF(E126&gt;=33.5,0,IF(E126=0,1,ROUND(E126*'Reference Curves'!B$9+'Reference Curves'!B$10,2))))</f>
        <v/>
      </c>
      <c r="G126" s="457"/>
      <c r="H126" s="459"/>
      <c r="I126" s="446"/>
      <c r="J126" s="462"/>
      <c r="K126" s="9"/>
      <c r="N126" s="8"/>
    </row>
    <row r="127" spans="1:14" s="4" customFormat="1" ht="15.75" x14ac:dyDescent="0.25">
      <c r="A127" s="451"/>
      <c r="B127" s="455"/>
      <c r="C127" s="214" t="s">
        <v>222</v>
      </c>
      <c r="D127" s="216"/>
      <c r="E127" s="36"/>
      <c r="F127" s="235" t="str">
        <f>IF(E127="","",IF(E127&gt;=61,0,IF(E127=0,1, ROUND(IF(E127&gt;35,E127*'Reference Curves'!B$15+'Reference Curves'!B$16,  E127*'Reference Curves'!C$15+'Reference Curves'!C$16),2))))</f>
        <v/>
      </c>
      <c r="G127" s="457"/>
      <c r="H127" s="459"/>
      <c r="I127" s="446"/>
      <c r="J127" s="462"/>
      <c r="K127" s="9"/>
      <c r="N127" s="8"/>
    </row>
    <row r="128" spans="1:14" s="4" customFormat="1" ht="15.75" x14ac:dyDescent="0.25">
      <c r="A128" s="451"/>
      <c r="B128" s="464" t="s">
        <v>63</v>
      </c>
      <c r="C128" s="212" t="s">
        <v>114</v>
      </c>
      <c r="D128" s="215"/>
      <c r="E128" s="34"/>
      <c r="F128" s="218" t="str">
        <f>IF(E128="","",IF(E128&gt;=86,0,IF(E128&lt;=9,1,ROUND(IF(E128&gt;22,E128*'Reference Curves'!B$4+'Reference Curves'!B$5, IF(E128&gt;16, E128*'Reference Curves'!C$4+'Reference Curves'!C$5,E128*'Reference Curves'!$D$4+'Reference Curves'!$D$5)),2))))</f>
        <v/>
      </c>
      <c r="G128" s="456" t="str">
        <f>IFERROR(AVERAGE(F128:F131),"")</f>
        <v/>
      </c>
      <c r="H128" s="459"/>
      <c r="I128" s="446"/>
      <c r="J128" s="462"/>
      <c r="K128" s="9"/>
      <c r="N128" s="8"/>
    </row>
    <row r="129" spans="1:14" s="4" customFormat="1" ht="15.75" x14ac:dyDescent="0.25">
      <c r="A129" s="451"/>
      <c r="B129" s="464"/>
      <c r="C129" s="213" t="s">
        <v>221</v>
      </c>
      <c r="D129" s="216"/>
      <c r="E129" s="34"/>
      <c r="F129" s="235" t="str">
        <f>IF(E129="","",IF(E129&gt;=33.5,0,IF(E129=0,1,ROUND(E129*'Reference Curves'!B$9+'Reference Curves'!B$10,2))))</f>
        <v/>
      </c>
      <c r="G129" s="457"/>
      <c r="H129" s="459"/>
      <c r="I129" s="446"/>
      <c r="J129" s="462"/>
      <c r="K129" s="9"/>
      <c r="N129" s="8"/>
    </row>
    <row r="130" spans="1:14" s="4" customFormat="1" ht="15.75" x14ac:dyDescent="0.25">
      <c r="A130" s="451"/>
      <c r="B130" s="464"/>
      <c r="C130" s="213" t="s">
        <v>222</v>
      </c>
      <c r="D130" s="216"/>
      <c r="E130" s="34"/>
      <c r="F130" s="235" t="str">
        <f>IF(E130="","",IF(E130&gt;=61,0,IF(E130=0,1, ROUND(IF(E130&gt;35,E130*'Reference Curves'!B$15+'Reference Curves'!B$16,  E130*'Reference Curves'!C$15+'Reference Curves'!C$16),2))))</f>
        <v/>
      </c>
      <c r="G130" s="457"/>
      <c r="H130" s="459"/>
      <c r="I130" s="446"/>
      <c r="J130" s="462"/>
      <c r="K130" s="9"/>
      <c r="N130" s="8"/>
    </row>
    <row r="131" spans="1:14" s="4" customFormat="1" ht="15.75" x14ac:dyDescent="0.25">
      <c r="A131" s="452"/>
      <c r="B131" s="465"/>
      <c r="C131" s="214" t="s">
        <v>225</v>
      </c>
      <c r="D131" s="217"/>
      <c r="E131" s="34"/>
      <c r="F131" s="236" t="str">
        <f>IF(E131="","",   IF(E131&gt;3.35,0, IF(E131&lt;0, "", ROUND('Reference Curves'!$B$20*E131+'Reference Curves'!$B$21,2))))</f>
        <v/>
      </c>
      <c r="G131" s="457"/>
      <c r="H131" s="460"/>
      <c r="I131" s="447"/>
      <c r="J131" s="462"/>
      <c r="K131" s="9"/>
      <c r="N131" s="8"/>
    </row>
    <row r="132" spans="1:14" s="4" customFormat="1" ht="15.75" x14ac:dyDescent="0.25">
      <c r="A132" s="466" t="s">
        <v>226</v>
      </c>
      <c r="B132" s="469" t="s">
        <v>3</v>
      </c>
      <c r="C132" s="95" t="s">
        <v>227</v>
      </c>
      <c r="D132" s="13"/>
      <c r="E132" s="28"/>
      <c r="F132" s="121" t="str">
        <f>IF(E132="","", IF(E132&gt;1.71,0,IF(E132&lt;=1,1, ROUND(E132*'Reference Curves'!G$3+'Reference Curves'!G$4,2))))</f>
        <v/>
      </c>
      <c r="G132" s="471" t="str">
        <f>IFERROR(AVERAGE(F132:F133),"")</f>
        <v/>
      </c>
      <c r="H132" s="471" t="str">
        <f>IFERROR(ROUND(AVERAGE(G132:G134),2),"")</f>
        <v/>
      </c>
      <c r="I132" s="445" t="str">
        <f>IF(H132="","",IF(H132&gt;0.69,"Functioning",IF(H132&gt;0.29,"Functioning At Risk",IF(H132&gt;-1,"Not Functioning"))))</f>
        <v/>
      </c>
      <c r="J132" s="462"/>
      <c r="K132" s="9"/>
      <c r="N132" s="8"/>
    </row>
    <row r="133" spans="1:14" s="4" customFormat="1" ht="15.75" x14ac:dyDescent="0.25">
      <c r="A133" s="467"/>
      <c r="B133" s="470"/>
      <c r="C133" s="97" t="s">
        <v>228</v>
      </c>
      <c r="D133" s="102"/>
      <c r="E133" s="33"/>
      <c r="F133" s="237" t="str">
        <f>IF(E133="","",IF(LEFT(D118,1)="B",IF(E133&lt;=1,0,IF(E133&gt;=2.2,1,ROUND(IF(E133&lt;1.4,E133*'Reference Curves'!$G$19+'Reference Curves'!$G$20,E133*'Reference Curves'!$H$19+'Reference Curves'!$H$20),2))),
IF(LEFT(D118,1)="C",IF(E133&lt;1.7,0,IF(E133&gt;=4.4,1,ROUND(IF(E133&gt;2.4,E133*'Reference Curves'!$H$9+'Reference Curves'!$H$10,E133*'Reference Curves'!$G$9+'Reference Curves'!$G$10),2))),
IF(LEFT(D118,1)="E",IF(E133&lt;1.7,0,IF(E133&gt;=6.5,1,ROUND(IF(E133&gt;2.4,E133*'Reference Curves'!$H$14+'Reference Curves'!$H$15,E133*'Reference Curves'!$G$14+'Reference Curves'!$G$15),2)))))))</f>
        <v/>
      </c>
      <c r="G133" s="472"/>
      <c r="H133" s="473"/>
      <c r="I133" s="446"/>
      <c r="J133" s="462"/>
      <c r="K133" s="9"/>
      <c r="N133" s="8"/>
    </row>
    <row r="134" spans="1:14" s="4" customFormat="1" ht="15.6" customHeight="1" x14ac:dyDescent="0.25">
      <c r="A134" s="468"/>
      <c r="B134" s="219" t="s">
        <v>229</v>
      </c>
      <c r="C134" s="96" t="s">
        <v>230</v>
      </c>
      <c r="D134" s="13"/>
      <c r="E134" s="32"/>
      <c r="F134" s="122" t="str">
        <f>IF(E134="","",IF(E134&gt;=180,0, IF(E134=100,1, ROUND(IF(E134&gt;100,E134*'Reference Curves'!$H$25+'Reference Curves'!$H$26, IF(E132&gt;1.2,IF(E134 &lt;=20,0, E134*'Reference Curves'!$G$25+'Reference Curves'!$G$26),1)),2))))</f>
        <v/>
      </c>
      <c r="G134" s="269" t="str">
        <f>IFERROR(AVERAGE(F134),"")</f>
        <v/>
      </c>
      <c r="H134" s="472"/>
      <c r="I134" s="447"/>
      <c r="J134" s="462"/>
      <c r="K134" s="9"/>
      <c r="N134" s="8"/>
    </row>
    <row r="135" spans="1:14" s="4" customFormat="1" ht="15.75" x14ac:dyDescent="0.25">
      <c r="A135" s="474" t="s">
        <v>16</v>
      </c>
      <c r="B135" s="270" t="s">
        <v>231</v>
      </c>
      <c r="C135" s="220" t="s">
        <v>232</v>
      </c>
      <c r="D135" s="221"/>
      <c r="E135" s="46"/>
      <c r="F135" s="238" t="str">
        <f>IF(E135="","",IF(F119="Alaska Range",ROUND(IF(E135&lt;=0.05,0, IF(E135&gt;=6.3,1,IF(E135&lt;=1.5,'Reference Curves'!$K$5*E135+'Reference Curves'!$K$6, 'Reference Curves'!$L$5*E135+'Reference Curves'!$L$6))),2),
IF(F119="Brooks Range",ROUND(IF(E135&gt;=4.2,1,IF(E135&lt;0.03,0, IF(E135&lt;=1.2,'Reference Curves'!$M$5*E135+'Reference Curves'!$M$6, 'Reference Curves'!$N$5*E135+'Reference Curves'!$N$6))),2),
IF(OR(F119="Interior Bottomlands", F119="Yukon Flats"),ROUND(IF(E135&gt;=54.5,1,IF(E135&lt;=3.7,'Reference Curves'!$K$11*E135+'Reference Curves'!$K$12, IF(E135&lt;4.7,  'Reference Curves'!$L$11*E135+'Reference Curves'!$L$12,  'Reference Curves'!$M$11*E135+'Reference Curves'!$M$12))),2),
IF(OR(F119="Interior Forested Lowlands/Uplands",F119="Interior Highlands"),ROUND(IF(E135=0,0,IF(E135&gt;=24.1,1,IF(E135&lt;=1.3,'Reference Curves'!$N$11*E135+'Reference Curves'!$N$12, 'Reference Curves'!$O$11*E135+'Reference Curves'!$O$12))),2))))))</f>
        <v/>
      </c>
      <c r="G135" s="265" t="str">
        <f>IFERROR(AVERAGE(F135:F135),"")</f>
        <v/>
      </c>
      <c r="H135" s="476" t="str">
        <f>IFERROR(ROUND(AVERAGE(G135:G145),2),"")</f>
        <v/>
      </c>
      <c r="I135" s="479" t="str">
        <f>IF(H135="","",IF(H135&gt;0.69,"Functioning",IF(H135&gt;0.29,"Functioning At Risk",IF(H135&gt;-1,"Not Functioning"))))</f>
        <v/>
      </c>
      <c r="J135" s="462"/>
      <c r="K135" s="9"/>
      <c r="N135" s="8"/>
    </row>
    <row r="136" spans="1:14" s="4" customFormat="1" ht="15.75" x14ac:dyDescent="0.25">
      <c r="A136" s="475"/>
      <c r="B136" s="475" t="s">
        <v>99</v>
      </c>
      <c r="C136" s="16" t="s">
        <v>37</v>
      </c>
      <c r="D136" s="100"/>
      <c r="E136" s="234"/>
      <c r="F136" s="123" t="str">
        <f>IF(E136="","",IF(OR(E136="Ex/Ex",E136="Ex/VH",E136="Ex/H",E136="Ex/M",E136="VH/Ex",E136="VH/VH", E136="H/Ex",E136="H/VH"),0,
IF(OR(E136="M/Ex"),0.1,
IF(OR(E136="VH/H",E136="VH/M",E136="H/H",E136="H/M", E136="M/VH"),0.2,
IF(OR(E136="Ex/VL",E136="Ex/L", E136="M/H"),0.3,
IF(OR(E136="VH/L",E136="H/L"),0.4,
IF(OR(E136="VH/VL",E136="H/VL",E136="M/M"),0.5,
IF(OR(E136="M/L",E136="L/Ex"),0.6,
IF(OR(E136="M/VL",E136="L/VH", E136="L/H",E136="L/M",E136="L/L",E136="L/VL", LEFT(E136,2)="VL"),1)))))))))</f>
        <v/>
      </c>
      <c r="G136" s="476" t="str">
        <f>IFERROR(IF(E138&gt;=50,0,AVERAGE(F136:F138)),"")</f>
        <v/>
      </c>
      <c r="H136" s="477"/>
      <c r="I136" s="480"/>
      <c r="J136" s="462"/>
      <c r="K136" s="9"/>
      <c r="N136" s="8"/>
    </row>
    <row r="137" spans="1:14" s="4" customFormat="1" ht="15.75" x14ac:dyDescent="0.25">
      <c r="A137" s="475"/>
      <c r="B137" s="475"/>
      <c r="C137" s="98" t="s">
        <v>48</v>
      </c>
      <c r="D137" s="230"/>
      <c r="E137" s="32"/>
      <c r="F137" s="123" t="str">
        <f>IF(E137="","",ROUND(IF(E137&gt;=75,0,IF(E137&lt;=5,1,IF(E137&gt;10,E137*'Reference Curves'!K$17+'Reference Curves'!K$18,'Reference Curves'!$L$17*E137+'Reference Curves'!$L$18))),2))</f>
        <v/>
      </c>
      <c r="G137" s="477"/>
      <c r="H137" s="477"/>
      <c r="I137" s="480"/>
      <c r="J137" s="462"/>
      <c r="K137" s="9"/>
      <c r="N137" s="8"/>
    </row>
    <row r="138" spans="1:14" s="4" customFormat="1" ht="15.75" x14ac:dyDescent="0.25">
      <c r="A138" s="475"/>
      <c r="B138" s="482"/>
      <c r="C138" s="99" t="s">
        <v>233</v>
      </c>
      <c r="D138" s="231"/>
      <c r="E138" s="33"/>
      <c r="F138" s="124" t="str">
        <f>IF(E138="","",IF(E138&gt;=30,0,ROUND(E138*'Reference Curves'!$K$22+'Reference Curves'!$K$23,2)))</f>
        <v/>
      </c>
      <c r="G138" s="478"/>
      <c r="H138" s="477"/>
      <c r="I138" s="480"/>
      <c r="J138" s="462"/>
      <c r="K138" s="9"/>
      <c r="N138" s="8"/>
    </row>
    <row r="139" spans="1:14" s="4" customFormat="1" ht="15.75" x14ac:dyDescent="0.25">
      <c r="A139" s="475"/>
      <c r="B139" s="268" t="s">
        <v>234</v>
      </c>
      <c r="C139" s="17" t="s">
        <v>235</v>
      </c>
      <c r="D139" s="100"/>
      <c r="E139" s="33"/>
      <c r="F139" s="123" t="str">
        <f>IF(E139="","",IF(OR(D120="Cobble",D120="Boulders",D120="Bedrock"),ROUND(IF(E139&lt;=0,1,IF(E139&gt;=13.7,0, IF(E139&gt;5,E139*'Reference Curves'!$M$29+'Reference Curves'!$M$30,  E139*'Reference Curves'!$N$29+'Reference Curves'!$N$30))),2),
IF(D120="Gravel",ROUND(IF(E139&lt;=3,1,IF(E139&gt;=54,0, IF(E139&gt;15,E139*'Reference Curves'!$K$29+'Reference Curves'!$K$30,  E139*'Reference Curves'!$L$29+'Reference Curves'!$L$30))),2))))</f>
        <v/>
      </c>
      <c r="G139" s="265" t="str">
        <f>IFERROR(AVERAGE(F139:F139),"")</f>
        <v/>
      </c>
      <c r="H139" s="477"/>
      <c r="I139" s="480"/>
      <c r="J139" s="462"/>
      <c r="K139" s="9"/>
      <c r="N139" s="8"/>
    </row>
    <row r="140" spans="1:14" s="4" customFormat="1" ht="15.75" x14ac:dyDescent="0.25">
      <c r="A140" s="475"/>
      <c r="B140" s="474" t="s">
        <v>39</v>
      </c>
      <c r="C140" s="14" t="s">
        <v>236</v>
      </c>
      <c r="D140" s="18"/>
      <c r="E140" s="35"/>
      <c r="F140" s="125" t="str">
        <f>IF(E140="","",IF(D118="Bc",IF(E140&gt;=12,0,IF(E140&lt;=3.4,1,ROUND('Reference Curves'!$K$39*E140+'Reference Curves'!$K$40,2))),
IF(OR(D118="B",D118="Ba"),IF(E140&gt;=6,0,IF(E140&lt;=2,1,ROUND(IF(E140&gt;3.9,'Reference Curves'!$K$35*E140+'Reference Curves'!$K$36,'Reference Curves'!$L$35*E140+'Reference Curves'!$L$36),2))),
IF(LEFT(D118,1)="C",IF(OR(E140&gt;=9.3,E140&lt;=3),0,IF(AND(E140&gt;=4,E140&lt;=6),1,ROUND(IF(E140&lt;4,'Reference Curves'!$K$49*E140+'Reference Curves'!$K$50,'Reference Curves'!$L$49*E140+'Reference Curves'!$L$50),2))),
IF(D118="E",IF(OR(E140&gt;=8.3,E140&lt;=1.8),0,IF(AND(E140&gt;=3.5,E140&lt;=5),1,ROUND(IF(E140&lt;3.5,'Reference Curves'!$K$44*E140+'Reference Curves'!$K$45,'Reference Curves'!$L$44*E140+'Reference Curves'!$L$45),2)))      )))))</f>
        <v/>
      </c>
      <c r="G140" s="483" t="str">
        <f>IFERROR(AVERAGE(F140:F142),"")</f>
        <v/>
      </c>
      <c r="H140" s="477"/>
      <c r="I140" s="480"/>
      <c r="J140" s="462"/>
      <c r="K140" s="9"/>
      <c r="N140" s="8"/>
    </row>
    <row r="141" spans="1:14" s="4" customFormat="1" ht="15.75" x14ac:dyDescent="0.25">
      <c r="A141" s="475"/>
      <c r="B141" s="475"/>
      <c r="C141" s="16" t="s">
        <v>237</v>
      </c>
      <c r="D141" s="100"/>
      <c r="E141" s="34"/>
      <c r="F141" s="126" t="str">
        <f>IF(E141="","",ROUND(IF(E141&lt;=1,0, IF(OR(D118="B", D118="Ba"), IF(E141&gt;=2.8,1,IF(E141&gt;=1.8,'Reference Curves'!$L$56*E141+'Reference Curves'!$L$57,'Reference Curves'!$K$56*E141+'Reference Curves'!$K$57)),IF(E141&gt;=3.2,1,IF(E141&gt;=2.2,'Reference Curves'!$N$56*E141+'Reference Curves'!$N$57,'Reference Curves'!$M$56*E141+'Reference Curves'!$M$57)))),2))</f>
        <v/>
      </c>
      <c r="G141" s="484"/>
      <c r="H141" s="477"/>
      <c r="I141" s="480"/>
      <c r="J141" s="462"/>
      <c r="K141" s="9"/>
      <c r="N141" s="8"/>
    </row>
    <row r="142" spans="1:14" s="4" customFormat="1" ht="15.75" x14ac:dyDescent="0.25">
      <c r="A142" s="475"/>
      <c r="B142" s="475"/>
      <c r="C142" s="16" t="s">
        <v>79</v>
      </c>
      <c r="D142" s="100"/>
      <c r="E142" s="34"/>
      <c r="F142" s="266" t="str">
        <f>IF(E142="","",IF(D119&gt;=3,IF(OR(E142&lt;=0,E142&gt;=100),0,IF(AND(E142&gt;=68,E142&lt;=85),1,IF(E142&lt;68,IF(E142&lt;62,ROUND(E142*'Reference Curves'!$K$69+'Reference Curves'!$K$70,2),ROUND(E142*'Reference Curves'!$L$69+'Reference Curves'!$L$70,2)),
IF(E142&gt;87,ROUND(E142*'Reference Curves'!$M$69+'Reference Curves'!$M$70,2),ROUND(E142*'Reference Curves'!$N$69+'Reference Curves'!$N$70,2))))),
IF(D119&lt;&gt;0,IF(OR(E142&lt;=0,E142&gt;=100),0,IF(AND(E142&lt;=60,E142&gt;=50),1,IF(E142&lt;50,IF(E142&lt;39,ROUND(E142*'Reference Curves'!$K$63+'Reference Curves'!$K$64,2),ROUND(E142*'Reference Curves'!$L$63+'Reference Curves'!$L$64,2)),
IF(E142&gt;69,ROUND(E142*'Reference Curves'!$M$63+'Reference Curves'!$M$64,2),ROUND(E142*'Reference Curves'!$N$63+'Reference Curves'!$N$64,2))))))))</f>
        <v/>
      </c>
      <c r="G142" s="484"/>
      <c r="H142" s="477"/>
      <c r="I142" s="480"/>
      <c r="J142" s="462"/>
      <c r="K142" s="9"/>
      <c r="N142" s="8"/>
    </row>
    <row r="143" spans="1:14" s="4" customFormat="1" ht="15.6" customHeight="1" x14ac:dyDescent="0.25">
      <c r="A143" s="475"/>
      <c r="B143" s="474" t="s">
        <v>38</v>
      </c>
      <c r="C143" s="14" t="s">
        <v>238</v>
      </c>
      <c r="D143" s="41"/>
      <c r="E143" s="15"/>
      <c r="F143" s="127" t="str">
        <f>IF( E143="","",
IF( F118="Unconfined Alluvial", IF( E143&gt;=100,1,
ROUND('Reference Curves'!$K$76*E143+'Reference Curves'!$K$77,2) ),
IF( OR(F118="Confined Alluvial", F118="Colluvial/V-Shaped"), ( IF(E143&gt;=100,1,
IF(E143&gt;=60, ROUND('Reference Curves'!$M$76*E143+'Reference Curves'!$M$77,2), ROUND('Reference Curves'!$L$76*E143+'Reference Curves'!$L$77,2) ) ) ) ) ) )</f>
        <v/>
      </c>
      <c r="G143" s="476" t="str">
        <f>IFERROR(AVERAGE(F143:F145),"")</f>
        <v/>
      </c>
      <c r="H143" s="477"/>
      <c r="I143" s="480"/>
      <c r="J143" s="462"/>
      <c r="K143" s="9"/>
      <c r="N143" s="8"/>
    </row>
    <row r="144" spans="1:14" s="4" customFormat="1" ht="15.75" x14ac:dyDescent="0.25">
      <c r="A144" s="475"/>
      <c r="B144" s="475"/>
      <c r="C144" s="16" t="s">
        <v>202</v>
      </c>
      <c r="D144" s="57"/>
      <c r="E144" s="65"/>
      <c r="F144" s="126" t="str">
        <f>IF(E144="","",IF(OR(F119="Alaska Range",F119="Brooks Range"),ROUND(IF(E144&gt;=1.57,1,IF(E144&lt;=0.06,'Reference Curves'!$K$83*E144+'Reference Curves'!$K$84, IF(E144&lt;0.83, 'Reference Curves'!$L$83*E144+'Reference Curves'!$L$84, 'Reference Curves'!$M$83*E144+'Reference Curves'!$M$84))),2),
IF(F119="Interior Highlands",ROUND(IF(E144&gt;=1.67,1,IF(E144&lt;=0.94,'Reference Curves'!$N$83*E144+'Reference Curves'!$N$84, IF(E144&lt;1.21, 'Reference Curves'!$O$83*E144+'Reference Curves'!$O$84, 'Reference Curves'!$P$83*E144+'Reference Curves'!$P$84))),2),
IF(OR(F119="Interior Bottomlands",F119="Yukon Flats"),ROUND(IF(E144&gt;=1.82,1,IF(E144&lt;=1.19,'Reference Curves'!$K$89*E144+'Reference Curves'!$K$90, IF(E144&lt;1.37, 'Reference Curves'!$L$89*E144+'Reference Curves'!$L$90, 'Reference Curves'!$M$89*E144+'Reference Curves'!$M$90))),2),
IF(F119="Interior Forested Lowlands/Uplands",ROUND(IF(E144&gt;=1.87,1,IF(E144&lt;=1.24,'Reference Curves'!$N$89*E144+'Reference Curves'!$N$90, IF(E144&lt;1.45, 'Reference Curves'!$O$89*E144+'Reference Curves'!$O$90, 'Reference Curves'!$P$89*E144+'Reference Curves'!$P$90))),2))))))</f>
        <v/>
      </c>
      <c r="G144" s="477"/>
      <c r="H144" s="477"/>
      <c r="I144" s="480"/>
      <c r="J144" s="462"/>
      <c r="K144" s="9"/>
      <c r="N144" s="8"/>
    </row>
    <row r="145" spans="1:14" s="4" customFormat="1" ht="15.75" x14ac:dyDescent="0.25">
      <c r="A145" s="475"/>
      <c r="B145" s="475"/>
      <c r="C145" s="16" t="s">
        <v>239</v>
      </c>
      <c r="D145" s="57"/>
      <c r="E145" s="65"/>
      <c r="F145" s="266" t="str">
        <f>IF(E145="","",IF(E145&lt;83.5,0,IF(E145&gt;=100,1,ROUND(E145*'Reference Curves'!$K$94+'Reference Curves'!$K$95,2))))</f>
        <v/>
      </c>
      <c r="G145" s="478"/>
      <c r="H145" s="478"/>
      <c r="I145" s="481"/>
      <c r="J145" s="462"/>
      <c r="K145" s="9"/>
      <c r="N145" s="8"/>
    </row>
    <row r="146" spans="1:14" s="4" customFormat="1" ht="15.75" x14ac:dyDescent="0.25">
      <c r="A146" s="485" t="s">
        <v>41</v>
      </c>
      <c r="B146" s="223" t="s">
        <v>115</v>
      </c>
      <c r="C146" s="224" t="s">
        <v>340</v>
      </c>
      <c r="D146" s="225"/>
      <c r="E146" s="28"/>
      <c r="F146" s="232" t="str">
        <f>IF(E146="","", IF(E146&lt;=1.1,1, IF(E146 &gt;1.315,0, ROUND(E146*'Reference Curves'!R$3+'Reference Curves'!R$4,2))))</f>
        <v/>
      </c>
      <c r="G146" s="267" t="str">
        <f>IFERROR(AVERAGE(F146:F146),"")</f>
        <v/>
      </c>
      <c r="H146" s="488">
        <f>IF(OR(G146&lt;&gt;"",G147&lt;&gt;"",G148&lt;&gt;""),ROUND(AVERAGE(G146:G148),2),'Debit Calculator'!$F$28)</f>
        <v>1</v>
      </c>
      <c r="I146" s="436" t="str">
        <f>IF(H146="","",IF(H146&gt;0.69,"Functioning",IF(H146&gt;0.29,"Functioning At Risk",IF(H146&gt;-1,"Not Functioning"))))</f>
        <v>Functioning</v>
      </c>
      <c r="J146" s="462"/>
      <c r="K146" s="9"/>
      <c r="N146" s="8"/>
    </row>
    <row r="147" spans="1:14" s="4" customFormat="1" ht="15.75" x14ac:dyDescent="0.25">
      <c r="A147" s="486"/>
      <c r="B147" s="223" t="s">
        <v>240</v>
      </c>
      <c r="C147" s="224" t="s">
        <v>341</v>
      </c>
      <c r="D147" s="225"/>
      <c r="E147" s="46"/>
      <c r="F147" s="240" t="str">
        <f>IF(E147="","",ROUND( IF(E147&lt;=3,1, IF(E147&gt;=100,0,IF(E147&gt;10, E147*'Reference Curves'!$R$9+'Reference Curves'!$R$10,E147*'Reference Curves'!$S$9+'Reference Curves'!$S$10))),2))</f>
        <v/>
      </c>
      <c r="G147" s="232" t="str">
        <f>IFERROR(AVERAGE(F147),"")</f>
        <v/>
      </c>
      <c r="H147" s="489"/>
      <c r="I147" s="436"/>
      <c r="J147" s="462"/>
      <c r="K147" s="9"/>
      <c r="N147" s="8"/>
    </row>
    <row r="148" spans="1:14" s="4" customFormat="1" ht="15.75" x14ac:dyDescent="0.25">
      <c r="A148" s="487"/>
      <c r="B148" s="223" t="s">
        <v>241</v>
      </c>
      <c r="C148" s="226" t="s">
        <v>355</v>
      </c>
      <c r="D148" s="227"/>
      <c r="E148" s="46"/>
      <c r="F148" s="232" t="str">
        <f>IF(E148="","", IF(E148&gt;=75,1, IF(E148 &lt;19,0, ROUND(E148*'Reference Curves'!R$14+'Reference Curves'!R$15,2))))</f>
        <v/>
      </c>
      <c r="G148" s="232" t="str">
        <f>IFERROR(AVERAGE(F148),"")</f>
        <v/>
      </c>
      <c r="H148" s="490"/>
      <c r="I148" s="436"/>
      <c r="J148" s="462"/>
      <c r="K148" s="9"/>
      <c r="N148" s="8"/>
    </row>
    <row r="149" spans="1:14" ht="15.75" x14ac:dyDescent="0.25">
      <c r="A149" s="437" t="s">
        <v>42</v>
      </c>
      <c r="B149" s="228" t="s">
        <v>80</v>
      </c>
      <c r="C149" s="229" t="s">
        <v>366</v>
      </c>
      <c r="D149" s="26"/>
      <c r="E149" s="28"/>
      <c r="F149" s="128" t="str">
        <f>IF(E149="","",ROUND( IF(E149&gt;=81,0, IF(E149&lt;=36,1,IF(E149&gt;62, E149*'Reference Curves'!$V$4+'Reference Curves'!$V$5,IF(E149&gt;43, E149*'Reference Curves'!$W$4+'Reference Curves'!$W$5,E149*'Reference Curves'!$X$4+'Reference Curves'!$X$5)))),2))</f>
        <v/>
      </c>
      <c r="G149" s="104" t="str">
        <f>IFERROR(AVERAGE(F149),"")</f>
        <v/>
      </c>
      <c r="H149" s="440">
        <f>IF(OR(G149&lt;&gt;"",G150&lt;&gt;""),ROUND(AVERAGE(G149:G152),2),'Debit Calculator'!$F$28)</f>
        <v>1</v>
      </c>
      <c r="I149" s="436" t="str">
        <f>IF(H149="","",IF(H149&gt;0.69,"Functioning",IF(H149&gt;0.29,"Functioning At Risk",IF(H149&gt;-1,"Not Functioning"))))</f>
        <v>Functioning</v>
      </c>
      <c r="J149" s="462"/>
      <c r="L149" s="4"/>
      <c r="M149" s="4"/>
    </row>
    <row r="150" spans="1:14" ht="15.75" x14ac:dyDescent="0.25">
      <c r="A150" s="438"/>
      <c r="B150" s="437" t="s">
        <v>45</v>
      </c>
      <c r="C150" s="229" t="s">
        <v>242</v>
      </c>
      <c r="D150" s="26"/>
      <c r="E150" s="35"/>
      <c r="F150" s="104" t="str">
        <f>IF(E150="","",IF(F120="Anadromous", IF(E150&lt;=0,0,IF(E150&gt;=100,1,ROUND(IF(E150&lt;80,E150*'Reference Curves'!$V$11+'Reference Curves'!$V$12,E150*'Reference Curves'!$W$11+'Reference Curves'!$W$12),2))),
IF(F120="Non-anadromous", IF(E150&lt;=0,0,IF(E150&gt;=100,1,ROUND(IF(E150&lt;60,E150*'Reference Curves'!$X$11+'Reference Curves'!$X$12,E150*'Reference Curves'!$Y$11+'Reference Curves'!$Y$12),2))))))</f>
        <v/>
      </c>
      <c r="G150" s="441" t="str">
        <f>IFERROR(AVERAGE(F150:F152),"")</f>
        <v/>
      </c>
      <c r="H150" s="440"/>
      <c r="I150" s="436"/>
      <c r="J150" s="462"/>
      <c r="L150" s="4"/>
      <c r="M150" s="4"/>
    </row>
    <row r="151" spans="1:14" s="4" customFormat="1" ht="15.75" x14ac:dyDescent="0.25">
      <c r="A151" s="438"/>
      <c r="B151" s="438"/>
      <c r="C151" s="294" t="s">
        <v>322</v>
      </c>
      <c r="D151" s="295"/>
      <c r="E151" s="34"/>
      <c r="F151" s="104" t="str">
        <f>IF(E151="","", IF(E151&lt;=0,0,IF(E151&gt;=0.9,1,ROUND(E151*'Reference Curves'!$V$16+'Reference Curves'!$V$17,2))))</f>
        <v/>
      </c>
      <c r="G151" s="491"/>
      <c r="H151" s="440"/>
      <c r="I151" s="436"/>
      <c r="J151" s="462"/>
    </row>
    <row r="152" spans="1:14" ht="15.75" x14ac:dyDescent="0.25">
      <c r="A152" s="439"/>
      <c r="B152" s="439"/>
      <c r="C152" s="101" t="s">
        <v>243</v>
      </c>
      <c r="D152" s="103"/>
      <c r="E152" s="36"/>
      <c r="F152" s="128" t="str">
        <f>IF(E152="","", IF(E152&lt;=0,0,IF(E152&gt;=0.9,1,ROUND(E152*'Reference Curves'!$V$16+'Reference Curves'!$V$17,2))))</f>
        <v/>
      </c>
      <c r="G152" s="443"/>
      <c r="H152" s="440"/>
      <c r="I152" s="436"/>
      <c r="J152" s="463"/>
      <c r="L152" s="4"/>
      <c r="M152" s="4"/>
    </row>
    <row r="153" spans="1:14" x14ac:dyDescent="0.25">
      <c r="A153" s="4"/>
      <c r="B153" s="4"/>
      <c r="C153" s="4"/>
      <c r="E153" s="4"/>
      <c r="F153" s="4"/>
      <c r="H153" s="4"/>
      <c r="J153" s="3"/>
      <c r="L153" s="4"/>
      <c r="M153" s="4"/>
    </row>
    <row r="154" spans="1:14" x14ac:dyDescent="0.25">
      <c r="A154" s="4"/>
      <c r="B154" s="4"/>
      <c r="C154" s="4"/>
      <c r="E154" s="4"/>
      <c r="F154" s="4"/>
      <c r="H154" s="4"/>
      <c r="J154" s="4"/>
      <c r="L154" s="4"/>
      <c r="M154" s="4"/>
    </row>
    <row r="155" spans="1:14" ht="21" x14ac:dyDescent="0.25">
      <c r="A155" s="495" t="s">
        <v>167</v>
      </c>
      <c r="B155" s="496"/>
      <c r="C155" s="496"/>
      <c r="D155" s="496"/>
      <c r="E155" s="496"/>
      <c r="F155" s="496"/>
      <c r="G155" s="496"/>
      <c r="H155" s="496"/>
      <c r="I155" s="496"/>
      <c r="J155" s="497"/>
      <c r="L155" s="4"/>
      <c r="M155" s="4"/>
    </row>
    <row r="156" spans="1:14" ht="15.75" x14ac:dyDescent="0.25">
      <c r="A156" s="115" t="s">
        <v>59</v>
      </c>
      <c r="B156" s="130" t="str">
        <f>IF('Project Assessment'!A14="","",'Project Assessment'!A14)</f>
        <v/>
      </c>
      <c r="C156" s="115" t="s">
        <v>168</v>
      </c>
      <c r="D156" s="251"/>
      <c r="E156" s="250" t="s">
        <v>73</v>
      </c>
      <c r="F156" s="498"/>
      <c r="G156" s="498"/>
      <c r="H156" s="493" t="s">
        <v>102</v>
      </c>
      <c r="I156" s="494"/>
      <c r="J156" s="116"/>
      <c r="L156" s="4"/>
      <c r="M156" s="4"/>
    </row>
    <row r="157" spans="1:14" ht="15.75" x14ac:dyDescent="0.25">
      <c r="A157" s="134" t="s">
        <v>212</v>
      </c>
      <c r="B157" s="130" t="str">
        <f>IF('Project Assessment'!B14="","",'Project Assessment'!B14)</f>
        <v/>
      </c>
      <c r="C157" s="250" t="s">
        <v>359</v>
      </c>
      <c r="D157" s="138"/>
      <c r="E157" s="250" t="s">
        <v>156</v>
      </c>
      <c r="F157" s="498"/>
      <c r="G157" s="498"/>
      <c r="H157" s="493" t="s">
        <v>103</v>
      </c>
      <c r="I157" s="494"/>
      <c r="J157" s="116"/>
    </row>
    <row r="158" spans="1:14" ht="15.75" x14ac:dyDescent="0.25">
      <c r="A158" s="119" t="s">
        <v>157</v>
      </c>
      <c r="B158" s="130" t="str">
        <f>IF('Project Assessment'!C14="","",'Project Assessment'!C14)</f>
        <v/>
      </c>
      <c r="C158" s="239" t="s">
        <v>360</v>
      </c>
      <c r="D158" s="251"/>
      <c r="E158" s="250" t="s">
        <v>220</v>
      </c>
      <c r="F158" s="498"/>
      <c r="G158" s="498"/>
      <c r="H158" s="493" t="s">
        <v>104</v>
      </c>
      <c r="I158" s="494"/>
      <c r="J158" s="32"/>
    </row>
    <row r="159" spans="1:14" ht="15.75" x14ac:dyDescent="0.25">
      <c r="A159" s="499"/>
      <c r="B159" s="500"/>
      <c r="C159" s="233" t="s">
        <v>155</v>
      </c>
      <c r="D159" s="251"/>
      <c r="E159" s="502"/>
      <c r="F159" s="503"/>
      <c r="G159" s="504"/>
      <c r="H159" s="493" t="s">
        <v>105</v>
      </c>
      <c r="I159" s="494"/>
      <c r="J159" s="116"/>
    </row>
    <row r="160" spans="1:14" ht="7.5" customHeight="1" x14ac:dyDescent="0.25">
      <c r="A160" s="4"/>
      <c r="B160" s="50"/>
      <c r="C160" s="50"/>
      <c r="D160" s="50"/>
      <c r="E160" s="50"/>
      <c r="F160" s="50"/>
      <c r="G160" s="50"/>
      <c r="H160" s="50"/>
      <c r="I160" s="48"/>
      <c r="J160" s="9"/>
    </row>
    <row r="161" spans="1:10" ht="21" x14ac:dyDescent="0.35">
      <c r="A161" s="492" t="str">
        <f>_xlfn.CONCAT("EXISTING CONDITION ASSESSMENT for Reach ",B156)</f>
        <v xml:space="preserve">EXISTING CONDITION ASSESSMENT for Reach </v>
      </c>
      <c r="B161" s="492"/>
      <c r="C161" s="492"/>
      <c r="D161" s="492"/>
      <c r="E161" s="492"/>
      <c r="F161" s="492"/>
      <c r="G161" s="492" t="s">
        <v>10</v>
      </c>
      <c r="H161" s="492"/>
      <c r="I161" s="492"/>
      <c r="J161" s="492"/>
    </row>
    <row r="162" spans="1:10" ht="15.75" x14ac:dyDescent="0.25">
      <c r="A162" s="30" t="s">
        <v>1</v>
      </c>
      <c r="B162" s="30" t="s">
        <v>2</v>
      </c>
      <c r="C162" s="448" t="s">
        <v>316</v>
      </c>
      <c r="D162" s="501"/>
      <c r="E162" s="30" t="s">
        <v>8</v>
      </c>
      <c r="F162" s="29" t="s">
        <v>9</v>
      </c>
      <c r="G162" s="30" t="s">
        <v>11</v>
      </c>
      <c r="H162" s="30" t="s">
        <v>12</v>
      </c>
      <c r="I162" s="49" t="s">
        <v>12</v>
      </c>
      <c r="J162" s="271" t="s">
        <v>85</v>
      </c>
    </row>
    <row r="163" spans="1:10" ht="15.75" x14ac:dyDescent="0.25">
      <c r="A163" s="450" t="s">
        <v>223</v>
      </c>
      <c r="B163" s="453" t="s">
        <v>224</v>
      </c>
      <c r="C163" s="212" t="s">
        <v>114</v>
      </c>
      <c r="D163" s="215"/>
      <c r="E163" s="35"/>
      <c r="F163" s="218" t="str">
        <f>IF(E163="","",IF(E163&gt;=86,0,IF(E163&lt;=9,1,ROUND(IF(E163&gt;22,E163*'Reference Curves'!B$4+'Reference Curves'!B$5, IF(E163&gt;16, E163*'Reference Curves'!C$4+'Reference Curves'!C$5,E163*'Reference Curves'!$D$4+'Reference Curves'!$D$5)),2))))</f>
        <v/>
      </c>
      <c r="G163" s="456" t="str">
        <f>IFERROR(AVERAGE(F163:F165),"")</f>
        <v/>
      </c>
      <c r="H163" s="458" t="str">
        <f>IFERROR(ROUND(AVERAGE(G163:G169),2),"")</f>
        <v/>
      </c>
      <c r="I163" s="445" t="str">
        <f>IF(H163="","",IF(H163&gt;0.69,"Functioning",IF(H163&gt;0.29,"Functioning At Risk",IF(H163&gt;-1,"Not Functioning"))))</f>
        <v/>
      </c>
      <c r="J163" s="461">
        <f>IF(AND(H163="",H170="",H173="",H184="",H187=""),"",ROUND((IF(H163="",0,H163)*0.2)+(IF(H170="",0,H170)*0.2)+(IF(H173="",0,H173)*0.2)+(IF(H184="",0,H184)*0.2)+(IF(H187="",0,H187)*0.2),2))</f>
        <v>0.4</v>
      </c>
    </row>
    <row r="164" spans="1:10" ht="15.75" x14ac:dyDescent="0.25">
      <c r="A164" s="451"/>
      <c r="B164" s="454"/>
      <c r="C164" s="213" t="s">
        <v>221</v>
      </c>
      <c r="D164" s="216"/>
      <c r="E164" s="34"/>
      <c r="F164" s="235" t="str">
        <f>IF(E164="","",IF(E164&gt;=33.5,0,IF(E164=0,1,ROUND(E164*'Reference Curves'!B$9+'Reference Curves'!B$10,2))))</f>
        <v/>
      </c>
      <c r="G164" s="457"/>
      <c r="H164" s="459"/>
      <c r="I164" s="446"/>
      <c r="J164" s="462"/>
    </row>
    <row r="165" spans="1:10" ht="15.75" x14ac:dyDescent="0.25">
      <c r="A165" s="451"/>
      <c r="B165" s="455"/>
      <c r="C165" s="214" t="s">
        <v>222</v>
      </c>
      <c r="D165" s="216"/>
      <c r="E165" s="36"/>
      <c r="F165" s="235" t="str">
        <f>IF(E165="","",IF(E165&gt;=61,0,IF(E165=0,1, ROUND(IF(E165&gt;35,E165*'Reference Curves'!B$15+'Reference Curves'!B$16,  E165*'Reference Curves'!C$15+'Reference Curves'!C$16),2))))</f>
        <v/>
      </c>
      <c r="G165" s="457"/>
      <c r="H165" s="459"/>
      <c r="I165" s="446"/>
      <c r="J165" s="462"/>
    </row>
    <row r="166" spans="1:10" ht="15.75" x14ac:dyDescent="0.25">
      <c r="A166" s="451"/>
      <c r="B166" s="464" t="s">
        <v>63</v>
      </c>
      <c r="C166" s="212" t="s">
        <v>114</v>
      </c>
      <c r="D166" s="215"/>
      <c r="E166" s="34"/>
      <c r="F166" s="218" t="str">
        <f>IF(E166="","",IF(E166&gt;=86,0,IF(E166&lt;=9,1,ROUND(IF(E166&gt;22,E166*'Reference Curves'!B$4+'Reference Curves'!B$5, IF(E166&gt;16, E166*'Reference Curves'!C$4+'Reference Curves'!C$5,E166*'Reference Curves'!$D$4+'Reference Curves'!$D$5)),2))))</f>
        <v/>
      </c>
      <c r="G166" s="456" t="str">
        <f>IFERROR(AVERAGE(F166:F169),"")</f>
        <v/>
      </c>
      <c r="H166" s="459"/>
      <c r="I166" s="446"/>
      <c r="J166" s="462"/>
    </row>
    <row r="167" spans="1:10" ht="15.75" x14ac:dyDescent="0.25">
      <c r="A167" s="451"/>
      <c r="B167" s="464"/>
      <c r="C167" s="213" t="s">
        <v>221</v>
      </c>
      <c r="D167" s="216"/>
      <c r="E167" s="34"/>
      <c r="F167" s="235" t="str">
        <f>IF(E167="","",IF(E167&gt;=33.5,0,IF(E167=0,1,ROUND(E167*'Reference Curves'!B$9+'Reference Curves'!B$10,2))))</f>
        <v/>
      </c>
      <c r="G167" s="457"/>
      <c r="H167" s="459"/>
      <c r="I167" s="446"/>
      <c r="J167" s="462"/>
    </row>
    <row r="168" spans="1:10" ht="15.75" x14ac:dyDescent="0.25">
      <c r="A168" s="451"/>
      <c r="B168" s="464"/>
      <c r="C168" s="213" t="s">
        <v>222</v>
      </c>
      <c r="D168" s="216"/>
      <c r="E168" s="34"/>
      <c r="F168" s="235" t="str">
        <f>IF(E168="","",IF(E168&gt;=61,0,IF(E168=0,1, ROUND(IF(E168&gt;35,E168*'Reference Curves'!B$15+'Reference Curves'!B$16,  E168*'Reference Curves'!C$15+'Reference Curves'!C$16),2))))</f>
        <v/>
      </c>
      <c r="G168" s="457"/>
      <c r="H168" s="459"/>
      <c r="I168" s="446"/>
      <c r="J168" s="462"/>
    </row>
    <row r="169" spans="1:10" ht="15.75" x14ac:dyDescent="0.25">
      <c r="A169" s="452"/>
      <c r="B169" s="465"/>
      <c r="C169" s="214" t="s">
        <v>225</v>
      </c>
      <c r="D169" s="217"/>
      <c r="E169" s="34"/>
      <c r="F169" s="236" t="str">
        <f>IF(E169="","",   IF(E169&gt;3.35,0, IF(E169&lt;0, "", ROUND('Reference Curves'!$B$20*E169+'Reference Curves'!$B$21,2))))</f>
        <v/>
      </c>
      <c r="G169" s="457"/>
      <c r="H169" s="460"/>
      <c r="I169" s="447"/>
      <c r="J169" s="462"/>
    </row>
    <row r="170" spans="1:10" ht="15.75" x14ac:dyDescent="0.25">
      <c r="A170" s="466" t="s">
        <v>226</v>
      </c>
      <c r="B170" s="469" t="s">
        <v>3</v>
      </c>
      <c r="C170" s="95" t="s">
        <v>227</v>
      </c>
      <c r="D170" s="13"/>
      <c r="E170" s="28"/>
      <c r="F170" s="121" t="str">
        <f>IF(E170="","", IF(E170&gt;1.71,0,IF(E170&lt;=1,1, ROUND(E170*'Reference Curves'!G$3+'Reference Curves'!G$4,2))))</f>
        <v/>
      </c>
      <c r="G170" s="471" t="str">
        <f>IFERROR(AVERAGE(F170:F171),"")</f>
        <v/>
      </c>
      <c r="H170" s="471" t="str">
        <f>IFERROR(ROUND(AVERAGE(G170:G172),2),"")</f>
        <v/>
      </c>
      <c r="I170" s="445" t="str">
        <f>IF(H170="","",IF(H170&gt;0.69,"Functioning",IF(H170&gt;0.29,"Functioning At Risk",IF(H170&gt;-1,"Not Functioning"))))</f>
        <v/>
      </c>
      <c r="J170" s="462"/>
    </row>
    <row r="171" spans="1:10" ht="15.75" x14ac:dyDescent="0.25">
      <c r="A171" s="467"/>
      <c r="B171" s="470"/>
      <c r="C171" s="97" t="s">
        <v>228</v>
      </c>
      <c r="D171" s="102"/>
      <c r="E171" s="33"/>
      <c r="F171" s="237" t="str">
        <f>IF(E171="","",IF(LEFT(D156,1)="B",IF(E171&lt;=1,0,IF(E171&gt;=2.2,1,ROUND(IF(E171&lt;1.4,E171*'Reference Curves'!$G$19+'Reference Curves'!$G$20,E171*'Reference Curves'!$H$19+'Reference Curves'!$H$20),2))),
IF(LEFT(D156,1)="C",IF(E171&lt;1.7,0,IF(E171&gt;=4.4,1,ROUND(IF(E171&gt;2.4,E171*'Reference Curves'!$H$9+'Reference Curves'!$H$10,E171*'Reference Curves'!$G$9+'Reference Curves'!$G$10),2))),
IF(LEFT(D156,1)="E",IF(E171&lt;1.7,0,IF(E171&gt;=6.5,1,ROUND(IF(E171&gt;2.4,E171*'Reference Curves'!$H$14+'Reference Curves'!$H$15,E171*'Reference Curves'!$G$14+'Reference Curves'!$G$15),2)))))))</f>
        <v/>
      </c>
      <c r="G171" s="472"/>
      <c r="H171" s="473"/>
      <c r="I171" s="446"/>
      <c r="J171" s="462"/>
    </row>
    <row r="172" spans="1:10" ht="15.75" x14ac:dyDescent="0.25">
      <c r="A172" s="468"/>
      <c r="B172" s="219" t="s">
        <v>229</v>
      </c>
      <c r="C172" s="96" t="s">
        <v>230</v>
      </c>
      <c r="D172" s="13"/>
      <c r="E172" s="32"/>
      <c r="F172" s="122" t="str">
        <f>IF(E172="","",IF(E172&gt;=180,0, IF(E172=100,1, ROUND(IF(E172&gt;100,E172*'Reference Curves'!$H$25+'Reference Curves'!$H$26, IF(E170&gt;1.2,IF(E172 &lt;=20,0, E172*'Reference Curves'!$G$25+'Reference Curves'!$G$26),1)),2))))</f>
        <v/>
      </c>
      <c r="G172" s="269" t="str">
        <f>IFERROR(AVERAGE(F172),"")</f>
        <v/>
      </c>
      <c r="H172" s="472"/>
      <c r="I172" s="447"/>
      <c r="J172" s="462"/>
    </row>
    <row r="173" spans="1:10" ht="15.75" x14ac:dyDescent="0.25">
      <c r="A173" s="474" t="s">
        <v>16</v>
      </c>
      <c r="B173" s="270" t="s">
        <v>231</v>
      </c>
      <c r="C173" s="220" t="s">
        <v>232</v>
      </c>
      <c r="D173" s="221"/>
      <c r="E173" s="46"/>
      <c r="F173" s="238" t="str">
        <f>IF(E173="","",IF(F157="Alaska Range",ROUND(IF(E173&lt;=0.05,0, IF(E173&gt;=6.3,1,IF(E173&lt;=1.5,'Reference Curves'!$K$5*E173+'Reference Curves'!$K$6, 'Reference Curves'!$L$5*E173+'Reference Curves'!$L$6))),2),
IF(F157="Brooks Range",ROUND(IF(E173&gt;=4.2,1,IF(E173&lt;0.03,0, IF(E173&lt;=1.2,'Reference Curves'!$M$5*E173+'Reference Curves'!$M$6, 'Reference Curves'!$N$5*E173+'Reference Curves'!$N$6))),2),
IF(OR(F157="Interior Bottomlands", F157="Yukon Flats"),ROUND(IF(E173&gt;=54.5,1,IF(E173&lt;=3.7,'Reference Curves'!$K$11*E173+'Reference Curves'!$K$12, IF(E173&lt;4.7,  'Reference Curves'!$L$11*E173+'Reference Curves'!$L$12,  'Reference Curves'!$M$11*E173+'Reference Curves'!$M$12))),2),
IF(OR(F157="Interior Forested Lowlands/Uplands",F157="Interior Highlands"),ROUND(IF(E173=0,0,IF(E173&gt;=24.1,1,IF(E173&lt;=1.3,'Reference Curves'!$N$11*E173+'Reference Curves'!$N$12, 'Reference Curves'!$O$11*E173+'Reference Curves'!$O$12))),2))))))</f>
        <v/>
      </c>
      <c r="G173" s="265" t="str">
        <f>IFERROR(AVERAGE(F173:F173),"")</f>
        <v/>
      </c>
      <c r="H173" s="476" t="str">
        <f>IFERROR(ROUND(AVERAGE(G173:G183),2),"")</f>
        <v/>
      </c>
      <c r="I173" s="479" t="str">
        <f>IF(H173="","",IF(H173&gt;0.69,"Functioning",IF(H173&gt;0.29,"Functioning At Risk",IF(H173&gt;-1,"Not Functioning"))))</f>
        <v/>
      </c>
      <c r="J173" s="462"/>
    </row>
    <row r="174" spans="1:10" ht="15.75" x14ac:dyDescent="0.25">
      <c r="A174" s="475"/>
      <c r="B174" s="475" t="s">
        <v>99</v>
      </c>
      <c r="C174" s="16" t="s">
        <v>37</v>
      </c>
      <c r="D174" s="100"/>
      <c r="E174" s="234"/>
      <c r="F174" s="123" t="str">
        <f>IF(E174="","",IF(OR(E174="Ex/Ex",E174="Ex/VH",E174="Ex/H",E174="Ex/M",E174="VH/Ex",E174="VH/VH", E174="H/Ex",E174="H/VH"),0,
IF(OR(E174="M/Ex"),0.1,
IF(OR(E174="VH/H",E174="VH/M",E174="H/H",E174="H/M", E174="M/VH"),0.2,
IF(OR(E174="Ex/VL",E174="Ex/L", E174="M/H"),0.3,
IF(OR(E174="VH/L",E174="H/L"),0.4,
IF(OR(E174="VH/VL",E174="H/VL",E174="M/M"),0.5,
IF(OR(E174="M/L",E174="L/Ex"),0.6,
IF(OR(E174="M/VL",E174="L/VH", E174="L/H",E174="L/M",E174="L/L",E174="L/VL", LEFT(E174,2)="VL"),1)))))))))</f>
        <v/>
      </c>
      <c r="G174" s="476" t="str">
        <f>IFERROR(IF(E176&gt;=50,0,AVERAGE(F174:F176)),"")</f>
        <v/>
      </c>
      <c r="H174" s="477"/>
      <c r="I174" s="480"/>
      <c r="J174" s="462"/>
    </row>
    <row r="175" spans="1:10" ht="15.75" x14ac:dyDescent="0.25">
      <c r="A175" s="475"/>
      <c r="B175" s="475"/>
      <c r="C175" s="98" t="s">
        <v>48</v>
      </c>
      <c r="D175" s="230"/>
      <c r="E175" s="32"/>
      <c r="F175" s="123" t="str">
        <f>IF(E175="","",ROUND(IF(E175&gt;=75,0,IF(E175&lt;=5,1,IF(E175&gt;10,E175*'Reference Curves'!K$17+'Reference Curves'!K$18,'Reference Curves'!$L$17*E175+'Reference Curves'!$L$18))),2))</f>
        <v/>
      </c>
      <c r="G175" s="477"/>
      <c r="H175" s="477"/>
      <c r="I175" s="480"/>
      <c r="J175" s="462"/>
    </row>
    <row r="176" spans="1:10" ht="15.75" x14ac:dyDescent="0.25">
      <c r="A176" s="475"/>
      <c r="B176" s="482"/>
      <c r="C176" s="99" t="s">
        <v>233</v>
      </c>
      <c r="D176" s="231"/>
      <c r="E176" s="33"/>
      <c r="F176" s="124" t="str">
        <f>IF(E176="","",IF(E176&gt;=30,0,ROUND(E176*'Reference Curves'!$K$22+'Reference Curves'!$K$23,2)))</f>
        <v/>
      </c>
      <c r="G176" s="478"/>
      <c r="H176" s="477"/>
      <c r="I176" s="480"/>
      <c r="J176" s="462"/>
    </row>
    <row r="177" spans="1:10" ht="15.75" x14ac:dyDescent="0.25">
      <c r="A177" s="475"/>
      <c r="B177" s="268" t="s">
        <v>234</v>
      </c>
      <c r="C177" s="17" t="s">
        <v>235</v>
      </c>
      <c r="D177" s="100"/>
      <c r="E177" s="33"/>
      <c r="F177" s="123" t="str">
        <f>IF(E177="","",IF(OR(D158="Cobble",D158="Boulders",D158="Bedrock"),ROUND(IF(E177&lt;=0,1,IF(E177&gt;=13.7,0, IF(E177&gt;5,E177*'Reference Curves'!$M$29+'Reference Curves'!$M$30,  E177*'Reference Curves'!$N$29+'Reference Curves'!$N$30))),2),
IF(D158="Gravel",ROUND(IF(E177&lt;=3,1,IF(E177&gt;=54,0, IF(E177&gt;15,E177*'Reference Curves'!$K$29+'Reference Curves'!$K$30,  E177*'Reference Curves'!$L$29+'Reference Curves'!$L$30))),2))))</f>
        <v/>
      </c>
      <c r="G177" s="265" t="str">
        <f>IFERROR(AVERAGE(F177:F177),"")</f>
        <v/>
      </c>
      <c r="H177" s="477"/>
      <c r="I177" s="480"/>
      <c r="J177" s="462"/>
    </row>
    <row r="178" spans="1:10" ht="15.75" x14ac:dyDescent="0.25">
      <c r="A178" s="475"/>
      <c r="B178" s="474" t="s">
        <v>39</v>
      </c>
      <c r="C178" s="14" t="s">
        <v>236</v>
      </c>
      <c r="D178" s="18"/>
      <c r="E178" s="35"/>
      <c r="F178" s="125" t="str">
        <f>IF(E178="","",IF(D156="Bc",IF(E178&gt;=12,0,IF(E178&lt;=3.4,1,ROUND('Reference Curves'!$K$39*E178+'Reference Curves'!$K$40,2))),
IF(OR(D156="B",D156="Ba"),IF(E178&gt;=6,0,IF(E178&lt;=2,1,ROUND(IF(E178&gt;3.9,'Reference Curves'!$K$35*E178+'Reference Curves'!$K$36,'Reference Curves'!$L$35*E178+'Reference Curves'!$L$36),2))),
IF(LEFT(D156,1)="C",IF(OR(E178&gt;=9.3,E178&lt;=3),0,IF(AND(E178&gt;=4,E178&lt;=6),1,ROUND(IF(E178&lt;4,'Reference Curves'!$K$49*E178+'Reference Curves'!$K$50,'Reference Curves'!$L$49*E178+'Reference Curves'!$L$50),2))),
IF(D156="E",IF(OR(E178&gt;=8.3,E178&lt;=1.8),0,IF(AND(E178&gt;=3.5,E178&lt;=5),1,ROUND(IF(E178&lt;3.5,'Reference Curves'!$K$44*E178+'Reference Curves'!$K$45,'Reference Curves'!$L$44*E178+'Reference Curves'!$L$45),2)))      )))))</f>
        <v/>
      </c>
      <c r="G178" s="483" t="str">
        <f>IFERROR(AVERAGE(F178:F180),"")</f>
        <v/>
      </c>
      <c r="H178" s="477"/>
      <c r="I178" s="480"/>
      <c r="J178" s="462"/>
    </row>
    <row r="179" spans="1:10" ht="15.75" x14ac:dyDescent="0.25">
      <c r="A179" s="475"/>
      <c r="B179" s="475"/>
      <c r="C179" s="16" t="s">
        <v>237</v>
      </c>
      <c r="D179" s="100"/>
      <c r="E179" s="34"/>
      <c r="F179" s="126" t="str">
        <f>IF(E179="","",ROUND(IF(E179&lt;=1,0, IF(OR(D156="B", D156="Ba"), IF(E179&gt;=2.8,1,IF(E179&gt;=1.8,'Reference Curves'!$L$56*E179+'Reference Curves'!$L$57,'Reference Curves'!$K$56*E179+'Reference Curves'!$K$57)),IF(E179&gt;=3.2,1,IF(E179&gt;=2.2,'Reference Curves'!$N$56*E179+'Reference Curves'!$N$57,'Reference Curves'!$M$56*E179+'Reference Curves'!$M$57)))),2))</f>
        <v/>
      </c>
      <c r="G179" s="484"/>
      <c r="H179" s="477"/>
      <c r="I179" s="480"/>
      <c r="J179" s="462"/>
    </row>
    <row r="180" spans="1:10" ht="15.75" x14ac:dyDescent="0.25">
      <c r="A180" s="475"/>
      <c r="B180" s="475"/>
      <c r="C180" s="16" t="s">
        <v>79</v>
      </c>
      <c r="D180" s="100"/>
      <c r="E180" s="34"/>
      <c r="F180" s="266" t="str">
        <f>IF(E180="","",IF(D157&gt;=3,IF(OR(E180&lt;=0,E180&gt;=100),0,IF(AND(E180&gt;=68,E180&lt;=85),1,IF(E180&lt;68,IF(E180&lt;62,ROUND(E180*'Reference Curves'!$K$69+'Reference Curves'!$K$70,2),ROUND(E180*'Reference Curves'!$L$69+'Reference Curves'!$L$70,2)),
IF(E180&gt;87,ROUND(E180*'Reference Curves'!$M$69+'Reference Curves'!$M$70,2),ROUND(E180*'Reference Curves'!$N$69+'Reference Curves'!$N$70,2))))),
IF(D157&lt;&gt;0,IF(OR(E180&lt;=0,E180&gt;=100),0,IF(AND(E180&lt;=60,E180&gt;=50),1,IF(E180&lt;50,IF(E180&lt;39,ROUND(E180*'Reference Curves'!$K$63+'Reference Curves'!$K$64,2),ROUND(E180*'Reference Curves'!$L$63+'Reference Curves'!$L$64,2)),
IF(E180&gt;69,ROUND(E180*'Reference Curves'!$M$63+'Reference Curves'!$M$64,2),ROUND(E180*'Reference Curves'!$N$63+'Reference Curves'!$N$64,2))))))))</f>
        <v/>
      </c>
      <c r="G180" s="484"/>
      <c r="H180" s="477"/>
      <c r="I180" s="480"/>
      <c r="J180" s="462"/>
    </row>
    <row r="181" spans="1:10" ht="15.75" x14ac:dyDescent="0.25">
      <c r="A181" s="475"/>
      <c r="B181" s="474" t="s">
        <v>38</v>
      </c>
      <c r="C181" s="14" t="s">
        <v>238</v>
      </c>
      <c r="D181" s="41"/>
      <c r="E181" s="15"/>
      <c r="F181" s="127" t="str">
        <f>IF( E181="","",
IF( F156="Unconfined Alluvial", IF( E181&gt;=100,1,
ROUND('Reference Curves'!$K$76*E181+'Reference Curves'!$K$77,2) ),
IF( OR(F156="Confined Alluvial", F156="Colluvial/V-Shaped"), ( IF(E181&gt;=100,1,
IF(E181&gt;=60, ROUND('Reference Curves'!$M$76*E181+'Reference Curves'!$M$77,2), ROUND('Reference Curves'!$L$76*E181+'Reference Curves'!$L$77,2) ) ) ) ) ) )</f>
        <v/>
      </c>
      <c r="G181" s="476" t="str">
        <f>IFERROR(AVERAGE(F181:F183),"")</f>
        <v/>
      </c>
      <c r="H181" s="477"/>
      <c r="I181" s="480"/>
      <c r="J181" s="462"/>
    </row>
    <row r="182" spans="1:10" ht="15.75" x14ac:dyDescent="0.25">
      <c r="A182" s="475"/>
      <c r="B182" s="475"/>
      <c r="C182" s="16" t="s">
        <v>202</v>
      </c>
      <c r="D182" s="57"/>
      <c r="E182" s="65"/>
      <c r="F182" s="126" t="str">
        <f>IF(E182="","",IF(OR(F157="Alaska Range",F157="Brooks Range"),ROUND(IF(E182&gt;=1.57,1,IF(E182&lt;=0.06,'Reference Curves'!$K$83*E182+'Reference Curves'!$K$84, IF(E182&lt;0.83, 'Reference Curves'!$L$83*E182+'Reference Curves'!$L$84, 'Reference Curves'!$M$83*E182+'Reference Curves'!$M$84))),2),
IF(F157="Interior Highlands",ROUND(IF(E182&gt;=1.67,1,IF(E182&lt;=0.94,'Reference Curves'!$N$83*E182+'Reference Curves'!$N$84, IF(E182&lt;1.21, 'Reference Curves'!$O$83*E182+'Reference Curves'!$O$84, 'Reference Curves'!$P$83*E182+'Reference Curves'!$P$84))),2),
IF(OR(F157="Interior Bottomlands",F157="Yukon Flats"),ROUND(IF(E182&gt;=1.82,1,IF(E182&lt;=1.19,'Reference Curves'!$K$89*E182+'Reference Curves'!$K$90, IF(E182&lt;1.37, 'Reference Curves'!$L$89*E182+'Reference Curves'!$L$90, 'Reference Curves'!$M$89*E182+'Reference Curves'!$M$90))),2),
IF(F157="Interior Forested Lowlands/Uplands",ROUND(IF(E182&gt;=1.87,1,IF(E182&lt;=1.24,'Reference Curves'!$N$89*E182+'Reference Curves'!$N$90, IF(E182&lt;1.45, 'Reference Curves'!$O$89*E182+'Reference Curves'!$O$90, 'Reference Curves'!$P$89*E182+'Reference Curves'!$P$90))),2))))))</f>
        <v/>
      </c>
      <c r="G182" s="477"/>
      <c r="H182" s="477"/>
      <c r="I182" s="480"/>
      <c r="J182" s="462"/>
    </row>
    <row r="183" spans="1:10" ht="15.75" x14ac:dyDescent="0.25">
      <c r="A183" s="475"/>
      <c r="B183" s="475"/>
      <c r="C183" s="16" t="s">
        <v>239</v>
      </c>
      <c r="D183" s="57"/>
      <c r="E183" s="65"/>
      <c r="F183" s="266" t="str">
        <f>IF(E183="","",IF(E183&lt;83.5,0,IF(E183&gt;=100,1,ROUND(E183*'Reference Curves'!$K$94+'Reference Curves'!$K$95,2))))</f>
        <v/>
      </c>
      <c r="G183" s="478"/>
      <c r="H183" s="478"/>
      <c r="I183" s="481"/>
      <c r="J183" s="462"/>
    </row>
    <row r="184" spans="1:10" ht="15.75" x14ac:dyDescent="0.25">
      <c r="A184" s="485" t="s">
        <v>41</v>
      </c>
      <c r="B184" s="223" t="s">
        <v>115</v>
      </c>
      <c r="C184" s="224" t="s">
        <v>340</v>
      </c>
      <c r="D184" s="225"/>
      <c r="E184" s="28"/>
      <c r="F184" s="232" t="str">
        <f>IF(E184="","", IF(E184&lt;=1.1,1, IF(E184 &gt;1.315,0, ROUND(E184*'Reference Curves'!R$3+'Reference Curves'!R$4,2))))</f>
        <v/>
      </c>
      <c r="G184" s="267" t="str">
        <f>IFERROR(AVERAGE(F184:F184),"")</f>
        <v/>
      </c>
      <c r="H184" s="488">
        <f>IF(OR(G184&lt;&gt;"",G185&lt;&gt;"",G186&lt;&gt;""),ROUND(AVERAGE(G184:G186),2),'Debit Calculator'!$F$28)</f>
        <v>1</v>
      </c>
      <c r="I184" s="436" t="str">
        <f>IF(H184="","",IF(H184&gt;0.69,"Functioning",IF(H184&gt;0.29,"Functioning At Risk",IF(H184&gt;-1,"Not Functioning"))))</f>
        <v>Functioning</v>
      </c>
      <c r="J184" s="462"/>
    </row>
    <row r="185" spans="1:10" ht="15.75" x14ac:dyDescent="0.25">
      <c r="A185" s="486"/>
      <c r="B185" s="223" t="s">
        <v>240</v>
      </c>
      <c r="C185" s="224" t="s">
        <v>341</v>
      </c>
      <c r="D185" s="225"/>
      <c r="E185" s="46"/>
      <c r="F185" s="240" t="str">
        <f>IF(E185="","",ROUND( IF(E185&lt;=3,1, IF(E185&gt;=100,0,IF(E185&gt;10, E185*'Reference Curves'!$R$9+'Reference Curves'!$R$10,E185*'Reference Curves'!$S$9+'Reference Curves'!$S$10))),2))</f>
        <v/>
      </c>
      <c r="G185" s="232" t="str">
        <f>IFERROR(AVERAGE(F185),"")</f>
        <v/>
      </c>
      <c r="H185" s="489"/>
      <c r="I185" s="436"/>
      <c r="J185" s="462"/>
    </row>
    <row r="186" spans="1:10" ht="15.75" x14ac:dyDescent="0.25">
      <c r="A186" s="487"/>
      <c r="B186" s="223" t="s">
        <v>241</v>
      </c>
      <c r="C186" s="226" t="s">
        <v>355</v>
      </c>
      <c r="D186" s="227"/>
      <c r="E186" s="46"/>
      <c r="F186" s="232" t="str">
        <f>IF(E186="","", IF(E186&gt;=75,1, IF(E186 &lt;19,0, ROUND(E186*'Reference Curves'!R$14+'Reference Curves'!R$15,2))))</f>
        <v/>
      </c>
      <c r="G186" s="232" t="str">
        <f>IFERROR(AVERAGE(F186),"")</f>
        <v/>
      </c>
      <c r="H186" s="490"/>
      <c r="I186" s="436"/>
      <c r="J186" s="462"/>
    </row>
    <row r="187" spans="1:10" ht="15.75" x14ac:dyDescent="0.25">
      <c r="A187" s="437" t="s">
        <v>42</v>
      </c>
      <c r="B187" s="228" t="s">
        <v>80</v>
      </c>
      <c r="C187" s="229" t="s">
        <v>366</v>
      </c>
      <c r="D187" s="26"/>
      <c r="E187" s="28"/>
      <c r="F187" s="128" t="str">
        <f>IF(E187="","",ROUND( IF(E187&gt;=81,0, IF(E187&lt;=36,1,IF(E187&gt;62, E187*'Reference Curves'!$V$4+'Reference Curves'!$V$5,IF(E187&gt;43, E187*'Reference Curves'!$W$4+'Reference Curves'!$W$5,E187*'Reference Curves'!$X$4+'Reference Curves'!$X$5)))),2))</f>
        <v/>
      </c>
      <c r="G187" s="104" t="str">
        <f>IFERROR(AVERAGE(F187),"")</f>
        <v/>
      </c>
      <c r="H187" s="440">
        <f>IF(OR(G187&lt;&gt;"",G188&lt;&gt;""),ROUND(AVERAGE(G187:G190),2),'Debit Calculator'!$F$28)</f>
        <v>1</v>
      </c>
      <c r="I187" s="436" t="str">
        <f>IF(H187="","",IF(H187&gt;0.69,"Functioning",IF(H187&gt;0.29,"Functioning At Risk",IF(H187&gt;-1,"Not Functioning"))))</f>
        <v>Functioning</v>
      </c>
      <c r="J187" s="462"/>
    </row>
    <row r="188" spans="1:10" ht="15.75" x14ac:dyDescent="0.25">
      <c r="A188" s="438"/>
      <c r="B188" s="437" t="s">
        <v>45</v>
      </c>
      <c r="C188" s="229" t="s">
        <v>242</v>
      </c>
      <c r="D188" s="26"/>
      <c r="E188" s="35"/>
      <c r="F188" s="104" t="str">
        <f>IF(E188="","",IF(F158="Anadromous", IF(E188&lt;=0,0,IF(E188&gt;=100,1,ROUND(IF(E188&lt;80,E188*'Reference Curves'!$V$11+'Reference Curves'!$V$12,E188*'Reference Curves'!$W$11+'Reference Curves'!$W$12),2))),
IF(F158="Non-anadromous", IF(E188&lt;=0,0,IF(E188&gt;=100,1,ROUND(IF(E188&lt;60,E188*'Reference Curves'!$X$11+'Reference Curves'!$X$12,E188*'Reference Curves'!$Y$11+'Reference Curves'!$Y$12),2))))))</f>
        <v/>
      </c>
      <c r="G188" s="441" t="str">
        <f>IFERROR(AVERAGE(F188:F190),"")</f>
        <v/>
      </c>
      <c r="H188" s="440"/>
      <c r="I188" s="436"/>
      <c r="J188" s="462"/>
    </row>
    <row r="189" spans="1:10" s="4" customFormat="1" ht="15.75" x14ac:dyDescent="0.25">
      <c r="A189" s="438"/>
      <c r="B189" s="438"/>
      <c r="C189" s="294" t="s">
        <v>322</v>
      </c>
      <c r="D189" s="295"/>
      <c r="E189" s="34"/>
      <c r="F189" s="104" t="str">
        <f>IF(E189="","", IF(E189&lt;=0,0,IF(E189&gt;=0.9,1,ROUND(E189*'Reference Curves'!$V$16+'Reference Curves'!$V$17,2))))</f>
        <v/>
      </c>
      <c r="G189" s="491"/>
      <c r="H189" s="440"/>
      <c r="I189" s="436"/>
      <c r="J189" s="462"/>
    </row>
    <row r="190" spans="1:10" ht="15.75" x14ac:dyDescent="0.25">
      <c r="A190" s="439"/>
      <c r="B190" s="439"/>
      <c r="C190" s="101" t="s">
        <v>243</v>
      </c>
      <c r="D190" s="103"/>
      <c r="E190" s="36"/>
      <c r="F190" s="128" t="str">
        <f>IF(E190="","", IF(E190&lt;=0,0,IF(E190&gt;=0.9,1,ROUND(E190*'Reference Curves'!$V$16+'Reference Curves'!$V$17,2))))</f>
        <v/>
      </c>
      <c r="G190" s="443"/>
      <c r="H190" s="440"/>
      <c r="I190" s="436"/>
      <c r="J190" s="463"/>
    </row>
    <row r="191" spans="1:10" s="4" customFormat="1" ht="15.75" x14ac:dyDescent="0.25">
      <c r="A191" s="273"/>
      <c r="B191" s="273"/>
      <c r="C191" s="274"/>
      <c r="D191" s="274"/>
      <c r="E191" s="275"/>
      <c r="F191" s="276"/>
      <c r="G191" s="277"/>
      <c r="H191" s="277"/>
      <c r="I191" s="278"/>
      <c r="J191" s="272"/>
    </row>
    <row r="192" spans="1:10" x14ac:dyDescent="0.25">
      <c r="A192" s="3"/>
      <c r="B192" s="3"/>
      <c r="C192" s="3"/>
      <c r="D192" s="3"/>
      <c r="E192" s="3"/>
      <c r="F192" s="3"/>
      <c r="G192" s="3"/>
      <c r="H192" s="3"/>
      <c r="I192" s="279"/>
      <c r="J192" s="3"/>
    </row>
    <row r="193" spans="1:10" ht="21" x14ac:dyDescent="0.25">
      <c r="A193" s="495" t="s">
        <v>167</v>
      </c>
      <c r="B193" s="496"/>
      <c r="C193" s="496"/>
      <c r="D193" s="496"/>
      <c r="E193" s="496"/>
      <c r="F193" s="496"/>
      <c r="G193" s="496"/>
      <c r="H193" s="496"/>
      <c r="I193" s="496"/>
      <c r="J193" s="497"/>
    </row>
    <row r="194" spans="1:10" ht="15.75" x14ac:dyDescent="0.25">
      <c r="A194" s="115" t="s">
        <v>59</v>
      </c>
      <c r="B194" s="130" t="str">
        <f>IF('Project Assessment'!A15="","",'Project Assessment'!A15)</f>
        <v/>
      </c>
      <c r="C194" s="115" t="s">
        <v>168</v>
      </c>
      <c r="D194" s="251"/>
      <c r="E194" s="250" t="s">
        <v>73</v>
      </c>
      <c r="F194" s="498"/>
      <c r="G194" s="498"/>
      <c r="H194" s="493" t="s">
        <v>102</v>
      </c>
      <c r="I194" s="494"/>
      <c r="J194" s="116"/>
    </row>
    <row r="195" spans="1:10" ht="15.75" x14ac:dyDescent="0.25">
      <c r="A195" s="134" t="s">
        <v>212</v>
      </c>
      <c r="B195" s="130" t="str">
        <f>IF('Project Assessment'!B15="","",'Project Assessment'!B15)</f>
        <v/>
      </c>
      <c r="C195" s="250" t="s">
        <v>359</v>
      </c>
      <c r="D195" s="138"/>
      <c r="E195" s="250" t="s">
        <v>156</v>
      </c>
      <c r="F195" s="498"/>
      <c r="G195" s="498"/>
      <c r="H195" s="493" t="s">
        <v>103</v>
      </c>
      <c r="I195" s="494"/>
      <c r="J195" s="116"/>
    </row>
    <row r="196" spans="1:10" ht="15.75" x14ac:dyDescent="0.25">
      <c r="A196" s="119" t="s">
        <v>157</v>
      </c>
      <c r="B196" s="130" t="str">
        <f>IF('Project Assessment'!C15="","",'Project Assessment'!C15)</f>
        <v/>
      </c>
      <c r="C196" s="239" t="s">
        <v>360</v>
      </c>
      <c r="D196" s="251"/>
      <c r="E196" s="250" t="s">
        <v>220</v>
      </c>
      <c r="F196" s="498"/>
      <c r="G196" s="498"/>
      <c r="H196" s="493" t="s">
        <v>104</v>
      </c>
      <c r="I196" s="494"/>
      <c r="J196" s="32"/>
    </row>
    <row r="197" spans="1:10" ht="15.75" x14ac:dyDescent="0.25">
      <c r="A197" s="499"/>
      <c r="B197" s="500"/>
      <c r="C197" s="233" t="s">
        <v>155</v>
      </c>
      <c r="D197" s="251"/>
      <c r="E197" s="502"/>
      <c r="F197" s="503"/>
      <c r="G197" s="504"/>
      <c r="H197" s="493" t="s">
        <v>105</v>
      </c>
      <c r="I197" s="494"/>
      <c r="J197" s="116"/>
    </row>
    <row r="198" spans="1:10" ht="7.5" customHeight="1" x14ac:dyDescent="0.25">
      <c r="A198" s="4"/>
      <c r="B198" s="50"/>
      <c r="C198" s="50"/>
      <c r="D198" s="50"/>
      <c r="E198" s="50"/>
      <c r="F198" s="50"/>
      <c r="G198" s="50"/>
      <c r="H198" s="50"/>
      <c r="I198" s="48"/>
      <c r="J198" s="9"/>
    </row>
    <row r="199" spans="1:10" ht="21" x14ac:dyDescent="0.35">
      <c r="A199" s="492" t="str">
        <f>_xlfn.CONCAT("EXISTING CONDITION ASSESSMENT for Reach ",B194)</f>
        <v xml:space="preserve">EXISTING CONDITION ASSESSMENT for Reach </v>
      </c>
      <c r="B199" s="492"/>
      <c r="C199" s="492"/>
      <c r="D199" s="492"/>
      <c r="E199" s="492"/>
      <c r="F199" s="492"/>
      <c r="G199" s="492" t="s">
        <v>10</v>
      </c>
      <c r="H199" s="492"/>
      <c r="I199" s="492"/>
      <c r="J199" s="492"/>
    </row>
    <row r="200" spans="1:10" ht="15.75" x14ac:dyDescent="0.25">
      <c r="A200" s="30" t="s">
        <v>1</v>
      </c>
      <c r="B200" s="30" t="s">
        <v>2</v>
      </c>
      <c r="C200" s="448" t="s">
        <v>316</v>
      </c>
      <c r="D200" s="449"/>
      <c r="E200" s="30" t="s">
        <v>8</v>
      </c>
      <c r="F200" s="29" t="s">
        <v>9</v>
      </c>
      <c r="G200" s="30" t="s">
        <v>11</v>
      </c>
      <c r="H200" s="30" t="s">
        <v>12</v>
      </c>
      <c r="I200" s="49" t="s">
        <v>12</v>
      </c>
      <c r="J200" s="271" t="s">
        <v>85</v>
      </c>
    </row>
    <row r="201" spans="1:10" ht="15.75" x14ac:dyDescent="0.25">
      <c r="A201" s="450" t="s">
        <v>223</v>
      </c>
      <c r="B201" s="453" t="s">
        <v>224</v>
      </c>
      <c r="C201" s="212" t="s">
        <v>114</v>
      </c>
      <c r="D201" s="215"/>
      <c r="E201" s="35"/>
      <c r="F201" s="218" t="str">
        <f>IF(E201="","",IF(E201&gt;=86,0,IF(E201&lt;=9,1,ROUND(IF(E201&gt;22,E201*'Reference Curves'!B$4+'Reference Curves'!B$5, IF(E201&gt;16, E201*'Reference Curves'!C$4+'Reference Curves'!C$5,E201*'Reference Curves'!$D$4+'Reference Curves'!$D$5)),2))))</f>
        <v/>
      </c>
      <c r="G201" s="456" t="str">
        <f>IFERROR(AVERAGE(F201:F203),"")</f>
        <v/>
      </c>
      <c r="H201" s="458" t="str">
        <f>IFERROR(ROUND(AVERAGE(G201:G207),2),"")</f>
        <v/>
      </c>
      <c r="I201" s="445" t="str">
        <f>IF(H201="","",IF(H201&gt;0.69,"Functioning",IF(H201&gt;0.29,"Functioning At Risk",IF(H201&gt;-1,"Not Functioning"))))</f>
        <v/>
      </c>
      <c r="J201" s="461">
        <f>IF(AND(H201="",H208="",H211="",H222="",H225=""),"",ROUND((IF(H201="",0,H201)*0.2)+(IF(H208="",0,H208)*0.2)+(IF(H211="",0,H211)*0.2)+(IF(H222="",0,H222)*0.2)+(IF(H225="",0,H225)*0.2),2))</f>
        <v>0.4</v>
      </c>
    </row>
    <row r="202" spans="1:10" ht="15.75" x14ac:dyDescent="0.25">
      <c r="A202" s="451"/>
      <c r="B202" s="454"/>
      <c r="C202" s="213" t="s">
        <v>221</v>
      </c>
      <c r="D202" s="216"/>
      <c r="E202" s="34"/>
      <c r="F202" s="235" t="str">
        <f>IF(E202="","",IF(E202&gt;=33.5,0,IF(E202=0,1,ROUND(E202*'Reference Curves'!B$9+'Reference Curves'!B$10,2))))</f>
        <v/>
      </c>
      <c r="G202" s="457"/>
      <c r="H202" s="459"/>
      <c r="I202" s="446"/>
      <c r="J202" s="462"/>
    </row>
    <row r="203" spans="1:10" ht="15.75" x14ac:dyDescent="0.25">
      <c r="A203" s="451"/>
      <c r="B203" s="455"/>
      <c r="C203" s="214" t="s">
        <v>222</v>
      </c>
      <c r="D203" s="216"/>
      <c r="E203" s="36"/>
      <c r="F203" s="235" t="str">
        <f>IF(E203="","",IF(E203&gt;=61,0,IF(E203=0,1, ROUND(IF(E203&gt;35,E203*'Reference Curves'!B$15+'Reference Curves'!B$16,  E203*'Reference Curves'!C$15+'Reference Curves'!C$16),2))))</f>
        <v/>
      </c>
      <c r="G203" s="457"/>
      <c r="H203" s="459"/>
      <c r="I203" s="446"/>
      <c r="J203" s="462"/>
    </row>
    <row r="204" spans="1:10" ht="15.75" x14ac:dyDescent="0.25">
      <c r="A204" s="451"/>
      <c r="B204" s="464" t="s">
        <v>63</v>
      </c>
      <c r="C204" s="212" t="s">
        <v>114</v>
      </c>
      <c r="D204" s="215"/>
      <c r="E204" s="34"/>
      <c r="F204" s="218" t="str">
        <f>IF(E204="","",IF(E204&gt;=86,0,IF(E204&lt;=9,1,ROUND(IF(E204&gt;22,E204*'Reference Curves'!B$4+'Reference Curves'!B$5, IF(E204&gt;16, E204*'Reference Curves'!C$4+'Reference Curves'!C$5,E204*'Reference Curves'!$D$4+'Reference Curves'!$D$5)),2))))</f>
        <v/>
      </c>
      <c r="G204" s="456" t="str">
        <f>IFERROR(AVERAGE(F204:F207),"")</f>
        <v/>
      </c>
      <c r="H204" s="459"/>
      <c r="I204" s="446"/>
      <c r="J204" s="462"/>
    </row>
    <row r="205" spans="1:10" ht="15.75" x14ac:dyDescent="0.25">
      <c r="A205" s="451"/>
      <c r="B205" s="464"/>
      <c r="C205" s="213" t="s">
        <v>221</v>
      </c>
      <c r="D205" s="216"/>
      <c r="E205" s="34"/>
      <c r="F205" s="235" t="str">
        <f>IF(E205="","",IF(E205&gt;=33.5,0,IF(E205=0,1,ROUND(E205*'Reference Curves'!B$9+'Reference Curves'!B$10,2))))</f>
        <v/>
      </c>
      <c r="G205" s="457"/>
      <c r="H205" s="459"/>
      <c r="I205" s="446"/>
      <c r="J205" s="462"/>
    </row>
    <row r="206" spans="1:10" ht="15.75" x14ac:dyDescent="0.25">
      <c r="A206" s="451"/>
      <c r="B206" s="464"/>
      <c r="C206" s="213" t="s">
        <v>222</v>
      </c>
      <c r="D206" s="216"/>
      <c r="E206" s="34"/>
      <c r="F206" s="235" t="str">
        <f>IF(E206="","",IF(E206&gt;=61,0,IF(E206=0,1, ROUND(IF(E206&gt;35,E206*'Reference Curves'!B$15+'Reference Curves'!B$16,  E206*'Reference Curves'!C$15+'Reference Curves'!C$16),2))))</f>
        <v/>
      </c>
      <c r="G206" s="457"/>
      <c r="H206" s="459"/>
      <c r="I206" s="446"/>
      <c r="J206" s="462"/>
    </row>
    <row r="207" spans="1:10" ht="15.75" x14ac:dyDescent="0.25">
      <c r="A207" s="452"/>
      <c r="B207" s="465"/>
      <c r="C207" s="214" t="s">
        <v>225</v>
      </c>
      <c r="D207" s="217"/>
      <c r="E207" s="34"/>
      <c r="F207" s="236" t="str">
        <f>IF(E207="","",   IF(E207&gt;3.35,0, IF(E207&lt;0, "", ROUND('Reference Curves'!$B$20*E207+'Reference Curves'!$B$21,2))))</f>
        <v/>
      </c>
      <c r="G207" s="457"/>
      <c r="H207" s="460"/>
      <c r="I207" s="447"/>
      <c r="J207" s="462"/>
    </row>
    <row r="208" spans="1:10" ht="15.75" x14ac:dyDescent="0.25">
      <c r="A208" s="466" t="s">
        <v>226</v>
      </c>
      <c r="B208" s="469" t="s">
        <v>3</v>
      </c>
      <c r="C208" s="95" t="s">
        <v>227</v>
      </c>
      <c r="D208" s="13"/>
      <c r="E208" s="28"/>
      <c r="F208" s="121" t="str">
        <f>IF(E208="","", IF(E208&gt;1.71,0,IF(E208&lt;=1,1, ROUND(E208*'Reference Curves'!G$3+'Reference Curves'!G$4,2))))</f>
        <v/>
      </c>
      <c r="G208" s="471" t="str">
        <f>IFERROR(AVERAGE(F208:F209),"")</f>
        <v/>
      </c>
      <c r="H208" s="471" t="str">
        <f>IFERROR(ROUND(AVERAGE(G208:G210),2),"")</f>
        <v/>
      </c>
      <c r="I208" s="445" t="str">
        <f>IF(H208="","",IF(H208&gt;0.69,"Functioning",IF(H208&gt;0.29,"Functioning At Risk",IF(H208&gt;-1,"Not Functioning"))))</f>
        <v/>
      </c>
      <c r="J208" s="462"/>
    </row>
    <row r="209" spans="1:10" ht="15.75" x14ac:dyDescent="0.25">
      <c r="A209" s="467"/>
      <c r="B209" s="470"/>
      <c r="C209" s="97" t="s">
        <v>228</v>
      </c>
      <c r="D209" s="102"/>
      <c r="E209" s="33"/>
      <c r="F209" s="237" t="str">
        <f>IF(E209="","",IF(LEFT(D194,1)="B",IF(E209&lt;=1,0,IF(E209&gt;=2.2,1,ROUND(IF(E209&lt;1.4,E209*'Reference Curves'!$G$19+'Reference Curves'!$G$20,E209*'Reference Curves'!$H$19+'Reference Curves'!$H$20),2))),
IF(LEFT(D194,1)="C",IF(E209&lt;1.7,0,IF(E209&gt;=4.4,1,ROUND(IF(E209&gt;2.4,E209*'Reference Curves'!$H$9+'Reference Curves'!$H$10,E209*'Reference Curves'!$G$9+'Reference Curves'!$G$10),2))),
IF(LEFT(D194,1)="E",IF(E209&lt;1.7,0,IF(E209&gt;=6.5,1,ROUND(IF(E209&gt;2.4,E209*'Reference Curves'!$H$14+'Reference Curves'!$H$15,E209*'Reference Curves'!$G$14+'Reference Curves'!$G$15),2)))))))</f>
        <v/>
      </c>
      <c r="G209" s="472"/>
      <c r="H209" s="473"/>
      <c r="I209" s="446"/>
      <c r="J209" s="462"/>
    </row>
    <row r="210" spans="1:10" ht="15.75" x14ac:dyDescent="0.25">
      <c r="A210" s="468"/>
      <c r="B210" s="219" t="s">
        <v>229</v>
      </c>
      <c r="C210" s="96" t="s">
        <v>230</v>
      </c>
      <c r="D210" s="13"/>
      <c r="E210" s="32"/>
      <c r="F210" s="122" t="str">
        <f>IF(E210="","",IF(E210&gt;=180,0, IF(E210=100,1, ROUND(IF(E210&gt;100,E210*'Reference Curves'!$H$25+'Reference Curves'!$H$26, IF(E208&gt;1.2,IF(E210 &lt;=20,0, E210*'Reference Curves'!$G$25+'Reference Curves'!$G$26),1)),2))))</f>
        <v/>
      </c>
      <c r="G210" s="269" t="str">
        <f>IFERROR(AVERAGE(F210),"")</f>
        <v/>
      </c>
      <c r="H210" s="472"/>
      <c r="I210" s="447"/>
      <c r="J210" s="462"/>
    </row>
    <row r="211" spans="1:10" ht="15.75" x14ac:dyDescent="0.25">
      <c r="A211" s="474" t="s">
        <v>16</v>
      </c>
      <c r="B211" s="270" t="s">
        <v>231</v>
      </c>
      <c r="C211" s="220" t="s">
        <v>232</v>
      </c>
      <c r="D211" s="221"/>
      <c r="E211" s="46"/>
      <c r="F211" s="238" t="str">
        <f>IF(E211="","",IF(F195="Alaska Range",ROUND(IF(E211&lt;=0.05,0, IF(E211&gt;=6.3,1,IF(E211&lt;=1.5,'Reference Curves'!$K$5*E211+'Reference Curves'!$K$6, 'Reference Curves'!$L$5*E211+'Reference Curves'!$L$6))),2),
IF(F195="Brooks Range",ROUND(IF(E211&gt;=4.2,1,IF(E211&lt;0.03,0, IF(E211&lt;=1.2,'Reference Curves'!$M$5*E211+'Reference Curves'!$M$6, 'Reference Curves'!$N$5*E211+'Reference Curves'!$N$6))),2),
IF(OR(F195="Interior Bottomlands", F195="Yukon Flats"),ROUND(IF(E211&gt;=54.5,1,IF(E211&lt;=3.7,'Reference Curves'!$K$11*E211+'Reference Curves'!$K$12, IF(E211&lt;4.7,  'Reference Curves'!$L$11*E211+'Reference Curves'!$L$12,  'Reference Curves'!$M$11*E211+'Reference Curves'!$M$12))),2),
IF(OR(F195="Interior Forested Lowlands/Uplands",F195="Interior Highlands"),ROUND(IF(E211=0,0,IF(E211&gt;=24.1,1,IF(E211&lt;=1.3,'Reference Curves'!$N$11*E211+'Reference Curves'!$N$12, 'Reference Curves'!$O$11*E211+'Reference Curves'!$O$12))),2))))))</f>
        <v/>
      </c>
      <c r="G211" s="265" t="str">
        <f>IFERROR(AVERAGE(F211:F211),"")</f>
        <v/>
      </c>
      <c r="H211" s="476" t="str">
        <f>IFERROR(ROUND(AVERAGE(G211:G221),2),"")</f>
        <v/>
      </c>
      <c r="I211" s="479" t="str">
        <f>IF(H211="","",IF(H211&gt;0.69,"Functioning",IF(H211&gt;0.29,"Functioning At Risk",IF(H211&gt;-1,"Not Functioning"))))</f>
        <v/>
      </c>
      <c r="J211" s="462"/>
    </row>
    <row r="212" spans="1:10" ht="15.75" x14ac:dyDescent="0.25">
      <c r="A212" s="475"/>
      <c r="B212" s="475" t="s">
        <v>99</v>
      </c>
      <c r="C212" s="16" t="s">
        <v>37</v>
      </c>
      <c r="D212" s="100"/>
      <c r="E212" s="234"/>
      <c r="F212" s="123" t="str">
        <f>IF(E212="","",IF(OR(E212="Ex/Ex",E212="Ex/VH",E212="Ex/H",E212="Ex/M",E212="VH/Ex",E212="VH/VH", E212="H/Ex",E212="H/VH"),0,
IF(OR(E212="M/Ex"),0.1,
IF(OR(E212="VH/H",E212="VH/M",E212="H/H",E212="H/M", E212="M/VH"),0.2,
IF(OR(E212="Ex/VL",E212="Ex/L", E212="M/H"),0.3,
IF(OR(E212="VH/L",E212="H/L"),0.4,
IF(OR(E212="VH/VL",E212="H/VL",E212="M/M"),0.5,
IF(OR(E212="M/L",E212="L/Ex"),0.6,
IF(OR(E212="M/VL",E212="L/VH", E212="L/H",E212="L/M",E212="L/L",E212="L/VL", LEFT(E212,2)="VL"),1)))))))))</f>
        <v/>
      </c>
      <c r="G212" s="476" t="str">
        <f>IFERROR(IF(E214&gt;=50,0,AVERAGE(F212:F214)),"")</f>
        <v/>
      </c>
      <c r="H212" s="477"/>
      <c r="I212" s="480"/>
      <c r="J212" s="462"/>
    </row>
    <row r="213" spans="1:10" ht="15.75" x14ac:dyDescent="0.25">
      <c r="A213" s="475"/>
      <c r="B213" s="475"/>
      <c r="C213" s="98" t="s">
        <v>48</v>
      </c>
      <c r="D213" s="230"/>
      <c r="E213" s="32"/>
      <c r="F213" s="123" t="str">
        <f>IF(E213="","",ROUND(IF(E213&gt;=75,0,IF(E213&lt;=5,1,IF(E213&gt;10,E213*'Reference Curves'!K$17+'Reference Curves'!K$18,'Reference Curves'!$L$17*E213+'Reference Curves'!$L$18))),2))</f>
        <v/>
      </c>
      <c r="G213" s="477"/>
      <c r="H213" s="477"/>
      <c r="I213" s="480"/>
      <c r="J213" s="462"/>
    </row>
    <row r="214" spans="1:10" ht="15.75" x14ac:dyDescent="0.25">
      <c r="A214" s="475"/>
      <c r="B214" s="482"/>
      <c r="C214" s="99" t="s">
        <v>233</v>
      </c>
      <c r="D214" s="231"/>
      <c r="E214" s="33"/>
      <c r="F214" s="124" t="str">
        <f>IF(E214="","",IF(E214&gt;=30,0,ROUND(E214*'Reference Curves'!$K$22+'Reference Curves'!$K$23,2)))</f>
        <v/>
      </c>
      <c r="G214" s="478"/>
      <c r="H214" s="477"/>
      <c r="I214" s="480"/>
      <c r="J214" s="462"/>
    </row>
    <row r="215" spans="1:10" ht="15.75" x14ac:dyDescent="0.25">
      <c r="A215" s="475"/>
      <c r="B215" s="268" t="s">
        <v>234</v>
      </c>
      <c r="C215" s="17" t="s">
        <v>235</v>
      </c>
      <c r="D215" s="100"/>
      <c r="E215" s="33"/>
      <c r="F215" s="123" t="str">
        <f>IF(E215="","",IF(OR(D196="Cobble",D196="Boulders",D196="Bedrock"),ROUND(IF(E215&lt;=0,1,IF(E215&gt;=13.7,0, IF(E215&gt;5,E215*'Reference Curves'!$M$29+'Reference Curves'!$M$30,  E215*'Reference Curves'!$N$29+'Reference Curves'!$N$30))),2),
IF(D196="Gravel",ROUND(IF(E215&lt;=3,1,IF(E215&gt;=54,0, IF(E215&gt;15,E215*'Reference Curves'!$K$29+'Reference Curves'!$K$30,  E215*'Reference Curves'!$L$29+'Reference Curves'!$L$30))),2))))</f>
        <v/>
      </c>
      <c r="G215" s="265" t="str">
        <f>IFERROR(AVERAGE(F215:F215),"")</f>
        <v/>
      </c>
      <c r="H215" s="477"/>
      <c r="I215" s="480"/>
      <c r="J215" s="462"/>
    </row>
    <row r="216" spans="1:10" ht="15.75" x14ac:dyDescent="0.25">
      <c r="A216" s="475"/>
      <c r="B216" s="474" t="s">
        <v>39</v>
      </c>
      <c r="C216" s="14" t="s">
        <v>236</v>
      </c>
      <c r="D216" s="18"/>
      <c r="E216" s="35"/>
      <c r="F216" s="125" t="str">
        <f>IF(E216="","",IF(D194="Bc",IF(E216&gt;=12,0,IF(E216&lt;=3.4,1,ROUND('Reference Curves'!$K$39*E216+'Reference Curves'!$K$40,2))),
IF(OR(D194="B",D194="Ba"),IF(E216&gt;=6,0,IF(E216&lt;=2,1,ROUND(IF(E216&gt;3.9,'Reference Curves'!$K$35*E216+'Reference Curves'!$K$36,'Reference Curves'!$L$35*E216+'Reference Curves'!$L$36),2))),
IF(LEFT(D194,1)="C",IF(OR(E216&gt;=9.3,E216&lt;=3),0,IF(AND(E216&gt;=4,E216&lt;=6),1,ROUND(IF(E216&lt;4,'Reference Curves'!$K$49*E216+'Reference Curves'!$K$50,'Reference Curves'!$L$49*E216+'Reference Curves'!$L$50),2))),
IF(D194="E",IF(OR(E216&gt;=8.3,E216&lt;=1.8),0,IF(AND(E216&gt;=3.5,E216&lt;=5),1,ROUND(IF(E216&lt;3.5,'Reference Curves'!$K$44*E216+'Reference Curves'!$K$45,'Reference Curves'!$L$44*E216+'Reference Curves'!$L$45),2)))      )))))</f>
        <v/>
      </c>
      <c r="G216" s="483" t="str">
        <f>IFERROR(AVERAGE(F216:F218),"")</f>
        <v/>
      </c>
      <c r="H216" s="477"/>
      <c r="I216" s="480"/>
      <c r="J216" s="462"/>
    </row>
    <row r="217" spans="1:10" ht="15.75" x14ac:dyDescent="0.25">
      <c r="A217" s="475"/>
      <c r="B217" s="475"/>
      <c r="C217" s="16" t="s">
        <v>237</v>
      </c>
      <c r="D217" s="100"/>
      <c r="E217" s="34"/>
      <c r="F217" s="126" t="str">
        <f>IF(E217="","",ROUND(IF(E217&lt;=1,0, IF(OR(D194="B", D194="Ba"), IF(E217&gt;=2.8,1,IF(E217&gt;=1.8,'Reference Curves'!$L$56*E217+'Reference Curves'!$L$57,'Reference Curves'!$K$56*E217+'Reference Curves'!$K$57)),IF(E217&gt;=3.2,1,IF(E217&gt;=2.2,'Reference Curves'!$N$56*E217+'Reference Curves'!$N$57,'Reference Curves'!$M$56*E217+'Reference Curves'!$M$57)))),2))</f>
        <v/>
      </c>
      <c r="G217" s="484"/>
      <c r="H217" s="477"/>
      <c r="I217" s="480"/>
      <c r="J217" s="462"/>
    </row>
    <row r="218" spans="1:10" ht="15.75" x14ac:dyDescent="0.25">
      <c r="A218" s="475"/>
      <c r="B218" s="475"/>
      <c r="C218" s="16" t="s">
        <v>79</v>
      </c>
      <c r="D218" s="100"/>
      <c r="E218" s="34"/>
      <c r="F218" s="266" t="str">
        <f>IF(E218="","",IF(D195&gt;=3,IF(OR(E218&lt;=0,E218&gt;=100),0,IF(AND(E218&gt;=68,E218&lt;=85),1,IF(E218&lt;68,IF(E218&lt;62,ROUND(E218*'Reference Curves'!$K$69+'Reference Curves'!$K$70,2),ROUND(E218*'Reference Curves'!$L$69+'Reference Curves'!$L$70,2)),
IF(E218&gt;87,ROUND(E218*'Reference Curves'!$M$69+'Reference Curves'!$M$70,2),ROUND(E218*'Reference Curves'!$N$69+'Reference Curves'!$N$70,2))))),
IF(D195&lt;&gt;0,IF(OR(E218&lt;=0,E218&gt;=100),0,IF(AND(E218&lt;=60,E218&gt;=50),1,IF(E218&lt;50,IF(E218&lt;39,ROUND(E218*'Reference Curves'!$K$63+'Reference Curves'!$K$64,2),ROUND(E218*'Reference Curves'!$L$63+'Reference Curves'!$L$64,2)),
IF(E218&gt;69,ROUND(E218*'Reference Curves'!$M$63+'Reference Curves'!$M$64,2),ROUND(E218*'Reference Curves'!$N$63+'Reference Curves'!$N$64,2))))))))</f>
        <v/>
      </c>
      <c r="G218" s="484"/>
      <c r="H218" s="477"/>
      <c r="I218" s="480"/>
      <c r="J218" s="462"/>
    </row>
    <row r="219" spans="1:10" ht="15.75" x14ac:dyDescent="0.25">
      <c r="A219" s="475"/>
      <c r="B219" s="474" t="s">
        <v>38</v>
      </c>
      <c r="C219" s="14" t="s">
        <v>238</v>
      </c>
      <c r="D219" s="41"/>
      <c r="E219" s="15"/>
      <c r="F219" s="127" t="str">
        <f>IF( E219="","",
IF( F194="Unconfined Alluvial", IF( E219&gt;=100,1,
ROUND('Reference Curves'!$K$76*E219+'Reference Curves'!$K$77,2) ),
IF( OR(F194="Confined Alluvial", F194="Colluvial/V-Shaped"), ( IF(E219&gt;=100,1,
IF(E219&gt;=60, ROUND('Reference Curves'!$M$76*E219+'Reference Curves'!$M$77,2), ROUND('Reference Curves'!$L$76*E219+'Reference Curves'!$L$77,2) ) ) ) ) ) )</f>
        <v/>
      </c>
      <c r="G219" s="476" t="str">
        <f>IFERROR(AVERAGE(F219:F221),"")</f>
        <v/>
      </c>
      <c r="H219" s="477"/>
      <c r="I219" s="480"/>
      <c r="J219" s="462"/>
    </row>
    <row r="220" spans="1:10" ht="15.75" x14ac:dyDescent="0.25">
      <c r="A220" s="475"/>
      <c r="B220" s="475"/>
      <c r="C220" s="16" t="s">
        <v>202</v>
      </c>
      <c r="D220" s="57"/>
      <c r="E220" s="65"/>
      <c r="F220" s="126" t="str">
        <f>IF(E220="","",IF(OR(F195="Alaska Range",F195="Brooks Range"),ROUND(IF(E220&gt;=1.57,1,IF(E220&lt;=0.06,'Reference Curves'!$K$83*E220+'Reference Curves'!$K$84, IF(E220&lt;0.83, 'Reference Curves'!$L$83*E220+'Reference Curves'!$L$84, 'Reference Curves'!$M$83*E220+'Reference Curves'!$M$84))),2),
IF(F195="Interior Highlands",ROUND(IF(E220&gt;=1.67,1,IF(E220&lt;=0.94,'Reference Curves'!$N$83*E220+'Reference Curves'!$N$84, IF(E220&lt;1.21, 'Reference Curves'!$O$83*E220+'Reference Curves'!$O$84, 'Reference Curves'!$P$83*E220+'Reference Curves'!$P$84))),2),
IF(OR(F195="Interior Bottomlands",F195="Yukon Flats"),ROUND(IF(E220&gt;=1.82,1,IF(E220&lt;=1.19,'Reference Curves'!$K$89*E220+'Reference Curves'!$K$90, IF(E220&lt;1.37, 'Reference Curves'!$L$89*E220+'Reference Curves'!$L$90, 'Reference Curves'!$M$89*E220+'Reference Curves'!$M$90))),2),
IF(F195="Interior Forested Lowlands/Uplands",ROUND(IF(E220&gt;=1.87,1,IF(E220&lt;=1.24,'Reference Curves'!$N$89*E220+'Reference Curves'!$N$90, IF(E220&lt;1.45, 'Reference Curves'!$O$89*E220+'Reference Curves'!$O$90, 'Reference Curves'!$P$89*E220+'Reference Curves'!$P$90))),2))))))</f>
        <v/>
      </c>
      <c r="G220" s="477"/>
      <c r="H220" s="477"/>
      <c r="I220" s="480"/>
      <c r="J220" s="462"/>
    </row>
    <row r="221" spans="1:10" ht="15.75" x14ac:dyDescent="0.25">
      <c r="A221" s="475"/>
      <c r="B221" s="475"/>
      <c r="C221" s="16" t="s">
        <v>239</v>
      </c>
      <c r="D221" s="57"/>
      <c r="E221" s="65"/>
      <c r="F221" s="266" t="str">
        <f>IF(E221="","",IF(E221&lt;83.5,0,IF(E221&gt;=100,1,ROUND(E221*'Reference Curves'!$K$94+'Reference Curves'!$K$95,2))))</f>
        <v/>
      </c>
      <c r="G221" s="478"/>
      <c r="H221" s="478"/>
      <c r="I221" s="481"/>
      <c r="J221" s="462"/>
    </row>
    <row r="222" spans="1:10" ht="15.75" x14ac:dyDescent="0.25">
      <c r="A222" s="485" t="s">
        <v>41</v>
      </c>
      <c r="B222" s="223" t="s">
        <v>115</v>
      </c>
      <c r="C222" s="224" t="s">
        <v>340</v>
      </c>
      <c r="D222" s="225"/>
      <c r="E222" s="28"/>
      <c r="F222" s="232" t="str">
        <f>IF(E222="","", IF(E222&lt;=1.1,1, IF(E222 &gt;1.315,0, ROUND(E222*'Reference Curves'!R$3+'Reference Curves'!R$4,2))))</f>
        <v/>
      </c>
      <c r="G222" s="267" t="str">
        <f>IFERROR(AVERAGE(F222:F222),"")</f>
        <v/>
      </c>
      <c r="H222" s="488">
        <f>IF(OR(G222&lt;&gt;"",G223&lt;&gt;"",G224&lt;&gt;""),ROUND(AVERAGE(G222:G224),2),'Debit Calculator'!$F$28)</f>
        <v>1</v>
      </c>
      <c r="I222" s="436" t="str">
        <f>IF(H222="","",IF(H222&gt;0.69,"Functioning",IF(H222&gt;0.29,"Functioning At Risk",IF(H222&gt;-1,"Not Functioning"))))</f>
        <v>Functioning</v>
      </c>
      <c r="J222" s="462"/>
    </row>
    <row r="223" spans="1:10" ht="15.75" x14ac:dyDescent="0.25">
      <c r="A223" s="486"/>
      <c r="B223" s="223" t="s">
        <v>240</v>
      </c>
      <c r="C223" s="224" t="s">
        <v>341</v>
      </c>
      <c r="D223" s="225"/>
      <c r="E223" s="46"/>
      <c r="F223" s="240" t="str">
        <f>IF(E223="","",ROUND( IF(E223&lt;=3,1, IF(E223&gt;=100,0,IF(E223&gt;10, E223*'Reference Curves'!$R$9+'Reference Curves'!$R$10,E223*'Reference Curves'!$S$9+'Reference Curves'!$S$10))),2))</f>
        <v/>
      </c>
      <c r="G223" s="232" t="str">
        <f>IFERROR(AVERAGE(F223),"")</f>
        <v/>
      </c>
      <c r="H223" s="489"/>
      <c r="I223" s="436"/>
      <c r="J223" s="462"/>
    </row>
    <row r="224" spans="1:10" ht="15.75" x14ac:dyDescent="0.25">
      <c r="A224" s="487"/>
      <c r="B224" s="223" t="s">
        <v>241</v>
      </c>
      <c r="C224" s="226" t="s">
        <v>355</v>
      </c>
      <c r="D224" s="227"/>
      <c r="E224" s="46"/>
      <c r="F224" s="232" t="str">
        <f>IF(E224="","", IF(E224&gt;=75,1, IF(E224 &lt;19,0, ROUND(E224*'Reference Curves'!R$14+'Reference Curves'!R$15,2))))</f>
        <v/>
      </c>
      <c r="G224" s="232" t="str">
        <f>IFERROR(AVERAGE(F224),"")</f>
        <v/>
      </c>
      <c r="H224" s="490"/>
      <c r="I224" s="436"/>
      <c r="J224" s="462"/>
    </row>
    <row r="225" spans="1:10" ht="15.75" x14ac:dyDescent="0.25">
      <c r="A225" s="437" t="s">
        <v>42</v>
      </c>
      <c r="B225" s="228" t="s">
        <v>80</v>
      </c>
      <c r="C225" s="229" t="s">
        <v>366</v>
      </c>
      <c r="D225" s="26"/>
      <c r="E225" s="28"/>
      <c r="F225" s="128" t="str">
        <f>IF(E225="","",ROUND( IF(E225&gt;=81,0, IF(E225&lt;=36,1,IF(E225&gt;62, E225*'Reference Curves'!$V$4+'Reference Curves'!$V$5,IF(E225&gt;43, E225*'Reference Curves'!$W$4+'Reference Curves'!$W$5,E225*'Reference Curves'!$X$4+'Reference Curves'!$X$5)))),2))</f>
        <v/>
      </c>
      <c r="G225" s="104" t="str">
        <f>IFERROR(AVERAGE(F225),"")</f>
        <v/>
      </c>
      <c r="H225" s="440">
        <f>IF(OR(G225&lt;&gt;"",G226&lt;&gt;""),ROUND(AVERAGE(G225:G228),2),'Debit Calculator'!$F$28)</f>
        <v>1</v>
      </c>
      <c r="I225" s="436" t="str">
        <f>IF(H225="","",IF(H225&gt;0.69,"Functioning",IF(H225&gt;0.29,"Functioning At Risk",IF(H225&gt;-1,"Not Functioning"))))</f>
        <v>Functioning</v>
      </c>
      <c r="J225" s="462"/>
    </row>
    <row r="226" spans="1:10" ht="15.75" x14ac:dyDescent="0.25">
      <c r="A226" s="438"/>
      <c r="B226" s="437" t="s">
        <v>45</v>
      </c>
      <c r="C226" s="229" t="s">
        <v>242</v>
      </c>
      <c r="D226" s="26"/>
      <c r="E226" s="35"/>
      <c r="F226" s="104" t="str">
        <f>IF(E226="","",IF(F196="Anadromous", IF(E226&lt;=0,0,IF(E226&gt;=100,1,ROUND(IF(E226&lt;80,E226*'Reference Curves'!$V$11+'Reference Curves'!$V$12,E226*'Reference Curves'!$W$11+'Reference Curves'!$W$12),2))),
IF(F196="Non-anadromous", IF(E226&lt;=0,0,IF(E226&gt;=100,1,ROUND(IF(E226&lt;60,E226*'Reference Curves'!$X$11+'Reference Curves'!$X$12,E226*'Reference Curves'!$Y$11+'Reference Curves'!$Y$12),2))))))</f>
        <v/>
      </c>
      <c r="G226" s="441" t="str">
        <f>IFERROR(AVERAGE(F226:F228),"")</f>
        <v/>
      </c>
      <c r="H226" s="440"/>
      <c r="I226" s="436"/>
      <c r="J226" s="462"/>
    </row>
    <row r="227" spans="1:10" s="4" customFormat="1" ht="15.75" x14ac:dyDescent="0.25">
      <c r="A227" s="438"/>
      <c r="B227" s="438"/>
      <c r="C227" s="294" t="s">
        <v>322</v>
      </c>
      <c r="D227" s="295"/>
      <c r="E227" s="34"/>
      <c r="F227" s="104" t="str">
        <f>IF(E227="","", IF(E227&lt;=0,0,IF(E227&gt;=0.9,1,ROUND(E227*'Reference Curves'!$V$16+'Reference Curves'!$V$17,2))))</f>
        <v/>
      </c>
      <c r="G227" s="491"/>
      <c r="H227" s="440"/>
      <c r="I227" s="436"/>
      <c r="J227" s="462"/>
    </row>
    <row r="228" spans="1:10" ht="15.75" x14ac:dyDescent="0.25">
      <c r="A228" s="439"/>
      <c r="B228" s="439"/>
      <c r="C228" s="101" t="s">
        <v>243</v>
      </c>
      <c r="D228" s="103"/>
      <c r="E228" s="36"/>
      <c r="F228" s="128" t="str">
        <f>IF(E228="","", IF(E228&lt;=0,0,IF(E228&gt;=0.9,1,ROUND(E228*'Reference Curves'!$V$16+'Reference Curves'!$V$17,2))))</f>
        <v/>
      </c>
      <c r="G228" s="443"/>
      <c r="H228" s="440"/>
      <c r="I228" s="436"/>
      <c r="J228" s="463"/>
    </row>
    <row r="229" spans="1:10" x14ac:dyDescent="0.25">
      <c r="A229" s="4"/>
      <c r="B229" s="4"/>
      <c r="C229" s="4"/>
      <c r="E229" s="4"/>
      <c r="F229" s="4"/>
      <c r="H229" s="4"/>
      <c r="J229" s="3"/>
    </row>
    <row r="230" spans="1:10" x14ac:dyDescent="0.25">
      <c r="A230" s="4"/>
      <c r="B230" s="4"/>
      <c r="C230" s="4"/>
      <c r="E230" s="4"/>
      <c r="F230" s="4"/>
      <c r="H230" s="4"/>
      <c r="J230" s="3"/>
    </row>
    <row r="231" spans="1:10" ht="21" x14ac:dyDescent="0.25">
      <c r="A231" s="495" t="s">
        <v>167</v>
      </c>
      <c r="B231" s="496"/>
      <c r="C231" s="496"/>
      <c r="D231" s="496"/>
      <c r="E231" s="496"/>
      <c r="F231" s="496"/>
      <c r="G231" s="496"/>
      <c r="H231" s="496"/>
      <c r="I231" s="496"/>
      <c r="J231" s="497"/>
    </row>
    <row r="232" spans="1:10" ht="15.75" x14ac:dyDescent="0.25">
      <c r="A232" s="115" t="s">
        <v>59</v>
      </c>
      <c r="B232" s="130" t="str">
        <f>IF('Project Assessment'!A16="","",'Project Assessment'!A16)</f>
        <v/>
      </c>
      <c r="C232" s="115" t="s">
        <v>168</v>
      </c>
      <c r="D232" s="251"/>
      <c r="E232" s="250" t="s">
        <v>73</v>
      </c>
      <c r="F232" s="498"/>
      <c r="G232" s="498"/>
      <c r="H232" s="493" t="s">
        <v>102</v>
      </c>
      <c r="I232" s="494"/>
      <c r="J232" s="116"/>
    </row>
    <row r="233" spans="1:10" ht="15.75" x14ac:dyDescent="0.25">
      <c r="A233" s="134" t="s">
        <v>212</v>
      </c>
      <c r="B233" s="130" t="str">
        <f>IF('Project Assessment'!B16="","",'Project Assessment'!B16)</f>
        <v/>
      </c>
      <c r="C233" s="250" t="s">
        <v>359</v>
      </c>
      <c r="D233" s="138"/>
      <c r="E233" s="250" t="s">
        <v>156</v>
      </c>
      <c r="F233" s="498"/>
      <c r="G233" s="498"/>
      <c r="H233" s="493" t="s">
        <v>103</v>
      </c>
      <c r="I233" s="494"/>
      <c r="J233" s="116"/>
    </row>
    <row r="234" spans="1:10" ht="15.75" x14ac:dyDescent="0.25">
      <c r="A234" s="119" t="s">
        <v>157</v>
      </c>
      <c r="B234" s="130" t="str">
        <f>IF('Project Assessment'!C16="","",'Project Assessment'!C16)</f>
        <v/>
      </c>
      <c r="C234" s="239" t="s">
        <v>360</v>
      </c>
      <c r="D234" s="251"/>
      <c r="E234" s="250" t="s">
        <v>220</v>
      </c>
      <c r="F234" s="498"/>
      <c r="G234" s="498"/>
      <c r="H234" s="493" t="s">
        <v>104</v>
      </c>
      <c r="I234" s="494"/>
      <c r="J234" s="32"/>
    </row>
    <row r="235" spans="1:10" ht="15.75" x14ac:dyDescent="0.25">
      <c r="A235" s="499"/>
      <c r="B235" s="500"/>
      <c r="C235" s="233" t="s">
        <v>155</v>
      </c>
      <c r="D235" s="251"/>
      <c r="E235" s="502"/>
      <c r="F235" s="503"/>
      <c r="G235" s="504"/>
      <c r="H235" s="493" t="s">
        <v>105</v>
      </c>
      <c r="I235" s="494"/>
      <c r="J235" s="116"/>
    </row>
    <row r="236" spans="1:10" ht="7.5" customHeight="1" x14ac:dyDescent="0.25">
      <c r="A236" s="4"/>
      <c r="B236" s="50"/>
      <c r="C236" s="50"/>
      <c r="D236" s="50"/>
      <c r="E236" s="50"/>
      <c r="F236" s="50"/>
      <c r="G236" s="50"/>
      <c r="H236" s="50"/>
      <c r="I236" s="48"/>
      <c r="J236" s="9"/>
    </row>
    <row r="237" spans="1:10" ht="21" x14ac:dyDescent="0.35">
      <c r="A237" s="492" t="str">
        <f>_xlfn.CONCAT("EXISTING CONDITION ASSESSMENT for Reach ",B232)</f>
        <v xml:space="preserve">EXISTING CONDITION ASSESSMENT for Reach </v>
      </c>
      <c r="B237" s="492"/>
      <c r="C237" s="492"/>
      <c r="D237" s="492"/>
      <c r="E237" s="492"/>
      <c r="F237" s="492"/>
      <c r="G237" s="492" t="s">
        <v>10</v>
      </c>
      <c r="H237" s="492"/>
      <c r="I237" s="492"/>
      <c r="J237" s="492"/>
    </row>
    <row r="238" spans="1:10" ht="15.75" x14ac:dyDescent="0.25">
      <c r="A238" s="30" t="s">
        <v>1</v>
      </c>
      <c r="B238" s="30" t="s">
        <v>2</v>
      </c>
      <c r="C238" s="448" t="s">
        <v>316</v>
      </c>
      <c r="D238" s="449"/>
      <c r="E238" s="30" t="s">
        <v>8</v>
      </c>
      <c r="F238" s="29" t="s">
        <v>9</v>
      </c>
      <c r="G238" s="30" t="s">
        <v>11</v>
      </c>
      <c r="H238" s="30" t="s">
        <v>12</v>
      </c>
      <c r="I238" s="49" t="s">
        <v>12</v>
      </c>
      <c r="J238" s="271" t="s">
        <v>85</v>
      </c>
    </row>
    <row r="239" spans="1:10" ht="15.75" x14ac:dyDescent="0.25">
      <c r="A239" s="450" t="s">
        <v>223</v>
      </c>
      <c r="B239" s="453" t="s">
        <v>224</v>
      </c>
      <c r="C239" s="212" t="s">
        <v>114</v>
      </c>
      <c r="D239" s="215"/>
      <c r="E239" s="35"/>
      <c r="F239" s="218" t="str">
        <f>IF(E239="","",IF(E239&gt;=86,0,IF(E239&lt;=9,1,ROUND(IF(E239&gt;22,E239*'Reference Curves'!B$4+'Reference Curves'!B$5, IF(E239&gt;16, E239*'Reference Curves'!C$4+'Reference Curves'!C$5,E239*'Reference Curves'!$D$4+'Reference Curves'!$D$5)),2))))</f>
        <v/>
      </c>
      <c r="G239" s="456" t="str">
        <f>IFERROR(AVERAGE(F239:F241),"")</f>
        <v/>
      </c>
      <c r="H239" s="458" t="str">
        <f>IFERROR(ROUND(AVERAGE(G239:G245),2),"")</f>
        <v/>
      </c>
      <c r="I239" s="445" t="str">
        <f>IF(H239="","",IF(H239&gt;0.69,"Functioning",IF(H239&gt;0.29,"Functioning At Risk",IF(H239&gt;-1,"Not Functioning"))))</f>
        <v/>
      </c>
      <c r="J239" s="461">
        <f>IF(AND(H239="",H246="",H249="",H260="",H263=""),"",ROUND((IF(H239="",0,H239)*0.2)+(IF(H246="",0,H246)*0.2)+(IF(H249="",0,H249)*0.2)+(IF(H260="",0,H260)*0.2)+(IF(H263="",0,H263)*0.2),2))</f>
        <v>0.4</v>
      </c>
    </row>
    <row r="240" spans="1:10" ht="15.75" x14ac:dyDescent="0.25">
      <c r="A240" s="451"/>
      <c r="B240" s="454"/>
      <c r="C240" s="213" t="s">
        <v>221</v>
      </c>
      <c r="D240" s="216"/>
      <c r="E240" s="34"/>
      <c r="F240" s="235" t="str">
        <f>IF(E240="","",IF(E240&gt;=33.5,0,IF(E240=0,1,ROUND(E240*'Reference Curves'!B$9+'Reference Curves'!B$10,2))))</f>
        <v/>
      </c>
      <c r="G240" s="457"/>
      <c r="H240" s="459"/>
      <c r="I240" s="446"/>
      <c r="J240" s="462"/>
    </row>
    <row r="241" spans="1:10" ht="15.75" x14ac:dyDescent="0.25">
      <c r="A241" s="451"/>
      <c r="B241" s="455"/>
      <c r="C241" s="214" t="s">
        <v>222</v>
      </c>
      <c r="D241" s="216"/>
      <c r="E241" s="36"/>
      <c r="F241" s="235" t="str">
        <f>IF(E241="","",IF(E241&gt;=61,0,IF(E241=0,1, ROUND(IF(E241&gt;35,E241*'Reference Curves'!B$15+'Reference Curves'!B$16,  E241*'Reference Curves'!C$15+'Reference Curves'!C$16),2))))</f>
        <v/>
      </c>
      <c r="G241" s="457"/>
      <c r="H241" s="459"/>
      <c r="I241" s="446"/>
      <c r="J241" s="462"/>
    </row>
    <row r="242" spans="1:10" ht="15.75" x14ac:dyDescent="0.25">
      <c r="A242" s="451"/>
      <c r="B242" s="464" t="s">
        <v>63</v>
      </c>
      <c r="C242" s="212" t="s">
        <v>114</v>
      </c>
      <c r="D242" s="215"/>
      <c r="E242" s="34"/>
      <c r="F242" s="218" t="str">
        <f>IF(E242="","",IF(E242&gt;=86,0,IF(E242&lt;=9,1,ROUND(IF(E242&gt;22,E242*'Reference Curves'!B$4+'Reference Curves'!B$5, IF(E242&gt;16, E242*'Reference Curves'!C$4+'Reference Curves'!C$5,E242*'Reference Curves'!$D$4+'Reference Curves'!$D$5)),2))))</f>
        <v/>
      </c>
      <c r="G242" s="456" t="str">
        <f>IFERROR(AVERAGE(F242:F245),"")</f>
        <v/>
      </c>
      <c r="H242" s="459"/>
      <c r="I242" s="446"/>
      <c r="J242" s="462"/>
    </row>
    <row r="243" spans="1:10" ht="15.75" x14ac:dyDescent="0.25">
      <c r="A243" s="451"/>
      <c r="B243" s="464"/>
      <c r="C243" s="213" t="s">
        <v>221</v>
      </c>
      <c r="D243" s="216"/>
      <c r="E243" s="34"/>
      <c r="F243" s="235" t="str">
        <f>IF(E243="","",IF(E243&gt;=33.5,0,IF(E243=0,1,ROUND(E243*'Reference Curves'!B$9+'Reference Curves'!B$10,2))))</f>
        <v/>
      </c>
      <c r="G243" s="457"/>
      <c r="H243" s="459"/>
      <c r="I243" s="446"/>
      <c r="J243" s="462"/>
    </row>
    <row r="244" spans="1:10" ht="15.75" x14ac:dyDescent="0.25">
      <c r="A244" s="451"/>
      <c r="B244" s="464"/>
      <c r="C244" s="213" t="s">
        <v>222</v>
      </c>
      <c r="D244" s="216"/>
      <c r="E244" s="34"/>
      <c r="F244" s="235" t="str">
        <f>IF(E244="","",IF(E244&gt;=61,0,IF(E244=0,1, ROUND(IF(E244&gt;35,E244*'Reference Curves'!B$15+'Reference Curves'!B$16,  E244*'Reference Curves'!C$15+'Reference Curves'!C$16),2))))</f>
        <v/>
      </c>
      <c r="G244" s="457"/>
      <c r="H244" s="459"/>
      <c r="I244" s="446"/>
      <c r="J244" s="462"/>
    </row>
    <row r="245" spans="1:10" ht="15.75" x14ac:dyDescent="0.25">
      <c r="A245" s="452"/>
      <c r="B245" s="465"/>
      <c r="C245" s="214" t="s">
        <v>225</v>
      </c>
      <c r="D245" s="217"/>
      <c r="E245" s="34"/>
      <c r="F245" s="236" t="str">
        <f>IF(E245="","",   IF(E245&gt;3.35,0, IF(E245&lt;0, "", ROUND('Reference Curves'!$B$20*E245+'Reference Curves'!$B$21,2))))</f>
        <v/>
      </c>
      <c r="G245" s="457"/>
      <c r="H245" s="460"/>
      <c r="I245" s="447"/>
      <c r="J245" s="462"/>
    </row>
    <row r="246" spans="1:10" ht="15.75" x14ac:dyDescent="0.25">
      <c r="A246" s="466" t="s">
        <v>226</v>
      </c>
      <c r="B246" s="469" t="s">
        <v>3</v>
      </c>
      <c r="C246" s="95" t="s">
        <v>227</v>
      </c>
      <c r="D246" s="13"/>
      <c r="E246" s="28"/>
      <c r="F246" s="121" t="str">
        <f>IF(E246="","", IF(E246&gt;1.71,0,IF(E246&lt;=1,1, ROUND(E246*'Reference Curves'!G$3+'Reference Curves'!G$4,2))))</f>
        <v/>
      </c>
      <c r="G246" s="471" t="str">
        <f>IFERROR(AVERAGE(F246:F247),"")</f>
        <v/>
      </c>
      <c r="H246" s="471" t="str">
        <f>IFERROR(ROUND(AVERAGE(G246:G248),2),"")</f>
        <v/>
      </c>
      <c r="I246" s="445" t="str">
        <f>IF(H246="","",IF(H246&gt;0.69,"Functioning",IF(H246&gt;0.29,"Functioning At Risk",IF(H246&gt;-1,"Not Functioning"))))</f>
        <v/>
      </c>
      <c r="J246" s="462"/>
    </row>
    <row r="247" spans="1:10" ht="15.75" x14ac:dyDescent="0.25">
      <c r="A247" s="467"/>
      <c r="B247" s="470"/>
      <c r="C247" s="97" t="s">
        <v>228</v>
      </c>
      <c r="D247" s="102"/>
      <c r="E247" s="33"/>
      <c r="F247" s="237" t="str">
        <f>IF(E247="","",IF(LEFT(D232,1)="B",IF(E247&lt;=1,0,IF(E247&gt;=2.2,1,ROUND(IF(E247&lt;1.4,E247*'Reference Curves'!$G$19+'Reference Curves'!$G$20,E247*'Reference Curves'!$H$19+'Reference Curves'!$H$20),2))),
IF(LEFT(D232,1)="C",IF(E247&lt;1.7,0,IF(E247&gt;=4.4,1,ROUND(IF(E247&gt;2.4,E247*'Reference Curves'!$H$9+'Reference Curves'!$H$10,E247*'Reference Curves'!$G$9+'Reference Curves'!$G$10),2))),
IF(LEFT(D232,1)="E",IF(E247&lt;1.7,0,IF(E247&gt;=6.5,1,ROUND(IF(E247&gt;2.4,E247*'Reference Curves'!$H$14+'Reference Curves'!$H$15,E247*'Reference Curves'!$G$14+'Reference Curves'!$G$15),2)))))))</f>
        <v/>
      </c>
      <c r="G247" s="472"/>
      <c r="H247" s="473"/>
      <c r="I247" s="446"/>
      <c r="J247" s="462"/>
    </row>
    <row r="248" spans="1:10" ht="15.75" x14ac:dyDescent="0.25">
      <c r="A248" s="468"/>
      <c r="B248" s="219" t="s">
        <v>229</v>
      </c>
      <c r="C248" s="96" t="s">
        <v>230</v>
      </c>
      <c r="D248" s="13"/>
      <c r="E248" s="32"/>
      <c r="F248" s="122" t="str">
        <f>IF(E248="","",IF(E248&gt;=180,0, IF(E248=100,1, ROUND(IF(E248&gt;100,E248*'Reference Curves'!$H$25+'Reference Curves'!$H$26, IF(E246&gt;1.2,IF(E248 &lt;=20,0, E248*'Reference Curves'!$G$25+'Reference Curves'!$G$26),1)),2))))</f>
        <v/>
      </c>
      <c r="G248" s="269" t="str">
        <f>IFERROR(AVERAGE(F248),"")</f>
        <v/>
      </c>
      <c r="H248" s="472"/>
      <c r="I248" s="447"/>
      <c r="J248" s="462"/>
    </row>
    <row r="249" spans="1:10" ht="15.75" x14ac:dyDescent="0.25">
      <c r="A249" s="474" t="s">
        <v>16</v>
      </c>
      <c r="B249" s="270" t="s">
        <v>231</v>
      </c>
      <c r="C249" s="220" t="s">
        <v>232</v>
      </c>
      <c r="D249" s="221"/>
      <c r="E249" s="46"/>
      <c r="F249" s="238" t="str">
        <f>IF(E249="","",IF(F233="Alaska Range",ROUND(IF(E249&lt;=0.05,0, IF(E249&gt;=6.3,1,IF(E249&lt;=1.5,'Reference Curves'!$K$5*E249+'Reference Curves'!$K$6, 'Reference Curves'!$L$5*E249+'Reference Curves'!$L$6))),2),
IF(F233="Brooks Range",ROUND(IF(E249&gt;=4.2,1,IF(E249&lt;0.03,0, IF(E249&lt;=1.2,'Reference Curves'!$M$5*E249+'Reference Curves'!$M$6, 'Reference Curves'!$N$5*E249+'Reference Curves'!$N$6))),2),
IF(OR(F233="Interior Bottomlands", F233="Yukon Flats"),ROUND(IF(E249&gt;=54.5,1,IF(E249&lt;=3.7,'Reference Curves'!$K$11*E249+'Reference Curves'!$K$12, IF(E249&lt;4.7,  'Reference Curves'!$L$11*E249+'Reference Curves'!$L$12,  'Reference Curves'!$M$11*E249+'Reference Curves'!$M$12))),2),
IF(OR(F233="Interior Forested Lowlands/Uplands",F233="Interior Highlands"),ROUND(IF(E249=0,0,IF(E249&gt;=24.1,1,IF(E249&lt;=1.3,'Reference Curves'!$N$11*E249+'Reference Curves'!$N$12, 'Reference Curves'!$O$11*E249+'Reference Curves'!$O$12))),2))))))</f>
        <v/>
      </c>
      <c r="G249" s="265" t="str">
        <f>IFERROR(AVERAGE(F249:F249),"")</f>
        <v/>
      </c>
      <c r="H249" s="476" t="str">
        <f>IFERROR(ROUND(AVERAGE(G249:G259),2),"")</f>
        <v/>
      </c>
      <c r="I249" s="479" t="str">
        <f>IF(H249="","",IF(H249&gt;0.69,"Functioning",IF(H249&gt;0.29,"Functioning At Risk",IF(H249&gt;-1,"Not Functioning"))))</f>
        <v/>
      </c>
      <c r="J249" s="462"/>
    </row>
    <row r="250" spans="1:10" ht="15.75" x14ac:dyDescent="0.25">
      <c r="A250" s="475"/>
      <c r="B250" s="475" t="s">
        <v>99</v>
      </c>
      <c r="C250" s="16" t="s">
        <v>37</v>
      </c>
      <c r="D250" s="100"/>
      <c r="E250" s="234"/>
      <c r="F250" s="123" t="str">
        <f>IF(E250="","",IF(OR(E250="Ex/Ex",E250="Ex/VH",E250="Ex/H",E250="Ex/M",E250="VH/Ex",E250="VH/VH", E250="H/Ex",E250="H/VH"),0,
IF(OR(E250="M/Ex"),0.1,
IF(OR(E250="VH/H",E250="VH/M",E250="H/H",E250="H/M", E250="M/VH"),0.2,
IF(OR(E250="Ex/VL",E250="Ex/L", E250="M/H"),0.3,
IF(OR(E250="VH/L",E250="H/L"),0.4,
IF(OR(E250="VH/VL",E250="H/VL",E250="M/M"),0.5,
IF(OR(E250="M/L",E250="L/Ex"),0.6,
IF(OR(E250="M/VL",E250="L/VH", E250="L/H",E250="L/M",E250="L/L",E250="L/VL", LEFT(E250,2)="VL"),1)))))))))</f>
        <v/>
      </c>
      <c r="G250" s="476" t="str">
        <f>IFERROR(IF(E252&gt;=50,0,AVERAGE(F250:F252)),"")</f>
        <v/>
      </c>
      <c r="H250" s="477"/>
      <c r="I250" s="480"/>
      <c r="J250" s="462"/>
    </row>
    <row r="251" spans="1:10" ht="15.75" x14ac:dyDescent="0.25">
      <c r="A251" s="475"/>
      <c r="B251" s="475"/>
      <c r="C251" s="98" t="s">
        <v>48</v>
      </c>
      <c r="D251" s="230"/>
      <c r="E251" s="32"/>
      <c r="F251" s="123" t="str">
        <f>IF(E251="","",ROUND(IF(E251&gt;=75,0,IF(E251&lt;=5,1,IF(E251&gt;10,E251*'Reference Curves'!K$17+'Reference Curves'!K$18,'Reference Curves'!$L$17*E251+'Reference Curves'!$L$18))),2))</f>
        <v/>
      </c>
      <c r="G251" s="477"/>
      <c r="H251" s="477"/>
      <c r="I251" s="480"/>
      <c r="J251" s="462"/>
    </row>
    <row r="252" spans="1:10" ht="15.75" x14ac:dyDescent="0.25">
      <c r="A252" s="475"/>
      <c r="B252" s="482"/>
      <c r="C252" s="99" t="s">
        <v>233</v>
      </c>
      <c r="D252" s="231"/>
      <c r="E252" s="33"/>
      <c r="F252" s="124" t="str">
        <f>IF(E252="","",IF(E252&gt;=30,0,ROUND(E252*'Reference Curves'!$K$22+'Reference Curves'!$K$23,2)))</f>
        <v/>
      </c>
      <c r="G252" s="478"/>
      <c r="H252" s="477"/>
      <c r="I252" s="480"/>
      <c r="J252" s="462"/>
    </row>
    <row r="253" spans="1:10" ht="15.75" x14ac:dyDescent="0.25">
      <c r="A253" s="475"/>
      <c r="B253" s="268" t="s">
        <v>234</v>
      </c>
      <c r="C253" s="17" t="s">
        <v>235</v>
      </c>
      <c r="D253" s="100"/>
      <c r="E253" s="33"/>
      <c r="F253" s="123" t="str">
        <f>IF(E253="","",IF(OR(D234="Cobble",D234="Boulders",D234="Bedrock"),ROUND(IF(E253&lt;=0,1,IF(E253&gt;=13.7,0, IF(E253&gt;5,E253*'Reference Curves'!$M$29+'Reference Curves'!$M$30,  E253*'Reference Curves'!$N$29+'Reference Curves'!$N$30))),2),
IF(D234="Gravel",ROUND(IF(E253&lt;=3,1,IF(E253&gt;=54,0, IF(E253&gt;15,E253*'Reference Curves'!$K$29+'Reference Curves'!$K$30,  E253*'Reference Curves'!$L$29+'Reference Curves'!$L$30))),2))))</f>
        <v/>
      </c>
      <c r="G253" s="265" t="str">
        <f>IFERROR(AVERAGE(F253:F253),"")</f>
        <v/>
      </c>
      <c r="H253" s="477"/>
      <c r="I253" s="480"/>
      <c r="J253" s="462"/>
    </row>
    <row r="254" spans="1:10" ht="15.75" x14ac:dyDescent="0.25">
      <c r="A254" s="475"/>
      <c r="B254" s="474" t="s">
        <v>39</v>
      </c>
      <c r="C254" s="14" t="s">
        <v>236</v>
      </c>
      <c r="D254" s="18"/>
      <c r="E254" s="35"/>
      <c r="F254" s="125" t="str">
        <f>IF(E254="","",IF(D232="Bc",IF(E254&gt;=12,0,IF(E254&lt;=3.4,1,ROUND('Reference Curves'!$K$39*E254+'Reference Curves'!$K$40,2))),
IF(OR(D232="B",D232="Ba"),IF(E254&gt;=6,0,IF(E254&lt;=2,1,ROUND(IF(E254&gt;3.9,'Reference Curves'!$K$35*E254+'Reference Curves'!$K$36,'Reference Curves'!$L$35*E254+'Reference Curves'!$L$36),2))),
IF(LEFT(D232,1)="C",IF(OR(E254&gt;=9.3,E254&lt;=3),0,IF(AND(E254&gt;=4,E254&lt;=6),1,ROUND(IF(E254&lt;4,'Reference Curves'!$K$49*E254+'Reference Curves'!$K$50,'Reference Curves'!$L$49*E254+'Reference Curves'!$L$50),2))),
IF(D232="E",IF(OR(E254&gt;=8.3,E254&lt;=1.8),0,IF(AND(E254&gt;=3.5,E254&lt;=5),1,ROUND(IF(E254&lt;3.5,'Reference Curves'!$K$44*E254+'Reference Curves'!$K$45,'Reference Curves'!$L$44*E254+'Reference Curves'!$L$45),2)))      )))))</f>
        <v/>
      </c>
      <c r="G254" s="483" t="str">
        <f>IFERROR(AVERAGE(F254:F256),"")</f>
        <v/>
      </c>
      <c r="H254" s="477"/>
      <c r="I254" s="480"/>
      <c r="J254" s="462"/>
    </row>
    <row r="255" spans="1:10" ht="15.75" x14ac:dyDescent="0.25">
      <c r="A255" s="475"/>
      <c r="B255" s="475"/>
      <c r="C255" s="16" t="s">
        <v>237</v>
      </c>
      <c r="D255" s="100"/>
      <c r="E255" s="34"/>
      <c r="F255" s="126" t="str">
        <f>IF(E255="","",ROUND(IF(E255&lt;=1,0, IF(OR(D232="B", D232="Ba"), IF(E255&gt;=2.8,1,IF(E255&gt;=1.8,'Reference Curves'!$L$56*E255+'Reference Curves'!$L$57,'Reference Curves'!$K$56*E255+'Reference Curves'!$K$57)),IF(E255&gt;=3.2,1,IF(E255&gt;=2.2,'Reference Curves'!$N$56*E255+'Reference Curves'!$N$57,'Reference Curves'!$M$56*E255+'Reference Curves'!$M$57)))),2))</f>
        <v/>
      </c>
      <c r="G255" s="484"/>
      <c r="H255" s="477"/>
      <c r="I255" s="480"/>
      <c r="J255" s="462"/>
    </row>
    <row r="256" spans="1:10" ht="15.75" x14ac:dyDescent="0.25">
      <c r="A256" s="475"/>
      <c r="B256" s="475"/>
      <c r="C256" s="16" t="s">
        <v>79</v>
      </c>
      <c r="D256" s="100"/>
      <c r="E256" s="34"/>
      <c r="F256" s="266" t="str">
        <f>IF(E256="","",IF(D233&gt;=3,IF(OR(E256&lt;=0,E256&gt;=100),0,IF(AND(E256&gt;=68,E256&lt;=85),1,IF(E256&lt;68,IF(E256&lt;62,ROUND(E256*'Reference Curves'!$K$69+'Reference Curves'!$K$70,2),ROUND(E256*'Reference Curves'!$L$69+'Reference Curves'!$L$70,2)),
IF(E256&gt;87,ROUND(E256*'Reference Curves'!$M$69+'Reference Curves'!$M$70,2),ROUND(E256*'Reference Curves'!$N$69+'Reference Curves'!$N$70,2))))),
IF(D233&lt;&gt;0,IF(OR(E256&lt;=0,E256&gt;=100),0,IF(AND(E256&lt;=60,E256&gt;=50),1,IF(E256&lt;50,IF(E256&lt;39,ROUND(E256*'Reference Curves'!$K$63+'Reference Curves'!$K$64,2),ROUND(E256*'Reference Curves'!$L$63+'Reference Curves'!$L$64,2)),
IF(E256&gt;69,ROUND(E256*'Reference Curves'!$M$63+'Reference Curves'!$M$64,2),ROUND(E256*'Reference Curves'!$N$63+'Reference Curves'!$N$64,2))))))))</f>
        <v/>
      </c>
      <c r="G256" s="484"/>
      <c r="H256" s="477"/>
      <c r="I256" s="480"/>
      <c r="J256" s="462"/>
    </row>
    <row r="257" spans="1:10" ht="15.75" x14ac:dyDescent="0.25">
      <c r="A257" s="475"/>
      <c r="B257" s="474" t="s">
        <v>38</v>
      </c>
      <c r="C257" s="14" t="s">
        <v>238</v>
      </c>
      <c r="D257" s="41"/>
      <c r="E257" s="15"/>
      <c r="F257" s="127" t="str">
        <f>IF( E257="","",
IF( F232="Unconfined Alluvial", IF( E257&gt;=100,1,
ROUND('Reference Curves'!$K$76*E257+'Reference Curves'!$K$77,2) ),
IF( OR(F232="Confined Alluvial", F232="Colluvial/V-Shaped"), ( IF(E257&gt;=100,1,
IF(E257&gt;=60, ROUND('Reference Curves'!$M$76*E257+'Reference Curves'!$M$77,2), ROUND('Reference Curves'!$L$76*E257+'Reference Curves'!$L$77,2) ) ) ) ) ) )</f>
        <v/>
      </c>
      <c r="G257" s="476" t="str">
        <f>IFERROR(AVERAGE(F257:F259),"")</f>
        <v/>
      </c>
      <c r="H257" s="477"/>
      <c r="I257" s="480"/>
      <c r="J257" s="462"/>
    </row>
    <row r="258" spans="1:10" ht="15.75" x14ac:dyDescent="0.25">
      <c r="A258" s="475"/>
      <c r="B258" s="475"/>
      <c r="C258" s="16" t="s">
        <v>202</v>
      </c>
      <c r="D258" s="57"/>
      <c r="E258" s="65"/>
      <c r="F258" s="126" t="str">
        <f>IF(E258="","",IF(OR(F233="Alaska Range",F233="Brooks Range"),ROUND(IF(E258&gt;=1.57,1,IF(E258&lt;=0.06,'Reference Curves'!$K$83*E258+'Reference Curves'!$K$84, IF(E258&lt;0.83, 'Reference Curves'!$L$83*E258+'Reference Curves'!$L$84, 'Reference Curves'!$M$83*E258+'Reference Curves'!$M$84))),2),
IF(F233="Interior Highlands",ROUND(IF(E258&gt;=1.67,1,IF(E258&lt;=0.94,'Reference Curves'!$N$83*E258+'Reference Curves'!$N$84, IF(E258&lt;1.21, 'Reference Curves'!$O$83*E258+'Reference Curves'!$O$84, 'Reference Curves'!$P$83*E258+'Reference Curves'!$P$84))),2),
IF(OR(F233="Interior Bottomlands",F233="Yukon Flats"),ROUND(IF(E258&gt;=1.82,1,IF(E258&lt;=1.19,'Reference Curves'!$K$89*E258+'Reference Curves'!$K$90, IF(E258&lt;1.37, 'Reference Curves'!$L$89*E258+'Reference Curves'!$L$90, 'Reference Curves'!$M$89*E258+'Reference Curves'!$M$90))),2),
IF(F233="Interior Forested Lowlands/Uplands",ROUND(IF(E258&gt;=1.87,1,IF(E258&lt;=1.24,'Reference Curves'!$N$89*E258+'Reference Curves'!$N$90, IF(E258&lt;1.45, 'Reference Curves'!$O$89*E258+'Reference Curves'!$O$90, 'Reference Curves'!$P$89*E258+'Reference Curves'!$P$90))),2))))))</f>
        <v/>
      </c>
      <c r="G258" s="477"/>
      <c r="H258" s="477"/>
      <c r="I258" s="480"/>
      <c r="J258" s="462"/>
    </row>
    <row r="259" spans="1:10" ht="15.75" x14ac:dyDescent="0.25">
      <c r="A259" s="475"/>
      <c r="B259" s="475"/>
      <c r="C259" s="16" t="s">
        <v>239</v>
      </c>
      <c r="D259" s="57"/>
      <c r="E259" s="65"/>
      <c r="F259" s="266" t="str">
        <f>IF(E259="","",IF(E259&lt;83.5,0,IF(E259&gt;=100,1,ROUND(E259*'Reference Curves'!$K$94+'Reference Curves'!$K$95,2))))</f>
        <v/>
      </c>
      <c r="G259" s="478"/>
      <c r="H259" s="478"/>
      <c r="I259" s="481"/>
      <c r="J259" s="462"/>
    </row>
    <row r="260" spans="1:10" ht="15.75" x14ac:dyDescent="0.25">
      <c r="A260" s="485" t="s">
        <v>41</v>
      </c>
      <c r="B260" s="223" t="s">
        <v>115</v>
      </c>
      <c r="C260" s="224" t="s">
        <v>340</v>
      </c>
      <c r="D260" s="225"/>
      <c r="E260" s="28"/>
      <c r="F260" s="232" t="str">
        <f>IF(E260="","", IF(E260&lt;=1.1,1, IF(E260 &gt;1.315,0, ROUND(E260*'Reference Curves'!R$3+'Reference Curves'!R$4,2))))</f>
        <v/>
      </c>
      <c r="G260" s="267" t="str">
        <f>IFERROR(AVERAGE(F260:F260),"")</f>
        <v/>
      </c>
      <c r="H260" s="488">
        <f>IF(OR(G260&lt;&gt;"",G261&lt;&gt;"",G262&lt;&gt;""),ROUND(AVERAGE(G260:G262),2),'Debit Calculator'!$F$28)</f>
        <v>1</v>
      </c>
      <c r="I260" s="436" t="str">
        <f>IF(H260="","",IF(H260&gt;0.69,"Functioning",IF(H260&gt;0.29,"Functioning At Risk",IF(H260&gt;-1,"Not Functioning"))))</f>
        <v>Functioning</v>
      </c>
      <c r="J260" s="462"/>
    </row>
    <row r="261" spans="1:10" ht="15.75" x14ac:dyDescent="0.25">
      <c r="A261" s="486"/>
      <c r="B261" s="223" t="s">
        <v>240</v>
      </c>
      <c r="C261" s="224" t="s">
        <v>341</v>
      </c>
      <c r="D261" s="225"/>
      <c r="E261" s="46"/>
      <c r="F261" s="240" t="str">
        <f>IF(E261="","",ROUND( IF(E261&lt;=3,1, IF(E261&gt;=100,0,IF(E261&gt;10, E261*'Reference Curves'!$R$9+'Reference Curves'!$R$10,E261*'Reference Curves'!$S$9+'Reference Curves'!$S$10))),2))</f>
        <v/>
      </c>
      <c r="G261" s="232" t="str">
        <f>IFERROR(AVERAGE(F261),"")</f>
        <v/>
      </c>
      <c r="H261" s="489"/>
      <c r="I261" s="436"/>
      <c r="J261" s="462"/>
    </row>
    <row r="262" spans="1:10" ht="15.75" x14ac:dyDescent="0.25">
      <c r="A262" s="487"/>
      <c r="B262" s="223" t="s">
        <v>241</v>
      </c>
      <c r="C262" s="226" t="s">
        <v>355</v>
      </c>
      <c r="D262" s="227"/>
      <c r="E262" s="46"/>
      <c r="F262" s="232" t="str">
        <f>IF(E262="","", IF(E262&gt;=75,1, IF(E262 &lt;19,0, ROUND(E262*'Reference Curves'!R$14+'Reference Curves'!R$15,2))))</f>
        <v/>
      </c>
      <c r="G262" s="232" t="str">
        <f>IFERROR(AVERAGE(F262),"")</f>
        <v/>
      </c>
      <c r="H262" s="490"/>
      <c r="I262" s="436"/>
      <c r="J262" s="462"/>
    </row>
    <row r="263" spans="1:10" ht="15.75" x14ac:dyDescent="0.25">
      <c r="A263" s="437" t="s">
        <v>42</v>
      </c>
      <c r="B263" s="228" t="s">
        <v>80</v>
      </c>
      <c r="C263" s="229" t="s">
        <v>366</v>
      </c>
      <c r="D263" s="26"/>
      <c r="E263" s="28"/>
      <c r="F263" s="128" t="str">
        <f>IF(E263="","",ROUND( IF(E263&gt;=81,0, IF(E263&lt;=36,1,IF(E263&gt;62, E263*'Reference Curves'!$V$4+'Reference Curves'!$V$5,IF(E263&gt;43, E263*'Reference Curves'!$W$4+'Reference Curves'!$W$5,E263*'Reference Curves'!$X$4+'Reference Curves'!$X$5)))),2))</f>
        <v/>
      </c>
      <c r="G263" s="104" t="str">
        <f>IFERROR(AVERAGE(F263),"")</f>
        <v/>
      </c>
      <c r="H263" s="440">
        <f>IF(OR(G263&lt;&gt;"",G264&lt;&gt;""),ROUND(AVERAGE(G263:G266),2),'Debit Calculator'!$F$28)</f>
        <v>1</v>
      </c>
      <c r="I263" s="436" t="str">
        <f>IF(H263="","",IF(H263&gt;0.69,"Functioning",IF(H263&gt;0.29,"Functioning At Risk",IF(H263&gt;-1,"Not Functioning"))))</f>
        <v>Functioning</v>
      </c>
      <c r="J263" s="462"/>
    </row>
    <row r="264" spans="1:10" ht="15.75" x14ac:dyDescent="0.25">
      <c r="A264" s="438"/>
      <c r="B264" s="437" t="s">
        <v>45</v>
      </c>
      <c r="C264" s="229" t="s">
        <v>242</v>
      </c>
      <c r="D264" s="26"/>
      <c r="E264" s="35"/>
      <c r="F264" s="104" t="str">
        <f>IF(E264="","",IF(F234="Anadromous", IF(E264&lt;=0,0,IF(E264&gt;=100,1,ROUND(IF(E264&lt;80,E264*'Reference Curves'!$V$11+'Reference Curves'!$V$12,E264*'Reference Curves'!$W$11+'Reference Curves'!$W$12),2))),
IF(F234="Non-anadromous", IF(E264&lt;=0,0,IF(E264&gt;=100,1,ROUND(IF(E264&lt;60,E264*'Reference Curves'!$X$11+'Reference Curves'!$X$12,E264*'Reference Curves'!$Y$11+'Reference Curves'!$Y$12),2))))))</f>
        <v/>
      </c>
      <c r="G264" s="441" t="str">
        <f>IFERROR(AVERAGE(F264:F266),"")</f>
        <v/>
      </c>
      <c r="H264" s="440"/>
      <c r="I264" s="436"/>
      <c r="J264" s="462"/>
    </row>
    <row r="265" spans="1:10" s="4" customFormat="1" ht="15.75" x14ac:dyDescent="0.25">
      <c r="A265" s="438"/>
      <c r="B265" s="438"/>
      <c r="C265" s="294" t="s">
        <v>322</v>
      </c>
      <c r="D265" s="295"/>
      <c r="E265" s="34"/>
      <c r="F265" s="104" t="str">
        <f>IF(E265="","", IF(E265&lt;=0,0,IF(E265&gt;=0.9,1,ROUND(E265*'Reference Curves'!$V$16+'Reference Curves'!$V$17,2))))</f>
        <v/>
      </c>
      <c r="G265" s="491"/>
      <c r="H265" s="440"/>
      <c r="I265" s="436"/>
      <c r="J265" s="462"/>
    </row>
    <row r="266" spans="1:10" ht="15.75" x14ac:dyDescent="0.25">
      <c r="A266" s="439"/>
      <c r="B266" s="439"/>
      <c r="C266" s="101" t="s">
        <v>243</v>
      </c>
      <c r="D266" s="103"/>
      <c r="E266" s="36"/>
      <c r="F266" s="128" t="str">
        <f>IF(E266="","", IF(E266&lt;=0,0,IF(E266&gt;=0.9,1,ROUND(E266*'Reference Curves'!$V$16+'Reference Curves'!$V$17,2))))</f>
        <v/>
      </c>
      <c r="G266" s="443"/>
      <c r="H266" s="440"/>
      <c r="I266" s="436"/>
      <c r="J266" s="463"/>
    </row>
    <row r="267" spans="1:10" x14ac:dyDescent="0.25">
      <c r="A267" s="4"/>
      <c r="B267" s="4"/>
      <c r="C267" s="4"/>
      <c r="E267" s="4"/>
      <c r="F267" s="4"/>
      <c r="H267" s="4"/>
      <c r="J267" s="3"/>
    </row>
    <row r="268" spans="1:10" x14ac:dyDescent="0.25">
      <c r="A268" s="4"/>
      <c r="B268" s="4"/>
      <c r="C268" s="4"/>
      <c r="E268" s="4"/>
      <c r="F268" s="4"/>
      <c r="H268" s="4"/>
      <c r="J268" s="3"/>
    </row>
    <row r="269" spans="1:10" ht="21" x14ac:dyDescent="0.25">
      <c r="A269" s="495" t="s">
        <v>167</v>
      </c>
      <c r="B269" s="496"/>
      <c r="C269" s="496"/>
      <c r="D269" s="496"/>
      <c r="E269" s="496"/>
      <c r="F269" s="496"/>
      <c r="G269" s="496"/>
      <c r="H269" s="496"/>
      <c r="I269" s="496"/>
      <c r="J269" s="497"/>
    </row>
    <row r="270" spans="1:10" ht="15.75" x14ac:dyDescent="0.25">
      <c r="A270" s="115" t="s">
        <v>59</v>
      </c>
      <c r="B270" s="130" t="str">
        <f>IF('Project Assessment'!A17="","",'Project Assessment'!A17)</f>
        <v/>
      </c>
      <c r="C270" s="115" t="s">
        <v>168</v>
      </c>
      <c r="D270" s="251"/>
      <c r="E270" s="250" t="s">
        <v>73</v>
      </c>
      <c r="F270" s="498"/>
      <c r="G270" s="498"/>
      <c r="H270" s="493" t="s">
        <v>102</v>
      </c>
      <c r="I270" s="494"/>
      <c r="J270" s="116"/>
    </row>
    <row r="271" spans="1:10" ht="15.75" x14ac:dyDescent="0.25">
      <c r="A271" s="134" t="s">
        <v>212</v>
      </c>
      <c r="B271" s="130" t="str">
        <f>IF('Project Assessment'!B17="","",'Project Assessment'!B17)</f>
        <v/>
      </c>
      <c r="C271" s="250" t="s">
        <v>359</v>
      </c>
      <c r="D271" s="138"/>
      <c r="E271" s="250" t="s">
        <v>156</v>
      </c>
      <c r="F271" s="498"/>
      <c r="G271" s="498"/>
      <c r="H271" s="493" t="s">
        <v>103</v>
      </c>
      <c r="I271" s="494"/>
      <c r="J271" s="116"/>
    </row>
    <row r="272" spans="1:10" ht="15.75" x14ac:dyDescent="0.25">
      <c r="A272" s="119" t="s">
        <v>157</v>
      </c>
      <c r="B272" s="130" t="str">
        <f>IF('Project Assessment'!C17="","",'Project Assessment'!C17)</f>
        <v/>
      </c>
      <c r="C272" s="239" t="s">
        <v>360</v>
      </c>
      <c r="D272" s="251"/>
      <c r="E272" s="250" t="s">
        <v>220</v>
      </c>
      <c r="F272" s="498"/>
      <c r="G272" s="498"/>
      <c r="H272" s="493" t="s">
        <v>104</v>
      </c>
      <c r="I272" s="494"/>
      <c r="J272" s="32"/>
    </row>
    <row r="273" spans="1:10" ht="15.75" x14ac:dyDescent="0.25">
      <c r="A273" s="499"/>
      <c r="B273" s="500"/>
      <c r="C273" s="233" t="s">
        <v>155</v>
      </c>
      <c r="D273" s="251"/>
      <c r="E273" s="502"/>
      <c r="F273" s="503"/>
      <c r="G273" s="504"/>
      <c r="H273" s="493" t="s">
        <v>105</v>
      </c>
      <c r="I273" s="494"/>
      <c r="J273" s="116"/>
    </row>
    <row r="274" spans="1:10" ht="8.25" customHeight="1" x14ac:dyDescent="0.25">
      <c r="A274" s="4"/>
      <c r="B274" s="50"/>
      <c r="C274" s="50"/>
      <c r="D274" s="50"/>
      <c r="E274" s="50"/>
      <c r="F274" s="50"/>
      <c r="G274" s="50"/>
      <c r="H274" s="50"/>
      <c r="I274" s="48"/>
      <c r="J274" s="9"/>
    </row>
    <row r="275" spans="1:10" ht="21" x14ac:dyDescent="0.35">
      <c r="A275" s="492" t="str">
        <f>_xlfn.CONCAT("EXISTING CONDITION ASSESSMENT for Reach ",B270)</f>
        <v xml:space="preserve">EXISTING CONDITION ASSESSMENT for Reach </v>
      </c>
      <c r="B275" s="492"/>
      <c r="C275" s="492"/>
      <c r="D275" s="492"/>
      <c r="E275" s="492"/>
      <c r="F275" s="492"/>
      <c r="G275" s="492" t="s">
        <v>10</v>
      </c>
      <c r="H275" s="492"/>
      <c r="I275" s="492"/>
      <c r="J275" s="492"/>
    </row>
    <row r="276" spans="1:10" ht="15.75" x14ac:dyDescent="0.25">
      <c r="A276" s="30" t="s">
        <v>1</v>
      </c>
      <c r="B276" s="30" t="s">
        <v>2</v>
      </c>
      <c r="C276" s="448" t="s">
        <v>316</v>
      </c>
      <c r="D276" s="449"/>
      <c r="E276" s="30" t="s">
        <v>8</v>
      </c>
      <c r="F276" s="29" t="s">
        <v>9</v>
      </c>
      <c r="G276" s="30" t="s">
        <v>11</v>
      </c>
      <c r="H276" s="30" t="s">
        <v>12</v>
      </c>
      <c r="I276" s="49" t="s">
        <v>12</v>
      </c>
      <c r="J276" s="271" t="s">
        <v>85</v>
      </c>
    </row>
    <row r="277" spans="1:10" ht="15.75" x14ac:dyDescent="0.25">
      <c r="A277" s="450" t="s">
        <v>223</v>
      </c>
      <c r="B277" s="453" t="s">
        <v>224</v>
      </c>
      <c r="C277" s="212" t="s">
        <v>114</v>
      </c>
      <c r="D277" s="215"/>
      <c r="E277" s="35"/>
      <c r="F277" s="218" t="str">
        <f>IF(E277="","",IF(E277&gt;=86,0,IF(E277&lt;=9,1,ROUND(IF(E277&gt;22,E277*'Reference Curves'!B$4+'Reference Curves'!B$5, IF(E277&gt;16, E277*'Reference Curves'!C$4+'Reference Curves'!C$5,E277*'Reference Curves'!$D$4+'Reference Curves'!$D$5)),2))))</f>
        <v/>
      </c>
      <c r="G277" s="456" t="str">
        <f>IFERROR(AVERAGE(F277:F279),"")</f>
        <v/>
      </c>
      <c r="H277" s="458" t="str">
        <f>IFERROR(ROUND(AVERAGE(G277:G283),2),"")</f>
        <v/>
      </c>
      <c r="I277" s="445" t="str">
        <f>IF(H277="","",IF(H277&gt;0.69,"Functioning",IF(H277&gt;0.29,"Functioning At Risk",IF(H277&gt;-1,"Not Functioning"))))</f>
        <v/>
      </c>
      <c r="J277" s="461">
        <f>IF(AND(H277="",H284="",H287="",H298="",H301=""),"",ROUND((IF(H277="",0,H277)*0.2)+(IF(H284="",0,H284)*0.2)+(IF(H287="",0,H287)*0.2)+(IF(H298="",0,H298)*0.2)+(IF(H301="",0,H301)*0.2),2))</f>
        <v>0.4</v>
      </c>
    </row>
    <row r="278" spans="1:10" ht="15.75" x14ac:dyDescent="0.25">
      <c r="A278" s="451"/>
      <c r="B278" s="454"/>
      <c r="C278" s="213" t="s">
        <v>221</v>
      </c>
      <c r="D278" s="216"/>
      <c r="E278" s="34"/>
      <c r="F278" s="235" t="str">
        <f>IF(E278="","",IF(E278&gt;=33.5,0,IF(E278=0,1,ROUND(E278*'Reference Curves'!B$9+'Reference Curves'!B$10,2))))</f>
        <v/>
      </c>
      <c r="G278" s="457"/>
      <c r="H278" s="459"/>
      <c r="I278" s="446"/>
      <c r="J278" s="462"/>
    </row>
    <row r="279" spans="1:10" ht="15.75" x14ac:dyDescent="0.25">
      <c r="A279" s="451"/>
      <c r="B279" s="455"/>
      <c r="C279" s="214" t="s">
        <v>222</v>
      </c>
      <c r="D279" s="216"/>
      <c r="E279" s="36"/>
      <c r="F279" s="235" t="str">
        <f>IF(E279="","",IF(E279&gt;=61,0,IF(E279=0,1, ROUND(IF(E279&gt;35,E279*'Reference Curves'!B$15+'Reference Curves'!B$16,  E279*'Reference Curves'!C$15+'Reference Curves'!C$16),2))))</f>
        <v/>
      </c>
      <c r="G279" s="457"/>
      <c r="H279" s="459"/>
      <c r="I279" s="446"/>
      <c r="J279" s="462"/>
    </row>
    <row r="280" spans="1:10" ht="15.75" x14ac:dyDescent="0.25">
      <c r="A280" s="451"/>
      <c r="B280" s="464" t="s">
        <v>63</v>
      </c>
      <c r="C280" s="212" t="s">
        <v>114</v>
      </c>
      <c r="D280" s="215"/>
      <c r="E280" s="34"/>
      <c r="F280" s="218" t="str">
        <f>IF(E280="","",IF(E280&gt;=86,0,IF(E280&lt;=9,1,ROUND(IF(E280&gt;22,E280*'Reference Curves'!B$4+'Reference Curves'!B$5, IF(E280&gt;16, E280*'Reference Curves'!C$4+'Reference Curves'!C$5,E280*'Reference Curves'!$D$4+'Reference Curves'!$D$5)),2))))</f>
        <v/>
      </c>
      <c r="G280" s="456" t="str">
        <f>IFERROR(AVERAGE(F280:F283),"")</f>
        <v/>
      </c>
      <c r="H280" s="459"/>
      <c r="I280" s="446"/>
      <c r="J280" s="462"/>
    </row>
    <row r="281" spans="1:10" ht="15.75" x14ac:dyDescent="0.25">
      <c r="A281" s="451"/>
      <c r="B281" s="464"/>
      <c r="C281" s="213" t="s">
        <v>221</v>
      </c>
      <c r="D281" s="216"/>
      <c r="E281" s="34"/>
      <c r="F281" s="235" t="str">
        <f>IF(E281="","",IF(E281&gt;=33.5,0,IF(E281=0,1,ROUND(E281*'Reference Curves'!B$9+'Reference Curves'!B$10,2))))</f>
        <v/>
      </c>
      <c r="G281" s="457"/>
      <c r="H281" s="459"/>
      <c r="I281" s="446"/>
      <c r="J281" s="462"/>
    </row>
    <row r="282" spans="1:10" ht="15.75" x14ac:dyDescent="0.25">
      <c r="A282" s="451"/>
      <c r="B282" s="464"/>
      <c r="C282" s="213" t="s">
        <v>222</v>
      </c>
      <c r="D282" s="216"/>
      <c r="E282" s="34"/>
      <c r="F282" s="235" t="str">
        <f>IF(E282="","",IF(E282&gt;=61,0,IF(E282=0,1, ROUND(IF(E282&gt;35,E282*'Reference Curves'!B$15+'Reference Curves'!B$16,  E282*'Reference Curves'!C$15+'Reference Curves'!C$16),2))))</f>
        <v/>
      </c>
      <c r="G282" s="457"/>
      <c r="H282" s="459"/>
      <c r="I282" s="446"/>
      <c r="J282" s="462"/>
    </row>
    <row r="283" spans="1:10" ht="15.75" x14ac:dyDescent="0.25">
      <c r="A283" s="452"/>
      <c r="B283" s="465"/>
      <c r="C283" s="214" t="s">
        <v>225</v>
      </c>
      <c r="D283" s="217"/>
      <c r="E283" s="34"/>
      <c r="F283" s="236" t="str">
        <f>IF(E283="","",   IF(E283&gt;3.35,0, IF(E283&lt;0, "", ROUND('Reference Curves'!$B$20*E283+'Reference Curves'!$B$21,2))))</f>
        <v/>
      </c>
      <c r="G283" s="457"/>
      <c r="H283" s="460"/>
      <c r="I283" s="447"/>
      <c r="J283" s="462"/>
    </row>
    <row r="284" spans="1:10" ht="15.75" x14ac:dyDescent="0.25">
      <c r="A284" s="466" t="s">
        <v>226</v>
      </c>
      <c r="B284" s="469" t="s">
        <v>3</v>
      </c>
      <c r="C284" s="95" t="s">
        <v>227</v>
      </c>
      <c r="D284" s="13"/>
      <c r="E284" s="28"/>
      <c r="F284" s="121" t="str">
        <f>IF(E284="","", IF(E284&gt;1.71,0,IF(E284&lt;=1,1, ROUND(E284*'Reference Curves'!G$3+'Reference Curves'!G$4,2))))</f>
        <v/>
      </c>
      <c r="G284" s="471" t="str">
        <f>IFERROR(AVERAGE(F284:F285),"")</f>
        <v/>
      </c>
      <c r="H284" s="471" t="str">
        <f>IFERROR(ROUND(AVERAGE(G284:G286),2),"")</f>
        <v/>
      </c>
      <c r="I284" s="445" t="str">
        <f>IF(H284="","",IF(H284&gt;0.69,"Functioning",IF(H284&gt;0.29,"Functioning At Risk",IF(H284&gt;-1,"Not Functioning"))))</f>
        <v/>
      </c>
      <c r="J284" s="462"/>
    </row>
    <row r="285" spans="1:10" ht="15.75" x14ac:dyDescent="0.25">
      <c r="A285" s="467"/>
      <c r="B285" s="470"/>
      <c r="C285" s="97" t="s">
        <v>228</v>
      </c>
      <c r="D285" s="102"/>
      <c r="E285" s="33"/>
      <c r="F285" s="237" t="str">
        <f>IF(E285="","",IF(LEFT(D270,1)="B",IF(E285&lt;=1,0,IF(E285&gt;=2.2,1,ROUND(IF(E285&lt;1.4,E285*'Reference Curves'!$G$19+'Reference Curves'!$G$20,E285*'Reference Curves'!$H$19+'Reference Curves'!$H$20),2))),
IF(LEFT(D270,1)="C",IF(E285&lt;1.7,0,IF(E285&gt;=4.4,1,ROUND(IF(E285&gt;2.4,E285*'Reference Curves'!$H$9+'Reference Curves'!$H$10,E285*'Reference Curves'!$G$9+'Reference Curves'!$G$10),2))),
IF(LEFT(D270,1)="E",IF(E285&lt;1.7,0,IF(E285&gt;=6.5,1,ROUND(IF(E285&gt;2.4,E285*'Reference Curves'!$H$14+'Reference Curves'!$H$15,E285*'Reference Curves'!$G$14+'Reference Curves'!$G$15),2)))))))</f>
        <v/>
      </c>
      <c r="G285" s="472"/>
      <c r="H285" s="473"/>
      <c r="I285" s="446"/>
      <c r="J285" s="462"/>
    </row>
    <row r="286" spans="1:10" ht="15.75" x14ac:dyDescent="0.25">
      <c r="A286" s="468"/>
      <c r="B286" s="219" t="s">
        <v>229</v>
      </c>
      <c r="C286" s="96" t="s">
        <v>230</v>
      </c>
      <c r="D286" s="13"/>
      <c r="E286" s="32"/>
      <c r="F286" s="122" t="str">
        <f>IF(E286="","",IF(E286&gt;=180,0, IF(E286=100,1, ROUND(IF(E286&gt;100,E286*'Reference Curves'!$H$25+'Reference Curves'!$H$26, IF(E284&gt;1.2,IF(E286 &lt;=20,0, E286*'Reference Curves'!$G$25+'Reference Curves'!$G$26),1)),2))))</f>
        <v/>
      </c>
      <c r="G286" s="269" t="str">
        <f>IFERROR(AVERAGE(F286),"")</f>
        <v/>
      </c>
      <c r="H286" s="472"/>
      <c r="I286" s="447"/>
      <c r="J286" s="462"/>
    </row>
    <row r="287" spans="1:10" ht="15.75" x14ac:dyDescent="0.25">
      <c r="A287" s="474" t="s">
        <v>16</v>
      </c>
      <c r="B287" s="270" t="s">
        <v>231</v>
      </c>
      <c r="C287" s="220" t="s">
        <v>232</v>
      </c>
      <c r="D287" s="221"/>
      <c r="E287" s="46"/>
      <c r="F287" s="238" t="str">
        <f>IF(E287="","",IF(F271="Alaska Range",ROUND(IF(E287&lt;=0.05,0, IF(E287&gt;=6.3,1,IF(E287&lt;=1.5,'Reference Curves'!$K$5*E287+'Reference Curves'!$K$6, 'Reference Curves'!$L$5*E287+'Reference Curves'!$L$6))),2),
IF(F271="Brooks Range",ROUND(IF(E287&gt;=4.2,1,IF(E287&lt;0.03,0, IF(E287&lt;=1.2,'Reference Curves'!$M$5*E287+'Reference Curves'!$M$6, 'Reference Curves'!$N$5*E287+'Reference Curves'!$N$6))),2),
IF(OR(F271="Interior Bottomlands", F271="Yukon Flats"),ROUND(IF(E287&gt;=54.5,1,IF(E287&lt;=3.7,'Reference Curves'!$K$11*E287+'Reference Curves'!$K$12, IF(E287&lt;4.7,  'Reference Curves'!$L$11*E287+'Reference Curves'!$L$12,  'Reference Curves'!$M$11*E287+'Reference Curves'!$M$12))),2),
IF(OR(F271="Interior Forested Lowlands/Uplands",F271="Interior Highlands"),ROUND(IF(E287=0,0,IF(E287&gt;=24.1,1,IF(E287&lt;=1.3,'Reference Curves'!$N$11*E287+'Reference Curves'!$N$12, 'Reference Curves'!$O$11*E287+'Reference Curves'!$O$12))),2))))))</f>
        <v/>
      </c>
      <c r="G287" s="265" t="str">
        <f>IFERROR(AVERAGE(F287:F287),"")</f>
        <v/>
      </c>
      <c r="H287" s="476" t="str">
        <f>IFERROR(ROUND(AVERAGE(G287:G297),2),"")</f>
        <v/>
      </c>
      <c r="I287" s="479" t="str">
        <f>IF(H287="","",IF(H287&gt;0.69,"Functioning",IF(H287&gt;0.29,"Functioning At Risk",IF(H287&gt;-1,"Not Functioning"))))</f>
        <v/>
      </c>
      <c r="J287" s="462"/>
    </row>
    <row r="288" spans="1:10" ht="15.75" x14ac:dyDescent="0.25">
      <c r="A288" s="475"/>
      <c r="B288" s="475" t="s">
        <v>99</v>
      </c>
      <c r="C288" s="16" t="s">
        <v>37</v>
      </c>
      <c r="D288" s="100"/>
      <c r="E288" s="234"/>
      <c r="F288" s="123" t="str">
        <f>IF(E288="","",IF(OR(E288="Ex/Ex",E288="Ex/VH",E288="Ex/H",E288="Ex/M",E288="VH/Ex",E288="VH/VH", E288="H/Ex",E288="H/VH"),0,
IF(OR(E288="M/Ex"),0.1,
IF(OR(E288="VH/H",E288="VH/M",E288="H/H",E288="H/M", E288="M/VH"),0.2,
IF(OR(E288="Ex/VL",E288="Ex/L", E288="M/H"),0.3,
IF(OR(E288="VH/L",E288="H/L"),0.4,
IF(OR(E288="VH/VL",E288="H/VL",E288="M/M"),0.5,
IF(OR(E288="M/L",E288="L/Ex"),0.6,
IF(OR(E288="M/VL",E288="L/VH", E288="L/H",E288="L/M",E288="L/L",E288="L/VL", LEFT(E288,2)="VL"),1)))))))))</f>
        <v/>
      </c>
      <c r="G288" s="476" t="str">
        <f>IFERROR(IF(E290&gt;=50,0,AVERAGE(F288:F290)),"")</f>
        <v/>
      </c>
      <c r="H288" s="477"/>
      <c r="I288" s="480"/>
      <c r="J288" s="462"/>
    </row>
    <row r="289" spans="1:10" ht="15.75" x14ac:dyDescent="0.25">
      <c r="A289" s="475"/>
      <c r="B289" s="475"/>
      <c r="C289" s="98" t="s">
        <v>48</v>
      </c>
      <c r="D289" s="230"/>
      <c r="E289" s="32"/>
      <c r="F289" s="123" t="str">
        <f>IF(E289="","",ROUND(IF(E289&gt;=75,0,IF(E289&lt;=5,1,IF(E289&gt;10,E289*'Reference Curves'!K$17+'Reference Curves'!K$18,'Reference Curves'!$L$17*E289+'Reference Curves'!$L$18))),2))</f>
        <v/>
      </c>
      <c r="G289" s="477"/>
      <c r="H289" s="477"/>
      <c r="I289" s="480"/>
      <c r="J289" s="462"/>
    </row>
    <row r="290" spans="1:10" ht="15.75" x14ac:dyDescent="0.25">
      <c r="A290" s="475"/>
      <c r="B290" s="482"/>
      <c r="C290" s="99" t="s">
        <v>233</v>
      </c>
      <c r="D290" s="231"/>
      <c r="E290" s="33"/>
      <c r="F290" s="124" t="str">
        <f>IF(E290="","",IF(E290&gt;=30,0,ROUND(E290*'Reference Curves'!$K$22+'Reference Curves'!$K$23,2)))</f>
        <v/>
      </c>
      <c r="G290" s="478"/>
      <c r="H290" s="477"/>
      <c r="I290" s="480"/>
      <c r="J290" s="462"/>
    </row>
    <row r="291" spans="1:10" ht="15.75" x14ac:dyDescent="0.25">
      <c r="A291" s="475"/>
      <c r="B291" s="268" t="s">
        <v>234</v>
      </c>
      <c r="C291" s="17" t="s">
        <v>235</v>
      </c>
      <c r="D291" s="100"/>
      <c r="E291" s="33"/>
      <c r="F291" s="123" t="str">
        <f>IF(E291="","",IF(OR(D272="Cobble",D272="Boulders",D272="Bedrock"),ROUND(IF(E291&lt;=0,1,IF(E291&gt;=13.7,0, IF(E291&gt;5,E291*'Reference Curves'!$M$29+'Reference Curves'!$M$30,  E291*'Reference Curves'!$N$29+'Reference Curves'!$N$30))),2),
IF(D272="Gravel",ROUND(IF(E291&lt;=3,1,IF(E291&gt;=54,0, IF(E291&gt;15,E291*'Reference Curves'!$K$29+'Reference Curves'!$K$30,  E291*'Reference Curves'!$L$29+'Reference Curves'!$L$30))),2))))</f>
        <v/>
      </c>
      <c r="G291" s="265" t="str">
        <f>IFERROR(AVERAGE(F291:F291),"")</f>
        <v/>
      </c>
      <c r="H291" s="477"/>
      <c r="I291" s="480"/>
      <c r="J291" s="462"/>
    </row>
    <row r="292" spans="1:10" ht="15.75" x14ac:dyDescent="0.25">
      <c r="A292" s="475"/>
      <c r="B292" s="474" t="s">
        <v>39</v>
      </c>
      <c r="C292" s="14" t="s">
        <v>236</v>
      </c>
      <c r="D292" s="18"/>
      <c r="E292" s="35"/>
      <c r="F292" s="125" t="str">
        <f>IF(E292="","",IF(D270="Bc",IF(E292&gt;=12,0,IF(E292&lt;=3.4,1,ROUND('Reference Curves'!$K$39*E292+'Reference Curves'!$K$40,2))),
IF(OR(D270="B",D270="Ba"),IF(E292&gt;=6,0,IF(E292&lt;=2,1,ROUND(IF(E292&gt;3.9,'Reference Curves'!$K$35*E292+'Reference Curves'!$K$36,'Reference Curves'!$L$35*E292+'Reference Curves'!$L$36),2))),
IF(LEFT(D270,1)="C",IF(OR(E292&gt;=9.3,E292&lt;=3),0,IF(AND(E292&gt;=4,E292&lt;=6),1,ROUND(IF(E292&lt;4,'Reference Curves'!$K$49*E292+'Reference Curves'!$K$50,'Reference Curves'!$L$49*E292+'Reference Curves'!$L$50),2))),
IF(D270="E",IF(OR(E292&gt;=8.3,E292&lt;=1.8),0,IF(AND(E292&gt;=3.5,E292&lt;=5),1,ROUND(IF(E292&lt;3.5,'Reference Curves'!$K$44*E292+'Reference Curves'!$K$45,'Reference Curves'!$L$44*E292+'Reference Curves'!$L$45),2)))      )))))</f>
        <v/>
      </c>
      <c r="G292" s="483" t="str">
        <f>IFERROR(AVERAGE(F292:F294),"")</f>
        <v/>
      </c>
      <c r="H292" s="477"/>
      <c r="I292" s="480"/>
      <c r="J292" s="462"/>
    </row>
    <row r="293" spans="1:10" ht="15.75" x14ac:dyDescent="0.25">
      <c r="A293" s="475"/>
      <c r="B293" s="475"/>
      <c r="C293" s="16" t="s">
        <v>237</v>
      </c>
      <c r="D293" s="100"/>
      <c r="E293" s="34"/>
      <c r="F293" s="126" t="str">
        <f>IF(E293="","",ROUND(IF(E293&lt;=1,0, IF(OR(D270="B", D270="Ba"), IF(E293&gt;=2.8,1,IF(E293&gt;=1.8,'Reference Curves'!$L$56*E293+'Reference Curves'!$L$57,'Reference Curves'!$K$56*E293+'Reference Curves'!$K$57)),IF(E293&gt;=3.2,1,IF(E293&gt;=2.2,'Reference Curves'!$N$56*E293+'Reference Curves'!$N$57,'Reference Curves'!$M$56*E293+'Reference Curves'!$M$57)))),2))</f>
        <v/>
      </c>
      <c r="G293" s="484"/>
      <c r="H293" s="477"/>
      <c r="I293" s="480"/>
      <c r="J293" s="462"/>
    </row>
    <row r="294" spans="1:10" ht="15.75" x14ac:dyDescent="0.25">
      <c r="A294" s="475"/>
      <c r="B294" s="475"/>
      <c r="C294" s="16" t="s">
        <v>79</v>
      </c>
      <c r="D294" s="100"/>
      <c r="E294" s="34"/>
      <c r="F294" s="266" t="str">
        <f>IF(E294="","",IF(D271&gt;=3,IF(OR(E294&lt;=0,E294&gt;=100),0,IF(AND(E294&gt;=68,E294&lt;=85),1,IF(E294&lt;68,IF(E294&lt;62,ROUND(E294*'Reference Curves'!$K$69+'Reference Curves'!$K$70,2),ROUND(E294*'Reference Curves'!$L$69+'Reference Curves'!$L$70,2)),
IF(E294&gt;87,ROUND(E294*'Reference Curves'!$M$69+'Reference Curves'!$M$70,2),ROUND(E294*'Reference Curves'!$N$69+'Reference Curves'!$N$70,2))))),
IF(D271&lt;&gt;0,IF(OR(E294&lt;=0,E294&gt;=100),0,IF(AND(E294&lt;=60,E294&gt;=50),1,IF(E294&lt;50,IF(E294&lt;39,ROUND(E294*'Reference Curves'!$K$63+'Reference Curves'!$K$64,2),ROUND(E294*'Reference Curves'!$L$63+'Reference Curves'!$L$64,2)),
IF(E294&gt;69,ROUND(E294*'Reference Curves'!$M$63+'Reference Curves'!$M$64,2),ROUND(E294*'Reference Curves'!$N$63+'Reference Curves'!$N$64,2))))))))</f>
        <v/>
      </c>
      <c r="G294" s="484"/>
      <c r="H294" s="477"/>
      <c r="I294" s="480"/>
      <c r="J294" s="462"/>
    </row>
    <row r="295" spans="1:10" ht="15.75" x14ac:dyDescent="0.25">
      <c r="A295" s="475"/>
      <c r="B295" s="474" t="s">
        <v>38</v>
      </c>
      <c r="C295" s="14" t="s">
        <v>238</v>
      </c>
      <c r="D295" s="41"/>
      <c r="E295" s="15"/>
      <c r="F295" s="127" t="str">
        <f>IF( E295="","",
IF( F270="Unconfined Alluvial", IF( E295&gt;=100,1,
ROUND('Reference Curves'!$K$76*E295+'Reference Curves'!$K$77,2) ),
IF( OR(F270="Confined Alluvial", F270="Colluvial/V-Shaped"), ( IF(E295&gt;=100,1,
IF(E295&gt;=60, ROUND('Reference Curves'!$M$76*E295+'Reference Curves'!$M$77,2), ROUND('Reference Curves'!$L$76*E295+'Reference Curves'!$L$77,2) ) ) ) ) ) )</f>
        <v/>
      </c>
      <c r="G295" s="476" t="str">
        <f>IFERROR(AVERAGE(F295:F297),"")</f>
        <v/>
      </c>
      <c r="H295" s="477"/>
      <c r="I295" s="480"/>
      <c r="J295" s="462"/>
    </row>
    <row r="296" spans="1:10" ht="15.75" x14ac:dyDescent="0.25">
      <c r="A296" s="475"/>
      <c r="B296" s="475"/>
      <c r="C296" s="16" t="s">
        <v>202</v>
      </c>
      <c r="D296" s="57"/>
      <c r="E296" s="65"/>
      <c r="F296" s="126" t="str">
        <f>IF(E296="","",IF(OR(F271="Alaska Range",F271="Brooks Range"),ROUND(IF(E296&gt;=1.57,1,IF(E296&lt;=0.06,'Reference Curves'!$K$83*E296+'Reference Curves'!$K$84, IF(E296&lt;0.83, 'Reference Curves'!$L$83*E296+'Reference Curves'!$L$84, 'Reference Curves'!$M$83*E296+'Reference Curves'!$M$84))),2),
IF(F271="Interior Highlands",ROUND(IF(E296&gt;=1.67,1,IF(E296&lt;=0.94,'Reference Curves'!$N$83*E296+'Reference Curves'!$N$84, IF(E296&lt;1.21, 'Reference Curves'!$O$83*E296+'Reference Curves'!$O$84, 'Reference Curves'!$P$83*E296+'Reference Curves'!$P$84))),2),
IF(OR(F271="Interior Bottomlands",F271="Yukon Flats"),ROUND(IF(E296&gt;=1.82,1,IF(E296&lt;=1.19,'Reference Curves'!$K$89*E296+'Reference Curves'!$K$90, IF(E296&lt;1.37, 'Reference Curves'!$L$89*E296+'Reference Curves'!$L$90, 'Reference Curves'!$M$89*E296+'Reference Curves'!$M$90))),2),
IF(F271="Interior Forested Lowlands/Uplands",ROUND(IF(E296&gt;=1.87,1,IF(E296&lt;=1.24,'Reference Curves'!$N$89*E296+'Reference Curves'!$N$90, IF(E296&lt;1.45, 'Reference Curves'!$O$89*E296+'Reference Curves'!$O$90, 'Reference Curves'!$P$89*E296+'Reference Curves'!$P$90))),2))))))</f>
        <v/>
      </c>
      <c r="G296" s="477"/>
      <c r="H296" s="477"/>
      <c r="I296" s="480"/>
      <c r="J296" s="462"/>
    </row>
    <row r="297" spans="1:10" ht="15.75" x14ac:dyDescent="0.25">
      <c r="A297" s="475"/>
      <c r="B297" s="475"/>
      <c r="C297" s="16" t="s">
        <v>239</v>
      </c>
      <c r="D297" s="57"/>
      <c r="E297" s="65"/>
      <c r="F297" s="266" t="str">
        <f>IF(E297="","",IF(E297&lt;83.5,0,IF(E297&gt;=100,1,ROUND(E297*'Reference Curves'!$K$94+'Reference Curves'!$K$95,2))))</f>
        <v/>
      </c>
      <c r="G297" s="478"/>
      <c r="H297" s="478"/>
      <c r="I297" s="481"/>
      <c r="J297" s="462"/>
    </row>
    <row r="298" spans="1:10" ht="15.75" x14ac:dyDescent="0.25">
      <c r="A298" s="485" t="s">
        <v>41</v>
      </c>
      <c r="B298" s="223" t="s">
        <v>115</v>
      </c>
      <c r="C298" s="224" t="s">
        <v>340</v>
      </c>
      <c r="D298" s="225"/>
      <c r="E298" s="28"/>
      <c r="F298" s="232" t="str">
        <f>IF(E298="","", IF(E298&lt;=1.1,1, IF(E298 &gt;1.315,0, ROUND(E298*'Reference Curves'!R$3+'Reference Curves'!R$4,2))))</f>
        <v/>
      </c>
      <c r="G298" s="267" t="str">
        <f>IFERROR(AVERAGE(F298:F298),"")</f>
        <v/>
      </c>
      <c r="H298" s="488">
        <f>IF(OR(G298&lt;&gt;"",G299&lt;&gt;"",G300&lt;&gt;""),ROUND(AVERAGE(G298:G300),2),'Debit Calculator'!$F$28)</f>
        <v>1</v>
      </c>
      <c r="I298" s="436" t="str">
        <f>IF(H298="","",IF(H298&gt;0.69,"Functioning",IF(H298&gt;0.29,"Functioning At Risk",IF(H298&gt;-1,"Not Functioning"))))</f>
        <v>Functioning</v>
      </c>
      <c r="J298" s="462"/>
    </row>
    <row r="299" spans="1:10" ht="15.75" x14ac:dyDescent="0.25">
      <c r="A299" s="486"/>
      <c r="B299" s="223" t="s">
        <v>240</v>
      </c>
      <c r="C299" s="224" t="s">
        <v>341</v>
      </c>
      <c r="D299" s="225"/>
      <c r="E299" s="46"/>
      <c r="F299" s="240" t="str">
        <f>IF(E299="","",ROUND( IF(E299&lt;=3,1, IF(E299&gt;=100,0,IF(E299&gt;10, E299*'Reference Curves'!$R$9+'Reference Curves'!$R$10,E299*'Reference Curves'!$S$9+'Reference Curves'!$S$10))),2))</f>
        <v/>
      </c>
      <c r="G299" s="232" t="str">
        <f>IFERROR(AVERAGE(F299),"")</f>
        <v/>
      </c>
      <c r="H299" s="489"/>
      <c r="I299" s="436"/>
      <c r="J299" s="462"/>
    </row>
    <row r="300" spans="1:10" ht="15.75" x14ac:dyDescent="0.25">
      <c r="A300" s="487"/>
      <c r="B300" s="223" t="s">
        <v>241</v>
      </c>
      <c r="C300" s="226" t="s">
        <v>355</v>
      </c>
      <c r="D300" s="227"/>
      <c r="E300" s="46"/>
      <c r="F300" s="232" t="str">
        <f>IF(E300="","", IF(E300&gt;=75,1, IF(E300 &lt;19,0, ROUND(E300*'Reference Curves'!R$14+'Reference Curves'!R$15,2))))</f>
        <v/>
      </c>
      <c r="G300" s="232" t="str">
        <f>IFERROR(AVERAGE(F300),"")</f>
        <v/>
      </c>
      <c r="H300" s="490"/>
      <c r="I300" s="436"/>
      <c r="J300" s="462"/>
    </row>
    <row r="301" spans="1:10" ht="15.75" x14ac:dyDescent="0.25">
      <c r="A301" s="437" t="s">
        <v>42</v>
      </c>
      <c r="B301" s="228" t="s">
        <v>80</v>
      </c>
      <c r="C301" s="229" t="s">
        <v>366</v>
      </c>
      <c r="D301" s="26"/>
      <c r="E301" s="28"/>
      <c r="F301" s="128" t="str">
        <f>IF(E301="","",ROUND( IF(E301&gt;=81,0, IF(E301&lt;=36,1,IF(E301&gt;62, E301*'Reference Curves'!$V$4+'Reference Curves'!$V$5,IF(E301&gt;43, E301*'Reference Curves'!$W$4+'Reference Curves'!$W$5,E301*'Reference Curves'!$X$4+'Reference Curves'!$X$5)))),2))</f>
        <v/>
      </c>
      <c r="G301" s="104" t="str">
        <f>IFERROR(AVERAGE(F301),"")</f>
        <v/>
      </c>
      <c r="H301" s="440">
        <f>IF(OR(G301&lt;&gt;"",G302&lt;&gt;""),ROUND(AVERAGE(G301:G304),2),'Debit Calculator'!$F$28)</f>
        <v>1</v>
      </c>
      <c r="I301" s="436" t="str">
        <f>IF(H301="","",IF(H301&gt;0.69,"Functioning",IF(H301&gt;0.29,"Functioning At Risk",IF(H301&gt;-1,"Not Functioning"))))</f>
        <v>Functioning</v>
      </c>
      <c r="J301" s="462"/>
    </row>
    <row r="302" spans="1:10" ht="15.75" x14ac:dyDescent="0.25">
      <c r="A302" s="438"/>
      <c r="B302" s="437" t="s">
        <v>45</v>
      </c>
      <c r="C302" s="229" t="s">
        <v>242</v>
      </c>
      <c r="D302" s="26"/>
      <c r="E302" s="35"/>
      <c r="F302" s="104" t="str">
        <f>IF(E302="","",IF(F272="Anadromous", IF(E302&lt;=0,0,IF(E302&gt;=100,1,ROUND(IF(E302&lt;80,E302*'Reference Curves'!$V$11+'Reference Curves'!$V$12,E302*'Reference Curves'!$W$11+'Reference Curves'!$W$12),2))),
IF(F272="Non-anadromous", IF(E302&lt;=0,0,IF(E302&gt;=100,1,ROUND(IF(E302&lt;60,E302*'Reference Curves'!$X$11+'Reference Curves'!$X$12,E302*'Reference Curves'!$Y$11+'Reference Curves'!$Y$12),2))))))</f>
        <v/>
      </c>
      <c r="G302" s="441" t="str">
        <f>IFERROR(AVERAGE(F302:F304),"")</f>
        <v/>
      </c>
      <c r="H302" s="440"/>
      <c r="I302" s="436"/>
      <c r="J302" s="462"/>
    </row>
    <row r="303" spans="1:10" s="4" customFormat="1" ht="15.75" x14ac:dyDescent="0.25">
      <c r="A303" s="438"/>
      <c r="B303" s="438"/>
      <c r="C303" s="294" t="s">
        <v>322</v>
      </c>
      <c r="D303" s="295"/>
      <c r="E303" s="34"/>
      <c r="F303" s="104" t="str">
        <f>IF(E303="","", IF(E303&lt;=0,0,IF(E303&gt;=0.9,1,ROUND(E303*'Reference Curves'!$V$16+'Reference Curves'!$V$17,2))))</f>
        <v/>
      </c>
      <c r="G303" s="491"/>
      <c r="H303" s="440"/>
      <c r="I303" s="436"/>
      <c r="J303" s="462"/>
    </row>
    <row r="304" spans="1:10" ht="15.75" x14ac:dyDescent="0.25">
      <c r="A304" s="439"/>
      <c r="B304" s="439"/>
      <c r="C304" s="101" t="s">
        <v>243</v>
      </c>
      <c r="D304" s="103"/>
      <c r="E304" s="36"/>
      <c r="F304" s="128" t="str">
        <f>IF(E304="","", IF(E304&lt;=0,0,IF(E304&gt;=0.9,1,ROUND(E304*'Reference Curves'!$V$16+'Reference Curves'!$V$17,2))))</f>
        <v/>
      </c>
      <c r="G304" s="443"/>
      <c r="H304" s="440"/>
      <c r="I304" s="436"/>
      <c r="J304" s="463"/>
    </row>
    <row r="305" spans="1:10" x14ac:dyDescent="0.25">
      <c r="A305" s="4"/>
      <c r="B305" s="4"/>
      <c r="C305" s="4"/>
      <c r="E305" s="4"/>
      <c r="F305" s="4"/>
      <c r="H305" s="4"/>
      <c r="J305" s="3"/>
    </row>
    <row r="306" spans="1:10" x14ac:dyDescent="0.25">
      <c r="A306" s="4"/>
      <c r="B306" s="4"/>
      <c r="C306" s="4"/>
      <c r="E306" s="4"/>
      <c r="F306" s="4"/>
      <c r="H306" s="4"/>
      <c r="J306" s="4"/>
    </row>
    <row r="307" spans="1:10" ht="21" x14ac:dyDescent="0.25">
      <c r="A307" s="495" t="s">
        <v>167</v>
      </c>
      <c r="B307" s="496"/>
      <c r="C307" s="496"/>
      <c r="D307" s="496"/>
      <c r="E307" s="496"/>
      <c r="F307" s="496"/>
      <c r="G307" s="496"/>
      <c r="H307" s="496"/>
      <c r="I307" s="496"/>
      <c r="J307" s="497"/>
    </row>
    <row r="308" spans="1:10" ht="15.75" x14ac:dyDescent="0.25">
      <c r="A308" s="115" t="s">
        <v>59</v>
      </c>
      <c r="B308" s="130" t="str">
        <f>IF('Project Assessment'!A18="","",'Project Assessment'!A18)</f>
        <v/>
      </c>
      <c r="C308" s="115" t="s">
        <v>168</v>
      </c>
      <c r="D308" s="251"/>
      <c r="E308" s="250" t="s">
        <v>73</v>
      </c>
      <c r="F308" s="498"/>
      <c r="G308" s="498"/>
      <c r="H308" s="493" t="s">
        <v>102</v>
      </c>
      <c r="I308" s="494"/>
      <c r="J308" s="116"/>
    </row>
    <row r="309" spans="1:10" ht="15.75" x14ac:dyDescent="0.25">
      <c r="A309" s="134" t="s">
        <v>212</v>
      </c>
      <c r="B309" s="130" t="str">
        <f>IF('Project Assessment'!B18="","",'Project Assessment'!B18)</f>
        <v/>
      </c>
      <c r="C309" s="250" t="s">
        <v>359</v>
      </c>
      <c r="D309" s="138"/>
      <c r="E309" s="250" t="s">
        <v>156</v>
      </c>
      <c r="F309" s="498"/>
      <c r="G309" s="498"/>
      <c r="H309" s="493" t="s">
        <v>103</v>
      </c>
      <c r="I309" s="494"/>
      <c r="J309" s="116"/>
    </row>
    <row r="310" spans="1:10" ht="15.75" x14ac:dyDescent="0.25">
      <c r="A310" s="119" t="s">
        <v>157</v>
      </c>
      <c r="B310" s="130" t="str">
        <f>IF('Project Assessment'!C18="","",'Project Assessment'!C18)</f>
        <v/>
      </c>
      <c r="C310" s="239" t="s">
        <v>360</v>
      </c>
      <c r="D310" s="251"/>
      <c r="E310" s="250" t="s">
        <v>220</v>
      </c>
      <c r="F310" s="498"/>
      <c r="G310" s="498"/>
      <c r="H310" s="493" t="s">
        <v>104</v>
      </c>
      <c r="I310" s="494"/>
      <c r="J310" s="32"/>
    </row>
    <row r="311" spans="1:10" ht="15.75" x14ac:dyDescent="0.25">
      <c r="A311" s="499"/>
      <c r="B311" s="500"/>
      <c r="C311" s="233" t="s">
        <v>155</v>
      </c>
      <c r="D311" s="251"/>
      <c r="E311" s="502"/>
      <c r="F311" s="503"/>
      <c r="G311" s="504"/>
      <c r="H311" s="493" t="s">
        <v>105</v>
      </c>
      <c r="I311" s="494"/>
      <c r="J311" s="116"/>
    </row>
    <row r="312" spans="1:10" ht="5.25" customHeight="1" x14ac:dyDescent="0.25">
      <c r="A312" s="4"/>
      <c r="B312" s="50"/>
      <c r="C312" s="50"/>
      <c r="D312" s="50"/>
      <c r="E312" s="50"/>
      <c r="F312" s="50"/>
      <c r="G312" s="50"/>
      <c r="H312" s="50"/>
      <c r="I312" s="48"/>
      <c r="J312" s="9"/>
    </row>
    <row r="313" spans="1:10" ht="21" x14ac:dyDescent="0.35">
      <c r="A313" s="492" t="str">
        <f>_xlfn.CONCAT("EXISTING CONDITION ASSESSMENT for Reach ",B308)</f>
        <v xml:space="preserve">EXISTING CONDITION ASSESSMENT for Reach </v>
      </c>
      <c r="B313" s="492"/>
      <c r="C313" s="492"/>
      <c r="D313" s="492"/>
      <c r="E313" s="492"/>
      <c r="F313" s="492"/>
      <c r="G313" s="492" t="s">
        <v>10</v>
      </c>
      <c r="H313" s="492"/>
      <c r="I313" s="492"/>
      <c r="J313" s="492"/>
    </row>
    <row r="314" spans="1:10" ht="15.75" x14ac:dyDescent="0.25">
      <c r="A314" s="30" t="s">
        <v>1</v>
      </c>
      <c r="B314" s="30" t="s">
        <v>2</v>
      </c>
      <c r="C314" s="448" t="s">
        <v>316</v>
      </c>
      <c r="D314" s="449"/>
      <c r="E314" s="30" t="s">
        <v>8</v>
      </c>
      <c r="F314" s="29" t="s">
        <v>9</v>
      </c>
      <c r="G314" s="30" t="s">
        <v>11</v>
      </c>
      <c r="H314" s="30" t="s">
        <v>12</v>
      </c>
      <c r="I314" s="49" t="s">
        <v>12</v>
      </c>
      <c r="J314" s="271" t="s">
        <v>85</v>
      </c>
    </row>
    <row r="315" spans="1:10" ht="15.75" x14ac:dyDescent="0.25">
      <c r="A315" s="450" t="s">
        <v>223</v>
      </c>
      <c r="B315" s="453" t="s">
        <v>224</v>
      </c>
      <c r="C315" s="212" t="s">
        <v>114</v>
      </c>
      <c r="D315" s="215"/>
      <c r="E315" s="35"/>
      <c r="F315" s="218" t="str">
        <f>IF(E315="","",IF(E315&gt;=86,0,IF(E315&lt;=9,1,ROUND(IF(E315&gt;22,E315*'Reference Curves'!B$4+'Reference Curves'!B$5, IF(E315&gt;16, E315*'Reference Curves'!C$4+'Reference Curves'!C$5,E315*'Reference Curves'!$D$4+'Reference Curves'!$D$5)),2))))</f>
        <v/>
      </c>
      <c r="G315" s="456" t="str">
        <f>IFERROR(AVERAGE(F315:F317),"")</f>
        <v/>
      </c>
      <c r="H315" s="458" t="str">
        <f>IFERROR(ROUND(AVERAGE(G315:G321),2),"")</f>
        <v/>
      </c>
      <c r="I315" s="445" t="str">
        <f>IF(H315="","",IF(H315&gt;0.69,"Functioning",IF(H315&gt;0.29,"Functioning At Risk",IF(H315&gt;-1,"Not Functioning"))))</f>
        <v/>
      </c>
      <c r="J315" s="461">
        <f>IF(AND(H315="",H322="",H325="",H336="",H339=""),"",ROUND((IF(H315="",0,H315)*0.2)+(IF(H322="",0,H322)*0.2)+(IF(H325="",0,H325)*0.2)+(IF(H336="",0,H336)*0.2)+(IF(H339="",0,H339)*0.2),2))</f>
        <v>0.4</v>
      </c>
    </row>
    <row r="316" spans="1:10" ht="15.75" x14ac:dyDescent="0.25">
      <c r="A316" s="451"/>
      <c r="B316" s="454"/>
      <c r="C316" s="213" t="s">
        <v>221</v>
      </c>
      <c r="D316" s="216"/>
      <c r="E316" s="34"/>
      <c r="F316" s="235" t="str">
        <f>IF(E316="","",IF(E316&gt;=33.5,0,IF(E316=0,1,ROUND(E316*'Reference Curves'!B$9+'Reference Curves'!B$10,2))))</f>
        <v/>
      </c>
      <c r="G316" s="457"/>
      <c r="H316" s="459"/>
      <c r="I316" s="446"/>
      <c r="J316" s="462"/>
    </row>
    <row r="317" spans="1:10" ht="15.75" x14ac:dyDescent="0.25">
      <c r="A317" s="451"/>
      <c r="B317" s="455"/>
      <c r="C317" s="214" t="s">
        <v>222</v>
      </c>
      <c r="D317" s="216"/>
      <c r="E317" s="36"/>
      <c r="F317" s="235" t="str">
        <f>IF(E317="","",IF(E317&gt;=61,0,IF(E317=0,1, ROUND(IF(E317&gt;35,E317*'Reference Curves'!B$15+'Reference Curves'!B$16,  E317*'Reference Curves'!C$15+'Reference Curves'!C$16),2))))</f>
        <v/>
      </c>
      <c r="G317" s="457"/>
      <c r="H317" s="459"/>
      <c r="I317" s="446"/>
      <c r="J317" s="462"/>
    </row>
    <row r="318" spans="1:10" ht="15.75" x14ac:dyDescent="0.25">
      <c r="A318" s="451"/>
      <c r="B318" s="464" t="s">
        <v>63</v>
      </c>
      <c r="C318" s="212" t="s">
        <v>114</v>
      </c>
      <c r="D318" s="215"/>
      <c r="E318" s="34"/>
      <c r="F318" s="218" t="str">
        <f>IF(E318="","",IF(E318&gt;=86,0,IF(E318&lt;=9,1,ROUND(IF(E318&gt;22,E318*'Reference Curves'!B$4+'Reference Curves'!B$5, IF(E318&gt;16, E318*'Reference Curves'!C$4+'Reference Curves'!C$5,E318*'Reference Curves'!$D$4+'Reference Curves'!$D$5)),2))))</f>
        <v/>
      </c>
      <c r="G318" s="456" t="str">
        <f>IFERROR(AVERAGE(F318:F321),"")</f>
        <v/>
      </c>
      <c r="H318" s="459"/>
      <c r="I318" s="446"/>
      <c r="J318" s="462"/>
    </row>
    <row r="319" spans="1:10" ht="15.75" x14ac:dyDescent="0.25">
      <c r="A319" s="451"/>
      <c r="B319" s="464"/>
      <c r="C319" s="213" t="s">
        <v>221</v>
      </c>
      <c r="D319" s="216"/>
      <c r="E319" s="34"/>
      <c r="F319" s="235" t="str">
        <f>IF(E319="","",IF(E319&gt;=33.5,0,IF(E319=0,1,ROUND(E319*'Reference Curves'!B$9+'Reference Curves'!B$10,2))))</f>
        <v/>
      </c>
      <c r="G319" s="457"/>
      <c r="H319" s="459"/>
      <c r="I319" s="446"/>
      <c r="J319" s="462"/>
    </row>
    <row r="320" spans="1:10" ht="15.75" x14ac:dyDescent="0.25">
      <c r="A320" s="451"/>
      <c r="B320" s="464"/>
      <c r="C320" s="213" t="s">
        <v>222</v>
      </c>
      <c r="D320" s="216"/>
      <c r="E320" s="34"/>
      <c r="F320" s="235" t="str">
        <f>IF(E320="","",IF(E320&gt;=61,0,IF(E320=0,1, ROUND(IF(E320&gt;35,E320*'Reference Curves'!B$15+'Reference Curves'!B$16,  E320*'Reference Curves'!C$15+'Reference Curves'!C$16),2))))</f>
        <v/>
      </c>
      <c r="G320" s="457"/>
      <c r="H320" s="459"/>
      <c r="I320" s="446"/>
      <c r="J320" s="462"/>
    </row>
    <row r="321" spans="1:10" ht="15.75" x14ac:dyDescent="0.25">
      <c r="A321" s="452"/>
      <c r="B321" s="465"/>
      <c r="C321" s="214" t="s">
        <v>225</v>
      </c>
      <c r="D321" s="217"/>
      <c r="E321" s="34"/>
      <c r="F321" s="236" t="str">
        <f>IF(E321="","",   IF(E321&gt;3.35,0, IF(E321&lt;0, "", ROUND('Reference Curves'!$B$20*E321+'Reference Curves'!$B$21,2))))</f>
        <v/>
      </c>
      <c r="G321" s="457"/>
      <c r="H321" s="460"/>
      <c r="I321" s="447"/>
      <c r="J321" s="462"/>
    </row>
    <row r="322" spans="1:10" ht="15.75" x14ac:dyDescent="0.25">
      <c r="A322" s="466" t="s">
        <v>226</v>
      </c>
      <c r="B322" s="469" t="s">
        <v>3</v>
      </c>
      <c r="C322" s="95" t="s">
        <v>227</v>
      </c>
      <c r="D322" s="13"/>
      <c r="E322" s="28"/>
      <c r="F322" s="121" t="str">
        <f>IF(E322="","", IF(E322&gt;1.71,0,IF(E322&lt;=1,1, ROUND(E322*'Reference Curves'!G$3+'Reference Curves'!G$4,2))))</f>
        <v/>
      </c>
      <c r="G322" s="471" t="str">
        <f>IFERROR(AVERAGE(F322:F323),"")</f>
        <v/>
      </c>
      <c r="H322" s="471" t="str">
        <f>IFERROR(ROUND(AVERAGE(G322:G324),2),"")</f>
        <v/>
      </c>
      <c r="I322" s="445" t="str">
        <f>IF(H322="","",IF(H322&gt;0.69,"Functioning",IF(H322&gt;0.29,"Functioning At Risk",IF(H322&gt;-1,"Not Functioning"))))</f>
        <v/>
      </c>
      <c r="J322" s="462"/>
    </row>
    <row r="323" spans="1:10" ht="15.75" x14ac:dyDescent="0.25">
      <c r="A323" s="467"/>
      <c r="B323" s="470"/>
      <c r="C323" s="97" t="s">
        <v>228</v>
      </c>
      <c r="D323" s="102"/>
      <c r="E323" s="33"/>
      <c r="F323" s="237" t="str">
        <f>IF(E323="","",IF(LEFT(D308,1)="B",IF(E323&lt;=1,0,IF(E323&gt;=2.2,1,ROUND(IF(E323&lt;1.4,E323*'Reference Curves'!$G$19+'Reference Curves'!$G$20,E323*'Reference Curves'!$H$19+'Reference Curves'!$H$20),2))),
IF(LEFT(D308,1)="C",IF(E323&lt;1.7,0,IF(E323&gt;=4.4,1,ROUND(IF(E323&gt;2.4,E323*'Reference Curves'!$H$9+'Reference Curves'!$H$10,E323*'Reference Curves'!$G$9+'Reference Curves'!$G$10),2))),
IF(LEFT(D308,1)="E",IF(E323&lt;1.7,0,IF(E323&gt;=6.5,1,ROUND(IF(E323&gt;2.4,E323*'Reference Curves'!$H$14+'Reference Curves'!$H$15,E323*'Reference Curves'!$G$14+'Reference Curves'!$G$15),2)))))))</f>
        <v/>
      </c>
      <c r="G323" s="472"/>
      <c r="H323" s="473"/>
      <c r="I323" s="446"/>
      <c r="J323" s="462"/>
    </row>
    <row r="324" spans="1:10" ht="15.75" x14ac:dyDescent="0.25">
      <c r="A324" s="468"/>
      <c r="B324" s="219" t="s">
        <v>229</v>
      </c>
      <c r="C324" s="96" t="s">
        <v>230</v>
      </c>
      <c r="D324" s="13"/>
      <c r="E324" s="32"/>
      <c r="F324" s="122" t="str">
        <f>IF(E324="","",IF(E324&gt;=180,0, IF(E324=100,1, ROUND(IF(E324&gt;100,E324*'Reference Curves'!$H$25+'Reference Curves'!$H$26, IF(E322&gt;1.2,IF(E324 &lt;=20,0, E324*'Reference Curves'!$G$25+'Reference Curves'!$G$26),1)),2))))</f>
        <v/>
      </c>
      <c r="G324" s="269" t="str">
        <f>IFERROR(AVERAGE(F324),"")</f>
        <v/>
      </c>
      <c r="H324" s="472"/>
      <c r="I324" s="447"/>
      <c r="J324" s="462"/>
    </row>
    <row r="325" spans="1:10" ht="15.75" x14ac:dyDescent="0.25">
      <c r="A325" s="474" t="s">
        <v>16</v>
      </c>
      <c r="B325" s="270" t="s">
        <v>231</v>
      </c>
      <c r="C325" s="220" t="s">
        <v>232</v>
      </c>
      <c r="D325" s="221"/>
      <c r="E325" s="46"/>
      <c r="F325" s="238" t="str">
        <f>IF(E325="","",IF(F309="Alaska Range",ROUND(IF(E325&lt;=0.05,0, IF(E325&gt;=6.3,1,IF(E325&lt;=1.5,'Reference Curves'!$K$5*E325+'Reference Curves'!$K$6, 'Reference Curves'!$L$5*E325+'Reference Curves'!$L$6))),2),
IF(F309="Brooks Range",ROUND(IF(E325&gt;=4.2,1,IF(E325&lt;0.03,0, IF(E325&lt;=1.2,'Reference Curves'!$M$5*E325+'Reference Curves'!$M$6, 'Reference Curves'!$N$5*E325+'Reference Curves'!$N$6))),2),
IF(OR(F309="Interior Bottomlands", F309="Yukon Flats"),ROUND(IF(E325&gt;=54.5,1,IF(E325&lt;=3.7,'Reference Curves'!$K$11*E325+'Reference Curves'!$K$12, IF(E325&lt;4.7,  'Reference Curves'!$L$11*E325+'Reference Curves'!$L$12,  'Reference Curves'!$M$11*E325+'Reference Curves'!$M$12))),2),
IF(OR(F309="Interior Forested Lowlands/Uplands",F309="Interior Highlands"),ROUND(IF(E325=0,0,IF(E325&gt;=24.1,1,IF(E325&lt;=1.3,'Reference Curves'!$N$11*E325+'Reference Curves'!$N$12, 'Reference Curves'!$O$11*E325+'Reference Curves'!$O$12))),2))))))</f>
        <v/>
      </c>
      <c r="G325" s="265" t="str">
        <f>IFERROR(AVERAGE(F325:F325),"")</f>
        <v/>
      </c>
      <c r="H325" s="476" t="str">
        <f>IFERROR(ROUND(AVERAGE(G325:G335),2),"")</f>
        <v/>
      </c>
      <c r="I325" s="479" t="str">
        <f>IF(H325="","",IF(H325&gt;0.69,"Functioning",IF(H325&gt;0.29,"Functioning At Risk",IF(H325&gt;-1,"Not Functioning"))))</f>
        <v/>
      </c>
      <c r="J325" s="462"/>
    </row>
    <row r="326" spans="1:10" ht="15.75" x14ac:dyDescent="0.25">
      <c r="A326" s="475"/>
      <c r="B326" s="475" t="s">
        <v>99</v>
      </c>
      <c r="C326" s="16" t="s">
        <v>37</v>
      </c>
      <c r="D326" s="100"/>
      <c r="E326" s="234"/>
      <c r="F326" s="123" t="str">
        <f>IF(E326="","",IF(OR(E326="Ex/Ex",E326="Ex/VH",E326="Ex/H",E326="Ex/M",E326="VH/Ex",E326="VH/VH", E326="H/Ex",E326="H/VH"),0,
IF(OR(E326="M/Ex"),0.1,
IF(OR(E326="VH/H",E326="VH/M",E326="H/H",E326="H/M", E326="M/VH"),0.2,
IF(OR(E326="Ex/VL",E326="Ex/L", E326="M/H"),0.3,
IF(OR(E326="VH/L",E326="H/L"),0.4,
IF(OR(E326="VH/VL",E326="H/VL",E326="M/M"),0.5,
IF(OR(E326="M/L",E326="L/Ex"),0.6,
IF(OR(E326="M/VL",E326="L/VH", E326="L/H",E326="L/M",E326="L/L",E326="L/VL", LEFT(E326,2)="VL"),1)))))))))</f>
        <v/>
      </c>
      <c r="G326" s="476" t="str">
        <f>IFERROR(IF(#REF!&gt;=50,0,AVERAGE(F326:F328)),"")</f>
        <v/>
      </c>
      <c r="H326" s="477"/>
      <c r="I326" s="480"/>
      <c r="J326" s="462"/>
    </row>
    <row r="327" spans="1:10" ht="15.75" x14ac:dyDescent="0.25">
      <c r="A327" s="475"/>
      <c r="B327" s="475"/>
      <c r="C327" s="98" t="s">
        <v>48</v>
      </c>
      <c r="D327" s="230"/>
      <c r="E327" s="32"/>
      <c r="F327" s="123" t="str">
        <f>IF(E327="","",ROUND(IF(E327&gt;=75,0,IF(E327&lt;=5,1,IF(E327&gt;10,E327*'Reference Curves'!K$17+'Reference Curves'!K$18,'Reference Curves'!$L$17*E327+'Reference Curves'!$L$18))),2))</f>
        <v/>
      </c>
      <c r="G327" s="477"/>
      <c r="H327" s="477"/>
      <c r="I327" s="480"/>
      <c r="J327" s="462"/>
    </row>
    <row r="328" spans="1:10" ht="15.75" x14ac:dyDescent="0.25">
      <c r="A328" s="475"/>
      <c r="B328" s="482"/>
      <c r="C328" s="99" t="s">
        <v>233</v>
      </c>
      <c r="D328" s="231"/>
      <c r="E328" s="33"/>
      <c r="F328" s="124" t="str">
        <f>IF(E328="","",IF(E328&gt;=30,0,ROUND(E328*'Reference Curves'!$K$22+'Reference Curves'!$K$23,2)))</f>
        <v/>
      </c>
      <c r="G328" s="478"/>
      <c r="H328" s="477"/>
      <c r="I328" s="480"/>
      <c r="J328" s="462"/>
    </row>
    <row r="329" spans="1:10" ht="15.75" x14ac:dyDescent="0.25">
      <c r="A329" s="475"/>
      <c r="B329" s="268" t="s">
        <v>234</v>
      </c>
      <c r="C329" s="17" t="s">
        <v>235</v>
      </c>
      <c r="D329" s="100"/>
      <c r="E329" s="33"/>
      <c r="F329" s="123" t="str">
        <f>IF(E329="","",IF(OR(D310="Cobble",D310="Boulders",D310="Bedrock"),ROUND(IF(E329&lt;=0,1,IF(E329&gt;=13.7,0, IF(E329&gt;5,E329*'Reference Curves'!$M$29+'Reference Curves'!$M$30,  E329*'Reference Curves'!$N$29+'Reference Curves'!$N$30))),2),
IF(D310="Gravel",ROUND(IF(E329&lt;=3,1,IF(E329&gt;=54,0, IF(E329&gt;15,E329*'Reference Curves'!$K$29+'Reference Curves'!$K$30,  E329*'Reference Curves'!$L$29+'Reference Curves'!$L$30))),2))))</f>
        <v/>
      </c>
      <c r="G329" s="265" t="str">
        <f>IFERROR(AVERAGE(F329:F329),"")</f>
        <v/>
      </c>
      <c r="H329" s="477"/>
      <c r="I329" s="480"/>
      <c r="J329" s="462"/>
    </row>
    <row r="330" spans="1:10" ht="15.75" x14ac:dyDescent="0.25">
      <c r="A330" s="475"/>
      <c r="B330" s="474" t="s">
        <v>39</v>
      </c>
      <c r="C330" s="14" t="s">
        <v>236</v>
      </c>
      <c r="D330" s="18"/>
      <c r="E330" s="35"/>
      <c r="F330" s="125" t="str">
        <f>IF(E330="","",IF(D308="Bc",IF(E330&gt;=12,0,IF(E330&lt;=3.4,1,ROUND('Reference Curves'!$K$39*E330+'Reference Curves'!$K$40,2))),
IF(OR(D308="B",D308="Ba"),IF(E330&gt;=6,0,IF(E330&lt;=2,1,ROUND(IF(E330&gt;3.9,'Reference Curves'!$K$35*E330+'Reference Curves'!$K$36,'Reference Curves'!$L$35*E330+'Reference Curves'!$L$36),2))),
IF(LEFT(D308,1)="C",IF(OR(E330&gt;=9.3,E330&lt;=3),0,IF(AND(E330&gt;=4,E330&lt;=6),1,ROUND(IF(E330&lt;4,'Reference Curves'!$K$49*E330+'Reference Curves'!$K$50,'Reference Curves'!$L$49*E330+'Reference Curves'!$L$50),2))),
IF(D308="E",IF(OR(E330&gt;=8.3,E330&lt;=1.8),0,IF(AND(E330&gt;=3.5,E330&lt;=5),1,ROUND(IF(E330&lt;3.5,'Reference Curves'!$K$44*E330+'Reference Curves'!$K$45,'Reference Curves'!$L$44*E330+'Reference Curves'!$L$45),2)))      )))))</f>
        <v/>
      </c>
      <c r="G330" s="476" t="str">
        <f>IFERROR(IF(E332&gt;=50,0,AVERAGE(F330:F332)),"")</f>
        <v/>
      </c>
      <c r="H330" s="477"/>
      <c r="I330" s="480"/>
      <c r="J330" s="462"/>
    </row>
    <row r="331" spans="1:10" ht="15.75" x14ac:dyDescent="0.25">
      <c r="A331" s="475"/>
      <c r="B331" s="475"/>
      <c r="C331" s="16" t="s">
        <v>237</v>
      </c>
      <c r="D331" s="100"/>
      <c r="E331" s="34"/>
      <c r="F331" s="126" t="str">
        <f>IF(E331="","",ROUND(IF(E331&lt;=1,0, IF(OR(D308="B", D308="Ba"), IF(E331&gt;=2.8,1,IF(E331&gt;=1.8,'Reference Curves'!$L$56*E331+'Reference Curves'!$L$57,'Reference Curves'!$K$56*E331+'Reference Curves'!$K$57)),IF(E331&gt;=3.2,1,IF(E331&gt;=2.2,'Reference Curves'!$N$56*E331+'Reference Curves'!$N$57,'Reference Curves'!$M$56*E331+'Reference Curves'!$M$57)))),2))</f>
        <v/>
      </c>
      <c r="G331" s="477"/>
      <c r="H331" s="477"/>
      <c r="I331" s="480"/>
      <c r="J331" s="462"/>
    </row>
    <row r="332" spans="1:10" ht="15.75" x14ac:dyDescent="0.25">
      <c r="A332" s="475"/>
      <c r="B332" s="475"/>
      <c r="C332" s="16" t="s">
        <v>79</v>
      </c>
      <c r="D332" s="100"/>
      <c r="E332" s="34"/>
      <c r="F332" s="266" t="str">
        <f>IF(E332="","",IF(D309&gt;=3,IF(OR(E332&lt;=0,E332&gt;=100),0,IF(AND(E332&gt;=68,E332&lt;=85),1,IF(E332&lt;68,IF(E332&lt;62,ROUND(E332*'Reference Curves'!$K$69+'Reference Curves'!$K$70,2),ROUND(E332*'Reference Curves'!$L$69+'Reference Curves'!$L$70,2)),
IF(E332&gt;87,ROUND(E332*'Reference Curves'!$M$69+'Reference Curves'!$M$70,2),ROUND(E332*'Reference Curves'!$N$69+'Reference Curves'!$N$70,2))))),
IF(D309&lt;&gt;0,IF(OR(E332&lt;=0,E332&gt;=100),0,IF(AND(E332&lt;=60,E332&gt;=50),1,IF(E332&lt;50,IF(E332&lt;39,ROUND(E332*'Reference Curves'!$K$63+'Reference Curves'!$K$64,2),ROUND(E332*'Reference Curves'!$L$63+'Reference Curves'!$L$64,2)),
IF(E332&gt;69,ROUND(E332*'Reference Curves'!$M$63+'Reference Curves'!$M$64,2),ROUND(E332*'Reference Curves'!$N$63+'Reference Curves'!$N$64,2))))))))</f>
        <v/>
      </c>
      <c r="G332" s="478"/>
      <c r="H332" s="477"/>
      <c r="I332" s="480"/>
      <c r="J332" s="462"/>
    </row>
    <row r="333" spans="1:10" ht="15.75" x14ac:dyDescent="0.25">
      <c r="A333" s="475"/>
      <c r="B333" s="474" t="s">
        <v>38</v>
      </c>
      <c r="C333" s="14" t="s">
        <v>238</v>
      </c>
      <c r="D333" s="41"/>
      <c r="E333" s="15"/>
      <c r="F333" s="127" t="str">
        <f>IF( E333="","",
IF( F308="Unconfined Alluvial", IF( E333&gt;=100,1,
ROUND('Reference Curves'!$K$76*E333+'Reference Curves'!$K$77,2) ),
IF( OR(F308="Confined Alluvial", F308="Colluvial/V-Shaped"), ( IF(E333&gt;=100,1,
IF(E333&gt;=60, ROUND('Reference Curves'!$M$76*E333+'Reference Curves'!$M$77,2), ROUND('Reference Curves'!$L$76*E333+'Reference Curves'!$L$77,2) ) ) ) ) ) )</f>
        <v/>
      </c>
      <c r="G333" s="476" t="str">
        <f>IFERROR(AVERAGE(F333:F335),"")</f>
        <v/>
      </c>
      <c r="H333" s="477"/>
      <c r="I333" s="480"/>
      <c r="J333" s="462"/>
    </row>
    <row r="334" spans="1:10" ht="15.75" x14ac:dyDescent="0.25">
      <c r="A334" s="475"/>
      <c r="B334" s="475"/>
      <c r="C334" s="16" t="s">
        <v>202</v>
      </c>
      <c r="D334" s="57"/>
      <c r="E334" s="65"/>
      <c r="F334" s="126" t="str">
        <f>IF(E334="","",IF(OR(F309="Alaska Range",F309="Brooks Range"),ROUND(IF(E334&gt;=1.57,1,IF(E334&lt;=0.06,'Reference Curves'!$K$83*E334+'Reference Curves'!$K$84, IF(E334&lt;0.83, 'Reference Curves'!$L$83*E334+'Reference Curves'!$L$84, 'Reference Curves'!$M$83*E334+'Reference Curves'!$M$84))),2),
IF(F309="Interior Highlands",ROUND(IF(E334&gt;=1.67,1,IF(E334&lt;=0.94,'Reference Curves'!$N$83*E334+'Reference Curves'!$N$84, IF(E334&lt;1.21, 'Reference Curves'!$O$83*E334+'Reference Curves'!$O$84, 'Reference Curves'!$P$83*E334+'Reference Curves'!$P$84))),2),
IF(OR(F309="Interior Bottomlands",F309="Yukon Flats"),ROUND(IF(E334&gt;=1.82,1,IF(E334&lt;=1.19,'Reference Curves'!$K$89*E334+'Reference Curves'!$K$90, IF(E334&lt;1.37, 'Reference Curves'!$L$89*E334+'Reference Curves'!$L$90, 'Reference Curves'!$M$89*E334+'Reference Curves'!$M$90))),2),
IF(F309="Interior Forested Lowlands/Uplands",ROUND(IF(E334&gt;=1.87,1,IF(E334&lt;=1.24,'Reference Curves'!$N$89*E334+'Reference Curves'!$N$90, IF(E334&lt;1.45, 'Reference Curves'!$O$89*E334+'Reference Curves'!$O$90, 'Reference Curves'!$P$89*E334+'Reference Curves'!$P$90))),2))))))</f>
        <v/>
      </c>
      <c r="G334" s="477"/>
      <c r="H334" s="477"/>
      <c r="I334" s="480"/>
      <c r="J334" s="462"/>
    </row>
    <row r="335" spans="1:10" ht="15.75" x14ac:dyDescent="0.25">
      <c r="A335" s="475"/>
      <c r="B335" s="475"/>
      <c r="C335" s="16" t="s">
        <v>239</v>
      </c>
      <c r="D335" s="57"/>
      <c r="E335" s="65"/>
      <c r="F335" s="266" t="str">
        <f>IF(E335="","",IF(E335&lt;83.5,0,IF(E335&gt;=100,1,ROUND(E335*'Reference Curves'!$K$94+'Reference Curves'!$K$95,2))))</f>
        <v/>
      </c>
      <c r="G335" s="478"/>
      <c r="H335" s="478"/>
      <c r="I335" s="481"/>
      <c r="J335" s="462"/>
    </row>
    <row r="336" spans="1:10" ht="15.75" x14ac:dyDescent="0.25">
      <c r="A336" s="485" t="s">
        <v>41</v>
      </c>
      <c r="B336" s="223" t="s">
        <v>115</v>
      </c>
      <c r="C336" s="224" t="s">
        <v>340</v>
      </c>
      <c r="D336" s="225"/>
      <c r="E336" s="28"/>
      <c r="F336" s="232" t="str">
        <f>IF(E336="","", IF(E336&lt;=1.1,1, IF(E336 &gt;1.315,0, ROUND(E336*'Reference Curves'!R$3+'Reference Curves'!R$4,2))))</f>
        <v/>
      </c>
      <c r="G336" s="267" t="str">
        <f>IFERROR(AVERAGE(F336:F336),"")</f>
        <v/>
      </c>
      <c r="H336" s="488">
        <f>IF(OR(G336&lt;&gt;"",G337&lt;&gt;"",G338&lt;&gt;""),ROUND(AVERAGE(G336:G338),2),'Debit Calculator'!$F$28)</f>
        <v>1</v>
      </c>
      <c r="I336" s="436" t="str">
        <f>IF(H336="","",IF(H336&gt;0.69,"Functioning",IF(H336&gt;0.29,"Functioning At Risk",IF(H336&gt;-1,"Not Functioning"))))</f>
        <v>Functioning</v>
      </c>
      <c r="J336" s="462"/>
    </row>
    <row r="337" spans="1:10" ht="15.75" x14ac:dyDescent="0.25">
      <c r="A337" s="486"/>
      <c r="B337" s="223" t="s">
        <v>240</v>
      </c>
      <c r="C337" s="224" t="s">
        <v>341</v>
      </c>
      <c r="D337" s="225"/>
      <c r="E337" s="46"/>
      <c r="F337" s="240" t="str">
        <f>IF(E337="","",ROUND( IF(E337&lt;=3,1, IF(E337&gt;=100,0,IF(E337&gt;10, E337*'Reference Curves'!$R$9+'Reference Curves'!$R$10,E337*'Reference Curves'!$S$9+'Reference Curves'!$S$10))),2))</f>
        <v/>
      </c>
      <c r="G337" s="232" t="str">
        <f>IFERROR(AVERAGE(F337),"")</f>
        <v/>
      </c>
      <c r="H337" s="489"/>
      <c r="I337" s="436"/>
      <c r="J337" s="462"/>
    </row>
    <row r="338" spans="1:10" ht="15.75" x14ac:dyDescent="0.25">
      <c r="A338" s="487"/>
      <c r="B338" s="223" t="s">
        <v>241</v>
      </c>
      <c r="C338" s="226" t="s">
        <v>355</v>
      </c>
      <c r="D338" s="227"/>
      <c r="E338" s="46"/>
      <c r="F338" s="232" t="str">
        <f>IF(E338="","", IF(E338&gt;=75,1, IF(E338 &lt;19,0, ROUND(E338*'Reference Curves'!R$14+'Reference Curves'!R$15,2))))</f>
        <v/>
      </c>
      <c r="G338" s="232" t="str">
        <f>IFERROR(AVERAGE(F338),"")</f>
        <v/>
      </c>
      <c r="H338" s="490"/>
      <c r="I338" s="436"/>
      <c r="J338" s="462"/>
    </row>
    <row r="339" spans="1:10" ht="15.75" x14ac:dyDescent="0.25">
      <c r="A339" s="437" t="s">
        <v>42</v>
      </c>
      <c r="B339" s="228" t="s">
        <v>80</v>
      </c>
      <c r="C339" s="229" t="s">
        <v>366</v>
      </c>
      <c r="D339" s="26"/>
      <c r="E339" s="28"/>
      <c r="F339" s="128" t="str">
        <f>IF(E339="","",ROUND( IF(E339&gt;=81,0, IF(E339&lt;=36,1,IF(E339&gt;62, E339*'Reference Curves'!$V$4+'Reference Curves'!$V$5,IF(E339&gt;43, E339*'Reference Curves'!$W$4+'Reference Curves'!$W$5,E339*'Reference Curves'!$X$4+'Reference Curves'!$X$5)))),2))</f>
        <v/>
      </c>
      <c r="G339" s="104" t="str">
        <f>IFERROR(AVERAGE(F339),"")</f>
        <v/>
      </c>
      <c r="H339" s="440">
        <f>IF(OR(G339&lt;&gt;"",G340&lt;&gt;""),ROUND(AVERAGE(G339:G342),2),'Debit Calculator'!$F$28)</f>
        <v>1</v>
      </c>
      <c r="I339" s="436" t="str">
        <f>IF(H339="","",IF(H339&gt;0.69,"Functioning",IF(H339&gt;0.29,"Functioning At Risk",IF(H339&gt;-1,"Not Functioning"))))</f>
        <v>Functioning</v>
      </c>
      <c r="J339" s="462"/>
    </row>
    <row r="340" spans="1:10" ht="15.75" x14ac:dyDescent="0.25">
      <c r="A340" s="438"/>
      <c r="B340" s="437" t="s">
        <v>45</v>
      </c>
      <c r="C340" s="229" t="s">
        <v>242</v>
      </c>
      <c r="D340" s="26"/>
      <c r="E340" s="35"/>
      <c r="F340" s="104" t="str">
        <f>IF(E340="","",IF(F310="Anadromous", IF(E340&lt;=0,0,IF(E340&gt;=100,1,ROUND(IF(E340&lt;80,E340*'Reference Curves'!$V$11+'Reference Curves'!$V$12,E340*'Reference Curves'!$W$11+'Reference Curves'!$W$12),2))),
IF(F310="Non-anadromous", IF(E340&lt;=0,0,IF(E340&gt;=100,1,ROUND(IF(E340&lt;60,E340*'Reference Curves'!$X$11+'Reference Curves'!$X$12,E340*'Reference Curves'!$Y$11+'Reference Curves'!$Y$12),2))))))</f>
        <v/>
      </c>
      <c r="G340" s="441" t="str">
        <f>IFERROR(AVERAGE(F340:F342),"")</f>
        <v/>
      </c>
      <c r="H340" s="440"/>
      <c r="I340" s="436"/>
      <c r="J340" s="462"/>
    </row>
    <row r="341" spans="1:10" s="4" customFormat="1" ht="15.75" x14ac:dyDescent="0.25">
      <c r="A341" s="438"/>
      <c r="B341" s="438"/>
      <c r="C341" s="294" t="s">
        <v>322</v>
      </c>
      <c r="D341" s="295"/>
      <c r="E341" s="34"/>
      <c r="F341" s="104" t="str">
        <f>IF(E341="","", IF(E341&lt;=0,0,IF(E341&gt;=0.9,1,ROUND(E341*'Reference Curves'!$V$16+'Reference Curves'!$V$17,2))))</f>
        <v/>
      </c>
      <c r="G341" s="491"/>
      <c r="H341" s="440"/>
      <c r="I341" s="436"/>
      <c r="J341" s="462"/>
    </row>
    <row r="342" spans="1:10" ht="15.75" x14ac:dyDescent="0.25">
      <c r="A342" s="439"/>
      <c r="B342" s="439"/>
      <c r="C342" s="101" t="s">
        <v>243</v>
      </c>
      <c r="D342" s="103"/>
      <c r="E342" s="36"/>
      <c r="F342" s="128" t="str">
        <f>IF(E342="","", IF(E342&lt;=0,0,IF(E342&gt;=0.9,1,ROUND(E342*'Reference Curves'!$V$16+'Reference Curves'!$V$17,2))))</f>
        <v/>
      </c>
      <c r="G342" s="443"/>
      <c r="H342" s="440"/>
      <c r="I342" s="436"/>
      <c r="J342" s="463"/>
    </row>
    <row r="343" spans="1:10" x14ac:dyDescent="0.25">
      <c r="A343" s="4"/>
      <c r="B343" s="4"/>
      <c r="C343" s="4"/>
      <c r="E343" s="4"/>
      <c r="F343" s="4"/>
      <c r="H343" s="4"/>
      <c r="J343" s="3"/>
    </row>
    <row r="344" spans="1:10" x14ac:dyDescent="0.25">
      <c r="A344" s="4"/>
      <c r="B344" s="4"/>
      <c r="C344" s="4"/>
      <c r="E344" s="4"/>
      <c r="F344" s="4"/>
      <c r="H344" s="4"/>
      <c r="J344" s="4"/>
    </row>
    <row r="345" spans="1:10" ht="21" x14ac:dyDescent="0.25">
      <c r="A345" s="495" t="s">
        <v>167</v>
      </c>
      <c r="B345" s="496"/>
      <c r="C345" s="496"/>
      <c r="D345" s="496"/>
      <c r="E345" s="496"/>
      <c r="F345" s="496"/>
      <c r="G345" s="496"/>
      <c r="H345" s="496"/>
      <c r="I345" s="496"/>
      <c r="J345" s="497"/>
    </row>
    <row r="346" spans="1:10" ht="15.75" x14ac:dyDescent="0.25">
      <c r="A346" s="115" t="s">
        <v>59</v>
      </c>
      <c r="B346" s="130" t="str">
        <f>IF('Project Assessment'!A19="","",'Project Assessment'!A19)</f>
        <v/>
      </c>
      <c r="C346" s="115" t="s">
        <v>168</v>
      </c>
      <c r="D346" s="251"/>
      <c r="E346" s="250" t="s">
        <v>73</v>
      </c>
      <c r="F346" s="498"/>
      <c r="G346" s="498"/>
      <c r="H346" s="493" t="s">
        <v>102</v>
      </c>
      <c r="I346" s="494"/>
      <c r="J346" s="116"/>
    </row>
    <row r="347" spans="1:10" ht="15.75" x14ac:dyDescent="0.25">
      <c r="A347" s="134" t="s">
        <v>212</v>
      </c>
      <c r="B347" s="130" t="str">
        <f>IF('Project Assessment'!B19="","",'Project Assessment'!B19)</f>
        <v/>
      </c>
      <c r="C347" s="250" t="s">
        <v>359</v>
      </c>
      <c r="D347" s="138"/>
      <c r="E347" s="250" t="s">
        <v>156</v>
      </c>
      <c r="F347" s="498"/>
      <c r="G347" s="498"/>
      <c r="H347" s="493" t="s">
        <v>103</v>
      </c>
      <c r="I347" s="494"/>
      <c r="J347" s="116"/>
    </row>
    <row r="348" spans="1:10" ht="15.75" x14ac:dyDescent="0.25">
      <c r="A348" s="119" t="s">
        <v>157</v>
      </c>
      <c r="B348" s="130" t="str">
        <f>IF('Project Assessment'!C19="","",'Project Assessment'!C19)</f>
        <v/>
      </c>
      <c r="C348" s="239" t="s">
        <v>360</v>
      </c>
      <c r="D348" s="251"/>
      <c r="E348" s="250" t="s">
        <v>220</v>
      </c>
      <c r="F348" s="498"/>
      <c r="G348" s="498"/>
      <c r="H348" s="493" t="s">
        <v>104</v>
      </c>
      <c r="I348" s="494"/>
      <c r="J348" s="32"/>
    </row>
    <row r="349" spans="1:10" ht="15.75" x14ac:dyDescent="0.25">
      <c r="A349" s="499"/>
      <c r="B349" s="500"/>
      <c r="C349" s="233" t="s">
        <v>155</v>
      </c>
      <c r="D349" s="251"/>
      <c r="E349" s="502"/>
      <c r="F349" s="503"/>
      <c r="G349" s="504"/>
      <c r="H349" s="493" t="s">
        <v>105</v>
      </c>
      <c r="I349" s="494"/>
      <c r="J349" s="116"/>
    </row>
    <row r="350" spans="1:10" ht="7.5" customHeight="1" x14ac:dyDescent="0.25">
      <c r="A350" s="4"/>
      <c r="B350" s="50"/>
      <c r="C350" s="50"/>
      <c r="D350" s="50"/>
      <c r="E350" s="50"/>
      <c r="F350" s="50"/>
      <c r="G350" s="50"/>
      <c r="H350" s="50"/>
      <c r="I350" s="48"/>
      <c r="J350" s="9"/>
    </row>
    <row r="351" spans="1:10" ht="21" x14ac:dyDescent="0.35">
      <c r="A351" s="492" t="str">
        <f>_xlfn.CONCAT("EXISTING CONDITION ASSESSMENT for Reach ",B346)</f>
        <v xml:space="preserve">EXISTING CONDITION ASSESSMENT for Reach </v>
      </c>
      <c r="B351" s="492"/>
      <c r="C351" s="492"/>
      <c r="D351" s="492"/>
      <c r="E351" s="492"/>
      <c r="F351" s="492"/>
      <c r="G351" s="492" t="s">
        <v>10</v>
      </c>
      <c r="H351" s="492"/>
      <c r="I351" s="492"/>
      <c r="J351" s="492"/>
    </row>
    <row r="352" spans="1:10" ht="15.75" x14ac:dyDescent="0.25">
      <c r="A352" s="30" t="s">
        <v>1</v>
      </c>
      <c r="B352" s="30" t="s">
        <v>2</v>
      </c>
      <c r="C352" s="448" t="s">
        <v>316</v>
      </c>
      <c r="D352" s="449"/>
      <c r="E352" s="30" t="s">
        <v>8</v>
      </c>
      <c r="F352" s="29" t="s">
        <v>9</v>
      </c>
      <c r="G352" s="30" t="s">
        <v>11</v>
      </c>
      <c r="H352" s="30" t="s">
        <v>12</v>
      </c>
      <c r="I352" s="49" t="s">
        <v>12</v>
      </c>
      <c r="J352" s="271" t="s">
        <v>85</v>
      </c>
    </row>
    <row r="353" spans="1:10" ht="15.75" x14ac:dyDescent="0.25">
      <c r="A353" s="450" t="s">
        <v>223</v>
      </c>
      <c r="B353" s="453" t="s">
        <v>224</v>
      </c>
      <c r="C353" s="212" t="s">
        <v>114</v>
      </c>
      <c r="D353" s="215"/>
      <c r="E353" s="35"/>
      <c r="F353" s="218" t="str">
        <f>IF(E353="","",IF(E353&gt;=86,0,IF(E353&lt;=9,1,ROUND(IF(E353&gt;22,E353*'Reference Curves'!B$4+'Reference Curves'!B$5, IF(E353&gt;16, E353*'Reference Curves'!C$4+'Reference Curves'!C$5,E353*'Reference Curves'!$D$4+'Reference Curves'!$D$5)),2))))</f>
        <v/>
      </c>
      <c r="G353" s="456" t="str">
        <f>IFERROR(AVERAGE(F353:F355),"")</f>
        <v/>
      </c>
      <c r="H353" s="458" t="str">
        <f>IFERROR(ROUND(AVERAGE(G353:G359),2),"")</f>
        <v/>
      </c>
      <c r="I353" s="445" t="str">
        <f>IF(H353="","",IF(H353&gt;0.69,"Functioning",IF(H353&gt;0.29,"Functioning At Risk",IF(H353&gt;-1,"Not Functioning"))))</f>
        <v/>
      </c>
      <c r="J353" s="461">
        <f>IF(AND(H353="",H360="",H363="",H374="",H377=""),"",ROUND((IF(H353="",0,H353)*0.2)+(IF(H360="",0,H360)*0.2)+(IF(H363="",0,H363)*0.2)+(IF(H374="",0,H374)*0.2)+(IF(H377="",0,H377)*0.2),2))</f>
        <v>0.4</v>
      </c>
    </row>
    <row r="354" spans="1:10" ht="15.75" x14ac:dyDescent="0.25">
      <c r="A354" s="451"/>
      <c r="B354" s="454"/>
      <c r="C354" s="213" t="s">
        <v>221</v>
      </c>
      <c r="D354" s="216"/>
      <c r="E354" s="34"/>
      <c r="F354" s="235" t="str">
        <f>IF(E354="","",IF(E354&gt;=33.5,0,IF(E354=0,1,ROUND(E354*'Reference Curves'!B$9+'Reference Curves'!B$10,2))))</f>
        <v/>
      </c>
      <c r="G354" s="457"/>
      <c r="H354" s="459"/>
      <c r="I354" s="446"/>
      <c r="J354" s="462"/>
    </row>
    <row r="355" spans="1:10" ht="15.75" x14ac:dyDescent="0.25">
      <c r="A355" s="451"/>
      <c r="B355" s="455"/>
      <c r="C355" s="214" t="s">
        <v>222</v>
      </c>
      <c r="D355" s="216"/>
      <c r="E355" s="36"/>
      <c r="F355" s="235" t="str">
        <f>IF(E355="","",IF(E355&gt;=61,0,IF(E355=0,1, ROUND(IF(E355&gt;35,E355*'Reference Curves'!B$15+'Reference Curves'!B$16,  E355*'Reference Curves'!C$15+'Reference Curves'!C$16),2))))</f>
        <v/>
      </c>
      <c r="G355" s="457"/>
      <c r="H355" s="459"/>
      <c r="I355" s="446"/>
      <c r="J355" s="462"/>
    </row>
    <row r="356" spans="1:10" ht="15.75" x14ac:dyDescent="0.25">
      <c r="A356" s="451"/>
      <c r="B356" s="464" t="s">
        <v>63</v>
      </c>
      <c r="C356" s="212" t="s">
        <v>114</v>
      </c>
      <c r="D356" s="215"/>
      <c r="E356" s="34"/>
      <c r="F356" s="218" t="str">
        <f>IF(E356="","",IF(E356&gt;=86,0,IF(E356&lt;=9,1,ROUND(IF(E356&gt;22,E356*'Reference Curves'!B$4+'Reference Curves'!B$5, IF(E356&gt;16, E356*'Reference Curves'!C$4+'Reference Curves'!C$5,E356*'Reference Curves'!$D$4+'Reference Curves'!$D$5)),2))))</f>
        <v/>
      </c>
      <c r="G356" s="456" t="str">
        <f>IFERROR(AVERAGE(F356:F359),"")</f>
        <v/>
      </c>
      <c r="H356" s="459"/>
      <c r="I356" s="446"/>
      <c r="J356" s="462"/>
    </row>
    <row r="357" spans="1:10" ht="15.75" x14ac:dyDescent="0.25">
      <c r="A357" s="451"/>
      <c r="B357" s="464"/>
      <c r="C357" s="213" t="s">
        <v>221</v>
      </c>
      <c r="D357" s="216"/>
      <c r="E357" s="34"/>
      <c r="F357" s="235" t="str">
        <f>IF(E357="","",IF(E357&gt;=33.5,0,IF(E357=0,1,ROUND(E357*'Reference Curves'!B$9+'Reference Curves'!B$10,2))))</f>
        <v/>
      </c>
      <c r="G357" s="457"/>
      <c r="H357" s="459"/>
      <c r="I357" s="446"/>
      <c r="J357" s="462"/>
    </row>
    <row r="358" spans="1:10" ht="15.75" x14ac:dyDescent="0.25">
      <c r="A358" s="451"/>
      <c r="B358" s="464"/>
      <c r="C358" s="213" t="s">
        <v>222</v>
      </c>
      <c r="D358" s="216"/>
      <c r="E358" s="34"/>
      <c r="F358" s="235" t="str">
        <f>IF(E358="","",IF(E358&gt;=61,0,IF(E358=0,1, ROUND(IF(E358&gt;35,E358*'Reference Curves'!B$15+'Reference Curves'!B$16,  E358*'Reference Curves'!C$15+'Reference Curves'!C$16),2))))</f>
        <v/>
      </c>
      <c r="G358" s="457"/>
      <c r="H358" s="459"/>
      <c r="I358" s="446"/>
      <c r="J358" s="462"/>
    </row>
    <row r="359" spans="1:10" ht="15.75" x14ac:dyDescent="0.25">
      <c r="A359" s="452"/>
      <c r="B359" s="465"/>
      <c r="C359" s="214" t="s">
        <v>225</v>
      </c>
      <c r="D359" s="217"/>
      <c r="E359" s="34"/>
      <c r="F359" s="236" t="str">
        <f>IF(E359="","",   IF(E359&gt;3.35,0, IF(E359&lt;0, "", ROUND('Reference Curves'!$B$20*E359+'Reference Curves'!$B$21,2))))</f>
        <v/>
      </c>
      <c r="G359" s="457"/>
      <c r="H359" s="460"/>
      <c r="I359" s="447"/>
      <c r="J359" s="462"/>
    </row>
    <row r="360" spans="1:10" ht="15.75" x14ac:dyDescent="0.25">
      <c r="A360" s="466" t="s">
        <v>226</v>
      </c>
      <c r="B360" s="469" t="s">
        <v>3</v>
      </c>
      <c r="C360" s="95" t="s">
        <v>227</v>
      </c>
      <c r="D360" s="13"/>
      <c r="E360" s="28"/>
      <c r="F360" s="121" t="str">
        <f>IF(E360="","", IF(E360&gt;1.71,0,IF(E360&lt;=1,1, ROUND(E360*'Reference Curves'!G$3+'Reference Curves'!G$4,2))))</f>
        <v/>
      </c>
      <c r="G360" s="471" t="str">
        <f>IFERROR(AVERAGE(F360:F361),"")</f>
        <v/>
      </c>
      <c r="H360" s="471" t="str">
        <f>IFERROR(ROUND(AVERAGE(G360:G362),2),"")</f>
        <v/>
      </c>
      <c r="I360" s="445" t="str">
        <f>IF(H360="","",IF(H360&gt;0.69,"Functioning",IF(H360&gt;0.29,"Functioning At Risk",IF(H360&gt;-1,"Not Functioning"))))</f>
        <v/>
      </c>
      <c r="J360" s="462"/>
    </row>
    <row r="361" spans="1:10" ht="15.75" x14ac:dyDescent="0.25">
      <c r="A361" s="467"/>
      <c r="B361" s="470"/>
      <c r="C361" s="97" t="s">
        <v>228</v>
      </c>
      <c r="D361" s="102"/>
      <c r="E361" s="33"/>
      <c r="F361" s="237" t="str">
        <f>IF(E361="","",IF(LEFT(D346,1)="B",IF(E361&lt;=1,0,IF(E361&gt;=2.2,1,ROUND(IF(E361&lt;1.4,E361*'Reference Curves'!$G$19+'Reference Curves'!$G$20,E361*'Reference Curves'!$H$19+'Reference Curves'!$H$20),2))),
IF(LEFT(D346,1)="C",IF(E361&lt;1.7,0,IF(E361&gt;=4.4,1,ROUND(IF(E361&gt;2.4,E361*'Reference Curves'!$H$9+'Reference Curves'!$H$10,E361*'Reference Curves'!$G$9+'Reference Curves'!$G$10),2))),
IF(LEFT(D346,1)="E",IF(E361&lt;1.7,0,IF(E361&gt;=6.5,1,ROUND(IF(E361&gt;2.4,E361*'Reference Curves'!$H$14+'Reference Curves'!$H$15,E361*'Reference Curves'!$G$14+'Reference Curves'!$G$15),2)))))))</f>
        <v/>
      </c>
      <c r="G361" s="472"/>
      <c r="H361" s="473"/>
      <c r="I361" s="446"/>
      <c r="J361" s="462"/>
    </row>
    <row r="362" spans="1:10" ht="15.75" x14ac:dyDescent="0.25">
      <c r="A362" s="468"/>
      <c r="B362" s="219" t="s">
        <v>229</v>
      </c>
      <c r="C362" s="96" t="s">
        <v>230</v>
      </c>
      <c r="D362" s="13"/>
      <c r="E362" s="32"/>
      <c r="F362" s="122" t="str">
        <f>IF(E362="","",IF(E362&gt;=180,0, IF(E362=100,1, ROUND(IF(E362&gt;100,E362*'Reference Curves'!$H$25+'Reference Curves'!$H$26, IF(E360&gt;1.2,IF(E362 &lt;=20,0, E362*'Reference Curves'!$G$25+'Reference Curves'!$G$26),1)),2))))</f>
        <v/>
      </c>
      <c r="G362" s="269" t="str">
        <f>IFERROR(AVERAGE(F362),"")</f>
        <v/>
      </c>
      <c r="H362" s="472"/>
      <c r="I362" s="447"/>
      <c r="J362" s="462"/>
    </row>
    <row r="363" spans="1:10" ht="15.75" x14ac:dyDescent="0.25">
      <c r="A363" s="474" t="s">
        <v>16</v>
      </c>
      <c r="B363" s="270" t="s">
        <v>231</v>
      </c>
      <c r="C363" s="220" t="s">
        <v>232</v>
      </c>
      <c r="D363" s="221"/>
      <c r="E363" s="46"/>
      <c r="F363" s="238" t="str">
        <f>IF(E363="","",IF(F347="Alaska Range",ROUND(IF(E363&lt;=0.05,0, IF(E363&gt;=6.3,1,IF(E363&lt;=1.5,'Reference Curves'!$K$5*E363+'Reference Curves'!$K$6, 'Reference Curves'!$L$5*E363+'Reference Curves'!$L$6))),2),
IF(F347="Brooks Range",ROUND(IF(E363&gt;=4.2,1,IF(E363&lt;0.03,0, IF(E363&lt;=1.2,'Reference Curves'!$M$5*E363+'Reference Curves'!$M$6, 'Reference Curves'!$N$5*E363+'Reference Curves'!$N$6))),2),
IF(OR(F347="Interior Bottomlands", F347="Yukon Flats"),ROUND(IF(E363&gt;=54.5,1,IF(E363&lt;=3.7,'Reference Curves'!$K$11*E363+'Reference Curves'!$K$12, IF(E363&lt;4.7,  'Reference Curves'!$L$11*E363+'Reference Curves'!$L$12,  'Reference Curves'!$M$11*E363+'Reference Curves'!$M$12))),2),
IF(OR(F347="Interior Forested Lowlands/Uplands",F347="Interior Highlands"),ROUND(IF(E363=0,0,IF(E363&gt;=24.1,1,IF(E363&lt;=1.3,'Reference Curves'!$N$11*E363+'Reference Curves'!$N$12, 'Reference Curves'!$O$11*E363+'Reference Curves'!$O$12))),2))))))</f>
        <v/>
      </c>
      <c r="G363" s="265" t="str">
        <f>IFERROR(AVERAGE(F363:F363),"")</f>
        <v/>
      </c>
      <c r="H363" s="476" t="str">
        <f>IFERROR(ROUND(AVERAGE(G363:G373),2),"")</f>
        <v/>
      </c>
      <c r="I363" s="479" t="str">
        <f>IF(H363="","",IF(H363&gt;0.69,"Functioning",IF(H363&gt;0.29,"Functioning At Risk",IF(H363&gt;-1,"Not Functioning"))))</f>
        <v/>
      </c>
      <c r="J363" s="462"/>
    </row>
    <row r="364" spans="1:10" ht="15.75" x14ac:dyDescent="0.25">
      <c r="A364" s="475"/>
      <c r="B364" s="475" t="s">
        <v>99</v>
      </c>
      <c r="C364" s="16" t="s">
        <v>37</v>
      </c>
      <c r="D364" s="100"/>
      <c r="E364" s="234"/>
      <c r="F364" s="123" t="str">
        <f>IF(E364="","",IF(OR(E364="Ex/Ex",E364="Ex/VH",E364="Ex/H",E364="Ex/M",E364="VH/Ex",E364="VH/VH", E364="H/Ex",E364="H/VH"),0,
IF(OR(E364="M/Ex"),0.1,
IF(OR(E364="VH/H",E364="VH/M",E364="H/H",E364="H/M", E364="M/VH"),0.2,
IF(OR(E364="Ex/VL",E364="Ex/L", E364="M/H"),0.3,
IF(OR(E364="VH/L",E364="H/L"),0.4,
IF(OR(E364="VH/VL",E364="H/VL",E364="M/M"),0.5,
IF(OR(E364="M/L",E364="L/Ex"),0.6,
IF(OR(E364="M/VL",E364="L/VH", E364="L/H",E364="L/M",E364="L/L",E364="L/VL", LEFT(E364,2)="VL"),1)))))))))</f>
        <v/>
      </c>
      <c r="G364" s="476" t="str">
        <f>IFERROR(IF(E366&gt;=50,0,AVERAGE(F364:F366)),"")</f>
        <v/>
      </c>
      <c r="H364" s="477"/>
      <c r="I364" s="480"/>
      <c r="J364" s="462"/>
    </row>
    <row r="365" spans="1:10" ht="15.75" x14ac:dyDescent="0.25">
      <c r="A365" s="475"/>
      <c r="B365" s="475"/>
      <c r="C365" s="98" t="s">
        <v>48</v>
      </c>
      <c r="D365" s="230"/>
      <c r="E365" s="32"/>
      <c r="F365" s="123" t="str">
        <f>IF(E365="","",ROUND(IF(E365&gt;=75,0,IF(E365&lt;=5,1,IF(E365&gt;10,E365*'Reference Curves'!K$17+'Reference Curves'!K$18,'Reference Curves'!$L$17*E365+'Reference Curves'!$L$18))),2))</f>
        <v/>
      </c>
      <c r="G365" s="477"/>
      <c r="H365" s="477"/>
      <c r="I365" s="480"/>
      <c r="J365" s="462"/>
    </row>
    <row r="366" spans="1:10" ht="15.75" x14ac:dyDescent="0.25">
      <c r="A366" s="475"/>
      <c r="B366" s="482"/>
      <c r="C366" s="99" t="s">
        <v>233</v>
      </c>
      <c r="D366" s="231"/>
      <c r="E366" s="33"/>
      <c r="F366" s="124" t="str">
        <f>IF(E366="","",IF(E366&gt;=30,0,ROUND(E366*'Reference Curves'!$K$22+'Reference Curves'!$K$23,2)))</f>
        <v/>
      </c>
      <c r="G366" s="478"/>
      <c r="H366" s="477"/>
      <c r="I366" s="480"/>
      <c r="J366" s="462"/>
    </row>
    <row r="367" spans="1:10" ht="15.75" x14ac:dyDescent="0.25">
      <c r="A367" s="475"/>
      <c r="B367" s="268" t="s">
        <v>234</v>
      </c>
      <c r="C367" s="17" t="s">
        <v>235</v>
      </c>
      <c r="D367" s="100"/>
      <c r="E367" s="33"/>
      <c r="F367" s="123" t="str">
        <f>IF(E367="","",IF(OR(D348="Cobble",D348="Boulders",D348="Bedrock"),ROUND(IF(E367&lt;=0,1,IF(E367&gt;=13.7,0, IF(E367&gt;5,E367*'Reference Curves'!$M$29+'Reference Curves'!$M$30,  E367*'Reference Curves'!$N$29+'Reference Curves'!$N$30))),2),
IF(D348="Gravel",ROUND(IF(E367&lt;=3,1,IF(E367&gt;=54,0, IF(E367&gt;15,E367*'Reference Curves'!$K$29+'Reference Curves'!$K$30,  E367*'Reference Curves'!$L$29+'Reference Curves'!$L$30))),2))))</f>
        <v/>
      </c>
      <c r="G367" s="265" t="str">
        <f>IFERROR(AVERAGE(F367:F367),"")</f>
        <v/>
      </c>
      <c r="H367" s="477"/>
      <c r="I367" s="480"/>
      <c r="J367" s="462"/>
    </row>
    <row r="368" spans="1:10" ht="15.75" x14ac:dyDescent="0.25">
      <c r="A368" s="475"/>
      <c r="B368" s="474" t="s">
        <v>39</v>
      </c>
      <c r="C368" s="14" t="s">
        <v>236</v>
      </c>
      <c r="D368" s="18"/>
      <c r="E368" s="35"/>
      <c r="F368" s="125" t="str">
        <f>IF(E368="","",IF(D346="Bc",IF(E368&gt;=12,0,IF(E368&lt;=3.4,1,ROUND('Reference Curves'!$K$39*E368+'Reference Curves'!$K$40,2))),
IF(OR(D346="B",D346="Ba"),IF(E368&gt;=6,0,IF(E368&lt;=2,1,ROUND(IF(E368&gt;3.9,'Reference Curves'!$K$35*E368+'Reference Curves'!$K$36,'Reference Curves'!$L$35*E368+'Reference Curves'!$L$36),2))),
IF(LEFT(D346,1)="C",IF(OR(E368&gt;=9.3,E368&lt;=3),0,IF(AND(E368&gt;=4,E368&lt;=6),1,ROUND(IF(E368&lt;4,'Reference Curves'!$K$49*E368+'Reference Curves'!$K$50,'Reference Curves'!$L$49*E368+'Reference Curves'!$L$50),2))),
IF(D346="E",IF(OR(E368&gt;=8.3,E368&lt;=1.8),0,IF(AND(E368&gt;=3.5,E368&lt;=5),1,ROUND(IF(E368&lt;3.5,'Reference Curves'!$K$44*E368+'Reference Curves'!$K$45,'Reference Curves'!$L$44*E368+'Reference Curves'!$L$45),2)))      )))))</f>
        <v/>
      </c>
      <c r="G368" s="483" t="str">
        <f>IFERROR(AVERAGE(F368:F370),"")</f>
        <v/>
      </c>
      <c r="H368" s="477"/>
      <c r="I368" s="480"/>
      <c r="J368" s="462"/>
    </row>
    <row r="369" spans="1:10" ht="15.75" x14ac:dyDescent="0.25">
      <c r="A369" s="475"/>
      <c r="B369" s="475"/>
      <c r="C369" s="16" t="s">
        <v>237</v>
      </c>
      <c r="D369" s="100"/>
      <c r="E369" s="34"/>
      <c r="F369" s="126" t="str">
        <f>IF(E369="","",ROUND(IF(E369&lt;=1,0, IF(OR(D346="B", D346="Ba"), IF(E369&gt;=2.8,1,IF(E369&gt;=1.8,'Reference Curves'!$L$56*E369+'Reference Curves'!$L$57,'Reference Curves'!$K$56*E369+'Reference Curves'!$K$57)),IF(E369&gt;=3.2,1,IF(E369&gt;=2.2,'Reference Curves'!$N$56*E369+'Reference Curves'!$N$57,'Reference Curves'!$M$56*E369+'Reference Curves'!$M$57)))),2))</f>
        <v/>
      </c>
      <c r="G369" s="484"/>
      <c r="H369" s="477"/>
      <c r="I369" s="480"/>
      <c r="J369" s="462"/>
    </row>
    <row r="370" spans="1:10" ht="15.75" x14ac:dyDescent="0.25">
      <c r="A370" s="475"/>
      <c r="B370" s="475"/>
      <c r="C370" s="16" t="s">
        <v>79</v>
      </c>
      <c r="D370" s="100"/>
      <c r="E370" s="34"/>
      <c r="F370" s="266" t="str">
        <f>IF(E370="","",IF(D347&gt;=3,IF(OR(E370&lt;=0,E370&gt;=100),0,IF(AND(E370&gt;=68,E370&lt;=85),1,IF(E370&lt;68,IF(E370&lt;62,ROUND(E370*'Reference Curves'!$K$69+'Reference Curves'!$K$70,2),ROUND(E370*'Reference Curves'!$L$69+'Reference Curves'!$L$70,2)),
IF(E370&gt;87,ROUND(E370*'Reference Curves'!$M$69+'Reference Curves'!$M$70,2),ROUND(E370*'Reference Curves'!$N$69+'Reference Curves'!$N$70,2))))),
IF(D347&lt;&gt;0,IF(OR(E370&lt;=0,E370&gt;=100),0,IF(AND(E370&lt;=60,E370&gt;=50),1,IF(E370&lt;50,IF(E370&lt;39,ROUND(E370*'Reference Curves'!$K$63+'Reference Curves'!$K$64,2),ROUND(E370*'Reference Curves'!$L$63+'Reference Curves'!$L$64,2)),
IF(E370&gt;69,ROUND(E370*'Reference Curves'!$M$63+'Reference Curves'!$M$64,2),ROUND(E370*'Reference Curves'!$N$63+'Reference Curves'!$N$64,2))))))))</f>
        <v/>
      </c>
      <c r="G370" s="484"/>
      <c r="H370" s="477"/>
      <c r="I370" s="480"/>
      <c r="J370" s="462"/>
    </row>
    <row r="371" spans="1:10" ht="15.75" x14ac:dyDescent="0.25">
      <c r="A371" s="475"/>
      <c r="B371" s="474" t="s">
        <v>38</v>
      </c>
      <c r="C371" s="14" t="s">
        <v>238</v>
      </c>
      <c r="D371" s="41"/>
      <c r="E371" s="15"/>
      <c r="F371" s="127" t="str">
        <f>IF( E371="","",
IF( F346="Unconfined Alluvial", IF( E371&gt;=100,1,
ROUND('Reference Curves'!$K$76*E371+'Reference Curves'!$K$77,2) ),
IF( OR(F346="Confined Alluvial", F346="Colluvial/V-Shaped"), ( IF(E371&gt;=100,1,
IF(E371&gt;=60, ROUND('Reference Curves'!$M$76*E371+'Reference Curves'!$M$77,2), ROUND('Reference Curves'!$L$76*E371+'Reference Curves'!$L$77,2) ) ) ) ) ) )</f>
        <v/>
      </c>
      <c r="G371" s="476" t="str">
        <f>IFERROR(AVERAGE(F371:F373),"")</f>
        <v/>
      </c>
      <c r="H371" s="477"/>
      <c r="I371" s="480"/>
      <c r="J371" s="462"/>
    </row>
    <row r="372" spans="1:10" ht="15.75" x14ac:dyDescent="0.25">
      <c r="A372" s="475"/>
      <c r="B372" s="475"/>
      <c r="C372" s="16" t="s">
        <v>202</v>
      </c>
      <c r="D372" s="57"/>
      <c r="E372" s="65"/>
      <c r="F372" s="126" t="str">
        <f>IF(E372="","",IF(OR(F347="Alaska Range",F347="Brooks Range"),ROUND(IF(E372&gt;=1.57,1,IF(E372&lt;=0.06,'Reference Curves'!$K$83*E372+'Reference Curves'!$K$84, IF(E372&lt;0.83, 'Reference Curves'!$L$83*E372+'Reference Curves'!$L$84, 'Reference Curves'!$M$83*E372+'Reference Curves'!$M$84))),2),
IF(F347="Interior Highlands",ROUND(IF(E372&gt;=1.67,1,IF(E372&lt;=0.94,'Reference Curves'!$N$83*E372+'Reference Curves'!$N$84, IF(E372&lt;1.21, 'Reference Curves'!$O$83*E372+'Reference Curves'!$O$84, 'Reference Curves'!$P$83*E372+'Reference Curves'!$P$84))),2),
IF(OR(F347="Interior Bottomlands",F347="Yukon Flats"),ROUND(IF(E372&gt;=1.82,1,IF(E372&lt;=1.19,'Reference Curves'!$K$89*E372+'Reference Curves'!$K$90, IF(E372&lt;1.37, 'Reference Curves'!$L$89*E372+'Reference Curves'!$L$90, 'Reference Curves'!$M$89*E372+'Reference Curves'!$M$90))),2),
IF(F347="Interior Forested Lowlands/Uplands",ROUND(IF(E372&gt;=1.87,1,IF(E372&lt;=1.24,'Reference Curves'!$N$89*E372+'Reference Curves'!$N$90, IF(E372&lt;1.45, 'Reference Curves'!$O$89*E372+'Reference Curves'!$O$90, 'Reference Curves'!$P$89*E372+'Reference Curves'!$P$90))),2))))))</f>
        <v/>
      </c>
      <c r="G372" s="477"/>
      <c r="H372" s="477"/>
      <c r="I372" s="480"/>
      <c r="J372" s="462"/>
    </row>
    <row r="373" spans="1:10" ht="15.75" x14ac:dyDescent="0.25">
      <c r="A373" s="475"/>
      <c r="B373" s="475"/>
      <c r="C373" s="16" t="s">
        <v>239</v>
      </c>
      <c r="D373" s="57"/>
      <c r="E373" s="65"/>
      <c r="F373" s="266" t="str">
        <f>IF(E373="","",IF(E373&lt;83.5,0,IF(E373&gt;=100,1,ROUND(E373*'Reference Curves'!$K$94+'Reference Curves'!$K$95,2))))</f>
        <v/>
      </c>
      <c r="G373" s="478"/>
      <c r="H373" s="478"/>
      <c r="I373" s="481"/>
      <c r="J373" s="462"/>
    </row>
    <row r="374" spans="1:10" ht="15.75" x14ac:dyDescent="0.25">
      <c r="A374" s="485" t="s">
        <v>41</v>
      </c>
      <c r="B374" s="223" t="s">
        <v>115</v>
      </c>
      <c r="C374" s="224" t="s">
        <v>340</v>
      </c>
      <c r="D374" s="225"/>
      <c r="E374" s="28"/>
      <c r="F374" s="232" t="str">
        <f>IF(E374="","", IF(E374&lt;=1.1,1, IF(E374 &gt;1.315,0, ROUND(E374*'Reference Curves'!R$3+'Reference Curves'!R$4,2))))</f>
        <v/>
      </c>
      <c r="G374" s="267" t="str">
        <f>IFERROR(AVERAGE(F374:F374),"")</f>
        <v/>
      </c>
      <c r="H374" s="488">
        <f>IF(OR(G374&lt;&gt;"",G375&lt;&gt;"",G376&lt;&gt;""),ROUND(AVERAGE(G374:G376),2),'Debit Calculator'!$F$28)</f>
        <v>1</v>
      </c>
      <c r="I374" s="436" t="str">
        <f>IF(H374="","",IF(H374&gt;0.69,"Functioning",IF(H374&gt;0.29,"Functioning At Risk",IF(H374&gt;-1,"Not Functioning"))))</f>
        <v>Functioning</v>
      </c>
      <c r="J374" s="462"/>
    </row>
    <row r="375" spans="1:10" ht="15.75" x14ac:dyDescent="0.25">
      <c r="A375" s="486"/>
      <c r="B375" s="223" t="s">
        <v>240</v>
      </c>
      <c r="C375" s="224" t="s">
        <v>341</v>
      </c>
      <c r="D375" s="225"/>
      <c r="E375" s="46"/>
      <c r="F375" s="240" t="str">
        <f>IF(E375="","",ROUND( IF(E375&lt;=3,1, IF(E375&gt;=100,0,IF(E375&gt;10, E375*'Reference Curves'!$R$9+'Reference Curves'!$R$10,E375*'Reference Curves'!$S$9+'Reference Curves'!$S$10))),2))</f>
        <v/>
      </c>
      <c r="G375" s="232" t="str">
        <f>IFERROR(AVERAGE(F375),"")</f>
        <v/>
      </c>
      <c r="H375" s="489"/>
      <c r="I375" s="436"/>
      <c r="J375" s="462"/>
    </row>
    <row r="376" spans="1:10" ht="15.75" x14ac:dyDescent="0.25">
      <c r="A376" s="487"/>
      <c r="B376" s="223" t="s">
        <v>241</v>
      </c>
      <c r="C376" s="226" t="s">
        <v>355</v>
      </c>
      <c r="D376" s="227"/>
      <c r="E376" s="46"/>
      <c r="F376" s="232" t="str">
        <f>IF(E376="","", IF(E376&gt;=75,1, IF(E376 &lt;19,0, ROUND(E376*'Reference Curves'!R$14+'Reference Curves'!R$15,2))))</f>
        <v/>
      </c>
      <c r="G376" s="232" t="str">
        <f>IFERROR(AVERAGE(F376),"")</f>
        <v/>
      </c>
      <c r="H376" s="490"/>
      <c r="I376" s="436"/>
      <c r="J376" s="462"/>
    </row>
    <row r="377" spans="1:10" ht="15.75" x14ac:dyDescent="0.25">
      <c r="A377" s="437" t="s">
        <v>42</v>
      </c>
      <c r="B377" s="228" t="s">
        <v>80</v>
      </c>
      <c r="C377" s="229" t="s">
        <v>366</v>
      </c>
      <c r="D377" s="26"/>
      <c r="E377" s="28"/>
      <c r="F377" s="128" t="str">
        <f>IF(E377="","",ROUND( IF(E377&gt;=81,0, IF(E377&lt;=36,1,IF(E377&gt;62, E377*'Reference Curves'!$V$4+'Reference Curves'!$V$5,IF(E377&gt;43, E377*'Reference Curves'!$W$4+'Reference Curves'!$W$5,E377*'Reference Curves'!$X$4+'Reference Curves'!$X$5)))),2))</f>
        <v/>
      </c>
      <c r="G377" s="104" t="str">
        <f>IFERROR(AVERAGE(F377),"")</f>
        <v/>
      </c>
      <c r="H377" s="440">
        <f>IF(OR(G377&lt;&gt;"",G378&lt;&gt;""),ROUND(AVERAGE(G377:G380),2),'Debit Calculator'!$F$28)</f>
        <v>1</v>
      </c>
      <c r="I377" s="436" t="str">
        <f>IF(H377="","",IF(H377&gt;0.69,"Functioning",IF(H377&gt;0.29,"Functioning At Risk",IF(H377&gt;-1,"Not Functioning"))))</f>
        <v>Functioning</v>
      </c>
      <c r="J377" s="462"/>
    </row>
    <row r="378" spans="1:10" ht="15.75" x14ac:dyDescent="0.25">
      <c r="A378" s="438"/>
      <c r="B378" s="437" t="s">
        <v>45</v>
      </c>
      <c r="C378" s="229" t="s">
        <v>242</v>
      </c>
      <c r="D378" s="26"/>
      <c r="E378" s="35"/>
      <c r="F378" s="104" t="str">
        <f>IF(E378="","",IF(F348="Anadromous", IF(E378&lt;=0,0,IF(E378&gt;=100,1,ROUND(IF(E378&lt;80,E378*'Reference Curves'!$V$11+'Reference Curves'!$V$12,E378*'Reference Curves'!$W$11+'Reference Curves'!$W$12),2))),
IF(F348="Non-anadromous", IF(E378&lt;=0,0,IF(E378&gt;=100,1,ROUND(IF(E378&lt;60,E378*'Reference Curves'!$X$11+'Reference Curves'!$X$12,E378*'Reference Curves'!$Y$11+'Reference Curves'!$Y$12),2))))))</f>
        <v/>
      </c>
      <c r="G378" s="441" t="str">
        <f>IFERROR(AVERAGE(F378:F380),"")</f>
        <v/>
      </c>
      <c r="H378" s="440"/>
      <c r="I378" s="436"/>
      <c r="J378" s="462"/>
    </row>
    <row r="379" spans="1:10" s="4" customFormat="1" ht="15.75" x14ac:dyDescent="0.25">
      <c r="A379" s="438"/>
      <c r="B379" s="438"/>
      <c r="C379" s="294" t="s">
        <v>322</v>
      </c>
      <c r="D379" s="295"/>
      <c r="E379" s="34"/>
      <c r="F379" s="104" t="str">
        <f>IF(E379="","", IF(E379&lt;=0,0,IF(E379&gt;=0.9,1,ROUND(E379*'Reference Curves'!$V$16+'Reference Curves'!$V$17,2))))</f>
        <v/>
      </c>
      <c r="G379" s="442"/>
      <c r="H379" s="440"/>
      <c r="I379" s="436"/>
      <c r="J379" s="462"/>
    </row>
    <row r="380" spans="1:10" ht="15.75" x14ac:dyDescent="0.25">
      <c r="A380" s="439"/>
      <c r="B380" s="439"/>
      <c r="C380" s="101" t="s">
        <v>243</v>
      </c>
      <c r="D380" s="103"/>
      <c r="E380" s="36"/>
      <c r="F380" s="128" t="str">
        <f>IF(E380="","", IF(E380&lt;=0,0,IF(E380&gt;=0.9,1,ROUND(E380*'Reference Curves'!$V$16+'Reference Curves'!$V$17,2))))</f>
        <v/>
      </c>
      <c r="G380" s="443"/>
      <c r="H380" s="440"/>
      <c r="I380" s="436"/>
      <c r="J380" s="463"/>
    </row>
    <row r="381" spans="1:10" x14ac:dyDescent="0.25">
      <c r="A381" s="4"/>
      <c r="B381" s="4"/>
      <c r="C381" s="4"/>
      <c r="E381" s="4"/>
      <c r="F381" s="4"/>
      <c r="H381" s="4"/>
      <c r="J381" s="3"/>
    </row>
  </sheetData>
  <sheetProtection algorithmName="SHA-512" hashValue="DL339jgyiWTxtJEvho5uwwcdGxDwbA5fTf5LGEQ3RhmhwxcvDPuWObZG0lOKoB88xpxEkg8X2Hu+5EUnYziqRw==" saltValue="NNZom59cMcnpU7zlwi023g==" spinCount="100000" sheet="1" formatColumns="0"/>
  <dataConsolidate/>
  <mergeCells count="431">
    <mergeCell ref="H310:I310"/>
    <mergeCell ref="E311:G311"/>
    <mergeCell ref="A351:F351"/>
    <mergeCell ref="G351:J351"/>
    <mergeCell ref="I163:I169"/>
    <mergeCell ref="J163:J190"/>
    <mergeCell ref="C238:D238"/>
    <mergeCell ref="A239:A245"/>
    <mergeCell ref="B239:B241"/>
    <mergeCell ref="G239:G241"/>
    <mergeCell ref="H239:H245"/>
    <mergeCell ref="I239:I245"/>
    <mergeCell ref="H348:I348"/>
    <mergeCell ref="H349:I349"/>
    <mergeCell ref="A345:J345"/>
    <mergeCell ref="H346:I346"/>
    <mergeCell ref="H347:I347"/>
    <mergeCell ref="F346:G346"/>
    <mergeCell ref="F347:G347"/>
    <mergeCell ref="F348:G348"/>
    <mergeCell ref="A349:B349"/>
    <mergeCell ref="E349:G349"/>
    <mergeCell ref="A275:F275"/>
    <mergeCell ref="G275:J275"/>
    <mergeCell ref="H163:H169"/>
    <mergeCell ref="A237:F237"/>
    <mergeCell ref="G237:J237"/>
    <mergeCell ref="B163:B165"/>
    <mergeCell ref="H272:I272"/>
    <mergeCell ref="H273:I273"/>
    <mergeCell ref="A269:J269"/>
    <mergeCell ref="H270:I270"/>
    <mergeCell ref="H271:I271"/>
    <mergeCell ref="F270:G270"/>
    <mergeCell ref="F271:G271"/>
    <mergeCell ref="F272:G272"/>
    <mergeCell ref="A273:B273"/>
    <mergeCell ref="E273:G273"/>
    <mergeCell ref="A201:A207"/>
    <mergeCell ref="B201:B203"/>
    <mergeCell ref="G201:G203"/>
    <mergeCell ref="H201:H207"/>
    <mergeCell ref="I201:I207"/>
    <mergeCell ref="H234:I234"/>
    <mergeCell ref="H235:I235"/>
    <mergeCell ref="A231:J231"/>
    <mergeCell ref="H232:I232"/>
    <mergeCell ref="H233:I233"/>
    <mergeCell ref="F232:G232"/>
    <mergeCell ref="F233:G233"/>
    <mergeCell ref="F234:G234"/>
    <mergeCell ref="A235:B235"/>
    <mergeCell ref="E235:G235"/>
    <mergeCell ref="A161:F161"/>
    <mergeCell ref="G161:J161"/>
    <mergeCell ref="B170:B171"/>
    <mergeCell ref="G170:G171"/>
    <mergeCell ref="B174:B176"/>
    <mergeCell ref="G174:G176"/>
    <mergeCell ref="B166:B169"/>
    <mergeCell ref="G166:G169"/>
    <mergeCell ref="A170:A172"/>
    <mergeCell ref="H170:H172"/>
    <mergeCell ref="A173:A183"/>
    <mergeCell ref="H173:H183"/>
    <mergeCell ref="I173:I183"/>
    <mergeCell ref="B178:B180"/>
    <mergeCell ref="G178:G180"/>
    <mergeCell ref="B181:B183"/>
    <mergeCell ref="G181:G183"/>
    <mergeCell ref="A184:A186"/>
    <mergeCell ref="I184:I186"/>
    <mergeCell ref="J87:J114"/>
    <mergeCell ref="H196:I196"/>
    <mergeCell ref="H197:I197"/>
    <mergeCell ref="A193:J193"/>
    <mergeCell ref="H194:I194"/>
    <mergeCell ref="H195:I195"/>
    <mergeCell ref="F194:G194"/>
    <mergeCell ref="F195:G195"/>
    <mergeCell ref="F196:G196"/>
    <mergeCell ref="A197:B197"/>
    <mergeCell ref="E197:G197"/>
    <mergeCell ref="A163:A169"/>
    <mergeCell ref="I125:I131"/>
    <mergeCell ref="B132:B133"/>
    <mergeCell ref="B125:B127"/>
    <mergeCell ref="H158:I158"/>
    <mergeCell ref="H159:I159"/>
    <mergeCell ref="A155:J155"/>
    <mergeCell ref="H156:I156"/>
    <mergeCell ref="H157:I157"/>
    <mergeCell ref="F156:G156"/>
    <mergeCell ref="F157:G157"/>
    <mergeCell ref="F158:G158"/>
    <mergeCell ref="G163:G165"/>
    <mergeCell ref="A159:B159"/>
    <mergeCell ref="E159:G159"/>
    <mergeCell ref="A85:F85"/>
    <mergeCell ref="G85:J85"/>
    <mergeCell ref="C86:D86"/>
    <mergeCell ref="A87:A93"/>
    <mergeCell ref="B87:B89"/>
    <mergeCell ref="G87:G89"/>
    <mergeCell ref="H87:H93"/>
    <mergeCell ref="I87:I93"/>
    <mergeCell ref="B90:B93"/>
    <mergeCell ref="G90:G93"/>
    <mergeCell ref="J125:J152"/>
    <mergeCell ref="B128:B131"/>
    <mergeCell ref="G128:G131"/>
    <mergeCell ref="A132:A134"/>
    <mergeCell ref="H132:H134"/>
    <mergeCell ref="A135:A145"/>
    <mergeCell ref="H135:H145"/>
    <mergeCell ref="I135:I145"/>
    <mergeCell ref="B136:B138"/>
    <mergeCell ref="G136:G138"/>
    <mergeCell ref="B140:B142"/>
    <mergeCell ref="G140:G142"/>
    <mergeCell ref="A94:A96"/>
    <mergeCell ref="B94:B95"/>
    <mergeCell ref="G94:G95"/>
    <mergeCell ref="H94:H96"/>
    <mergeCell ref="A97:A107"/>
    <mergeCell ref="H97:H107"/>
    <mergeCell ref="I97:I107"/>
    <mergeCell ref="B98:B100"/>
    <mergeCell ref="G98:G100"/>
    <mergeCell ref="B102:B104"/>
    <mergeCell ref="G102:G104"/>
    <mergeCell ref="B105:B107"/>
    <mergeCell ref="G105:G107"/>
    <mergeCell ref="H83:I83"/>
    <mergeCell ref="A79:J79"/>
    <mergeCell ref="H80:I80"/>
    <mergeCell ref="H81:I81"/>
    <mergeCell ref="F80:G80"/>
    <mergeCell ref="F81:G81"/>
    <mergeCell ref="F82:G82"/>
    <mergeCell ref="A83:B83"/>
    <mergeCell ref="E83:G83"/>
    <mergeCell ref="A47:F47"/>
    <mergeCell ref="G47:J47"/>
    <mergeCell ref="C48:D48"/>
    <mergeCell ref="A49:A55"/>
    <mergeCell ref="B49:B51"/>
    <mergeCell ref="I73:I76"/>
    <mergeCell ref="B74:B76"/>
    <mergeCell ref="G74:G76"/>
    <mergeCell ref="H82:I82"/>
    <mergeCell ref="A73:A76"/>
    <mergeCell ref="H73:H76"/>
    <mergeCell ref="G49:G51"/>
    <mergeCell ref="H49:H55"/>
    <mergeCell ref="I49:I55"/>
    <mergeCell ref="J49:J76"/>
    <mergeCell ref="B52:B55"/>
    <mergeCell ref="G52:G55"/>
    <mergeCell ref="A56:A58"/>
    <mergeCell ref="B56:B57"/>
    <mergeCell ref="G56:G57"/>
    <mergeCell ref="H56:H58"/>
    <mergeCell ref="A59:A69"/>
    <mergeCell ref="H59:H69"/>
    <mergeCell ref="I59:I69"/>
    <mergeCell ref="H44:I44"/>
    <mergeCell ref="H45:I45"/>
    <mergeCell ref="A41:J41"/>
    <mergeCell ref="H42:I42"/>
    <mergeCell ref="H43:I43"/>
    <mergeCell ref="F42:G42"/>
    <mergeCell ref="F43:G43"/>
    <mergeCell ref="F44:G44"/>
    <mergeCell ref="A45:B45"/>
    <mergeCell ref="E45:G45"/>
    <mergeCell ref="A3:J3"/>
    <mergeCell ref="H21:H31"/>
    <mergeCell ref="I21:I31"/>
    <mergeCell ref="H35:H38"/>
    <mergeCell ref="G29:G31"/>
    <mergeCell ref="G22:G24"/>
    <mergeCell ref="H32:H34"/>
    <mergeCell ref="G11:G13"/>
    <mergeCell ref="G26:G28"/>
    <mergeCell ref="G36:G38"/>
    <mergeCell ref="I35:I38"/>
    <mergeCell ref="A9:F9"/>
    <mergeCell ref="G9:J9"/>
    <mergeCell ref="C10:D10"/>
    <mergeCell ref="H7:I7"/>
    <mergeCell ref="A35:A38"/>
    <mergeCell ref="A32:A34"/>
    <mergeCell ref="B22:B24"/>
    <mergeCell ref="B29:B31"/>
    <mergeCell ref="G14:G17"/>
    <mergeCell ref="I32:I34"/>
    <mergeCell ref="B11:B13"/>
    <mergeCell ref="H6:I6"/>
    <mergeCell ref="H5:I5"/>
    <mergeCell ref="J11:J38"/>
    <mergeCell ref="B36:B38"/>
    <mergeCell ref="B26:B28"/>
    <mergeCell ref="A21:A31"/>
    <mergeCell ref="B14:B17"/>
    <mergeCell ref="A11:A17"/>
    <mergeCell ref="A18:A20"/>
    <mergeCell ref="B18:B19"/>
    <mergeCell ref="H4:I4"/>
    <mergeCell ref="H11:H17"/>
    <mergeCell ref="I11:I17"/>
    <mergeCell ref="G18:G19"/>
    <mergeCell ref="H18:H20"/>
    <mergeCell ref="E7:G7"/>
    <mergeCell ref="A7:B7"/>
    <mergeCell ref="F4:G4"/>
    <mergeCell ref="F5:G5"/>
    <mergeCell ref="F6:G6"/>
    <mergeCell ref="A146:A148"/>
    <mergeCell ref="H146:H148"/>
    <mergeCell ref="I146:I148"/>
    <mergeCell ref="A149:A152"/>
    <mergeCell ref="H149:H152"/>
    <mergeCell ref="I149:I152"/>
    <mergeCell ref="B150:B152"/>
    <mergeCell ref="G150:G152"/>
    <mergeCell ref="A125:A131"/>
    <mergeCell ref="G132:G133"/>
    <mergeCell ref="B143:B145"/>
    <mergeCell ref="G143:G145"/>
    <mergeCell ref="B60:B62"/>
    <mergeCell ref="G60:G62"/>
    <mergeCell ref="B64:B66"/>
    <mergeCell ref="G64:G66"/>
    <mergeCell ref="B67:B69"/>
    <mergeCell ref="G67:G69"/>
    <mergeCell ref="A70:A72"/>
    <mergeCell ref="H70:H72"/>
    <mergeCell ref="I70:I72"/>
    <mergeCell ref="A108:A110"/>
    <mergeCell ref="H108:H110"/>
    <mergeCell ref="I108:I110"/>
    <mergeCell ref="A111:A114"/>
    <mergeCell ref="H111:H114"/>
    <mergeCell ref="I111:I114"/>
    <mergeCell ref="B112:B114"/>
    <mergeCell ref="G112:G114"/>
    <mergeCell ref="C162:D162"/>
    <mergeCell ref="G125:G127"/>
    <mergeCell ref="H120:I120"/>
    <mergeCell ref="H121:I121"/>
    <mergeCell ref="A117:J117"/>
    <mergeCell ref="H118:I118"/>
    <mergeCell ref="H119:I119"/>
    <mergeCell ref="F118:G118"/>
    <mergeCell ref="F119:G119"/>
    <mergeCell ref="F120:G120"/>
    <mergeCell ref="A121:B121"/>
    <mergeCell ref="E121:G121"/>
    <mergeCell ref="A123:F123"/>
    <mergeCell ref="G123:J123"/>
    <mergeCell ref="C124:D124"/>
    <mergeCell ref="H125:H131"/>
    <mergeCell ref="A187:A190"/>
    <mergeCell ref="H187:H190"/>
    <mergeCell ref="I187:I190"/>
    <mergeCell ref="B188:B190"/>
    <mergeCell ref="G188:G190"/>
    <mergeCell ref="C200:D200"/>
    <mergeCell ref="A199:F199"/>
    <mergeCell ref="G199:J199"/>
    <mergeCell ref="H184:H186"/>
    <mergeCell ref="J201:J228"/>
    <mergeCell ref="B204:B207"/>
    <mergeCell ref="G204:G207"/>
    <mergeCell ref="A208:A210"/>
    <mergeCell ref="B208:B209"/>
    <mergeCell ref="G208:G209"/>
    <mergeCell ref="H208:H210"/>
    <mergeCell ref="A211:A221"/>
    <mergeCell ref="H211:H221"/>
    <mergeCell ref="I211:I221"/>
    <mergeCell ref="B212:B214"/>
    <mergeCell ref="G212:G214"/>
    <mergeCell ref="B216:B218"/>
    <mergeCell ref="G216:G218"/>
    <mergeCell ref="B219:B221"/>
    <mergeCell ref="G219:G221"/>
    <mergeCell ref="A222:A224"/>
    <mergeCell ref="H222:H224"/>
    <mergeCell ref="I222:I224"/>
    <mergeCell ref="A225:A228"/>
    <mergeCell ref="H225:H228"/>
    <mergeCell ref="I225:I228"/>
    <mergeCell ref="B226:B228"/>
    <mergeCell ref="G226:G228"/>
    <mergeCell ref="J239:J266"/>
    <mergeCell ref="B242:B245"/>
    <mergeCell ref="G242:G245"/>
    <mergeCell ref="A246:A248"/>
    <mergeCell ref="B246:B247"/>
    <mergeCell ref="G246:G247"/>
    <mergeCell ref="H246:H248"/>
    <mergeCell ref="A249:A259"/>
    <mergeCell ref="H249:H259"/>
    <mergeCell ref="I249:I259"/>
    <mergeCell ref="B250:B252"/>
    <mergeCell ref="G250:G252"/>
    <mergeCell ref="B254:B256"/>
    <mergeCell ref="G254:G256"/>
    <mergeCell ref="B257:B259"/>
    <mergeCell ref="G257:G259"/>
    <mergeCell ref="A260:A262"/>
    <mergeCell ref="H260:H262"/>
    <mergeCell ref="I260:I262"/>
    <mergeCell ref="A263:A266"/>
    <mergeCell ref="H263:H266"/>
    <mergeCell ref="I263:I266"/>
    <mergeCell ref="B264:B266"/>
    <mergeCell ref="G264:G266"/>
    <mergeCell ref="C276:D276"/>
    <mergeCell ref="A277:A283"/>
    <mergeCell ref="B277:B279"/>
    <mergeCell ref="G277:G279"/>
    <mergeCell ref="H277:H283"/>
    <mergeCell ref="I277:I283"/>
    <mergeCell ref="J277:J304"/>
    <mergeCell ref="B280:B283"/>
    <mergeCell ref="G280:G283"/>
    <mergeCell ref="A284:A286"/>
    <mergeCell ref="B284:B285"/>
    <mergeCell ref="G284:G285"/>
    <mergeCell ref="H284:H286"/>
    <mergeCell ref="A287:A297"/>
    <mergeCell ref="H287:H297"/>
    <mergeCell ref="I287:I297"/>
    <mergeCell ref="B288:B290"/>
    <mergeCell ref="G288:G290"/>
    <mergeCell ref="B292:B294"/>
    <mergeCell ref="G292:G294"/>
    <mergeCell ref="B295:B297"/>
    <mergeCell ref="G295:G297"/>
    <mergeCell ref="A298:A300"/>
    <mergeCell ref="H298:H300"/>
    <mergeCell ref="B340:B342"/>
    <mergeCell ref="G340:G342"/>
    <mergeCell ref="I298:I300"/>
    <mergeCell ref="A301:A304"/>
    <mergeCell ref="H301:H304"/>
    <mergeCell ref="I301:I304"/>
    <mergeCell ref="B302:B304"/>
    <mergeCell ref="G302:G304"/>
    <mergeCell ref="C314:D314"/>
    <mergeCell ref="A315:A321"/>
    <mergeCell ref="B315:B317"/>
    <mergeCell ref="G315:G317"/>
    <mergeCell ref="H315:H321"/>
    <mergeCell ref="I315:I321"/>
    <mergeCell ref="A313:F313"/>
    <mergeCell ref="G313:J313"/>
    <mergeCell ref="H311:I311"/>
    <mergeCell ref="A307:J307"/>
    <mergeCell ref="H308:I308"/>
    <mergeCell ref="H309:I309"/>
    <mergeCell ref="F308:G308"/>
    <mergeCell ref="F309:G309"/>
    <mergeCell ref="F310:G310"/>
    <mergeCell ref="A311:B311"/>
    <mergeCell ref="A374:A376"/>
    <mergeCell ref="H374:H376"/>
    <mergeCell ref="J315:J342"/>
    <mergeCell ref="B318:B321"/>
    <mergeCell ref="G318:G321"/>
    <mergeCell ref="A322:A324"/>
    <mergeCell ref="B322:B323"/>
    <mergeCell ref="G322:G323"/>
    <mergeCell ref="H322:H324"/>
    <mergeCell ref="A325:A335"/>
    <mergeCell ref="H325:H335"/>
    <mergeCell ref="I325:I335"/>
    <mergeCell ref="B326:B328"/>
    <mergeCell ref="G326:G328"/>
    <mergeCell ref="B330:B332"/>
    <mergeCell ref="G330:G332"/>
    <mergeCell ref="B333:B335"/>
    <mergeCell ref="G333:G335"/>
    <mergeCell ref="A336:A338"/>
    <mergeCell ref="H336:H338"/>
    <mergeCell ref="I336:I338"/>
    <mergeCell ref="A339:A342"/>
    <mergeCell ref="H339:H342"/>
    <mergeCell ref="I339:I342"/>
    <mergeCell ref="B356:B359"/>
    <mergeCell ref="G356:G359"/>
    <mergeCell ref="A360:A362"/>
    <mergeCell ref="B360:B361"/>
    <mergeCell ref="G360:G361"/>
    <mergeCell ref="H360:H362"/>
    <mergeCell ref="A363:A373"/>
    <mergeCell ref="H363:H373"/>
    <mergeCell ref="I363:I373"/>
    <mergeCell ref="B364:B366"/>
    <mergeCell ref="G364:G366"/>
    <mergeCell ref="B368:B370"/>
    <mergeCell ref="G368:G370"/>
    <mergeCell ref="B371:B373"/>
    <mergeCell ref="G371:G373"/>
    <mergeCell ref="I374:I376"/>
    <mergeCell ref="A377:A380"/>
    <mergeCell ref="H377:H380"/>
    <mergeCell ref="I377:I380"/>
    <mergeCell ref="B378:B380"/>
    <mergeCell ref="G378:G380"/>
    <mergeCell ref="A1:J1"/>
    <mergeCell ref="I18:I20"/>
    <mergeCell ref="I56:I58"/>
    <mergeCell ref="I94:I96"/>
    <mergeCell ref="I132:I134"/>
    <mergeCell ref="I170:I172"/>
    <mergeCell ref="I208:I210"/>
    <mergeCell ref="I246:I248"/>
    <mergeCell ref="I284:I286"/>
    <mergeCell ref="I322:I324"/>
    <mergeCell ref="I360:I362"/>
    <mergeCell ref="C352:D352"/>
    <mergeCell ref="A353:A359"/>
    <mergeCell ref="B353:B355"/>
    <mergeCell ref="G353:G355"/>
    <mergeCell ref="H353:H359"/>
    <mergeCell ref="I353:I359"/>
    <mergeCell ref="J353:J380"/>
  </mergeCells>
  <conditionalFormatting sqref="A10:B10 G9 E10:J10 H39:K39 K40 L3:M4 A3:A4 B8:I8 A7 C4:D4 F6 D18:D20 K7:K38 D5 F4 K63:K66 H153:J153 H305:J305 H381:J381 H343:J343 H229:J230 H267:J268 K72:K148 K45:K48 H77:J77 K54:K58 H115:J116">
    <cfRule type="beginsWith" dxfId="863" priority="8480" stopIfTrue="1" operator="beginsWith" text="Functioning At Risk">
      <formula>LEFT(A3,LEN("Functioning At Risk"))="Functioning At Risk"</formula>
    </cfRule>
    <cfRule type="beginsWith" dxfId="862" priority="8481" stopIfTrue="1" operator="beginsWith" text="Not Functioning">
      <formula>LEFT(A3,LEN("Not Functioning"))="Not Functioning"</formula>
    </cfRule>
    <cfRule type="containsText" dxfId="861" priority="8482" operator="containsText" text="Functioning">
      <formula>NOT(ISERROR(SEARCH("Functioning",A3)))</formula>
    </cfRule>
  </conditionalFormatting>
  <conditionalFormatting sqref="J4:J5 J7">
    <cfRule type="beginsWith" dxfId="860" priority="3268" stopIfTrue="1" operator="beginsWith" text="Functioning At Risk">
      <formula>LEFT(J4,LEN("Functioning At Risk"))="Functioning At Risk"</formula>
    </cfRule>
    <cfRule type="beginsWith" dxfId="859" priority="3269" stopIfTrue="1" operator="beginsWith" text="Not Functioning">
      <formula>LEFT(J4,LEN("Not Functioning"))="Not Functioning"</formula>
    </cfRule>
    <cfRule type="containsText" dxfId="858" priority="3270" operator="containsText" text="Functioning">
      <formula>NOT(ISERROR(SEARCH("Functioning",J4)))</formula>
    </cfRule>
  </conditionalFormatting>
  <conditionalFormatting sqref="B4">
    <cfRule type="beginsWith" dxfId="857" priority="1807" stopIfTrue="1" operator="beginsWith" text="Functioning At Risk">
      <formula>LEFT(B4,LEN("Functioning At Risk"))="Functioning At Risk"</formula>
    </cfRule>
    <cfRule type="beginsWith" dxfId="856" priority="1808" stopIfTrue="1" operator="beginsWith" text="Not Functioning">
      <formula>LEFT(B4,LEN("Not Functioning"))="Not Functioning"</formula>
    </cfRule>
    <cfRule type="containsText" dxfId="855" priority="1809" operator="containsText" text="Functioning">
      <formula>NOT(ISERROR(SEARCH("Functioning",B4)))</formula>
    </cfRule>
  </conditionalFormatting>
  <conditionalFormatting sqref="E6">
    <cfRule type="beginsWith" dxfId="854" priority="1435" stopIfTrue="1" operator="beginsWith" text="Functioning At Risk">
      <formula>LEFT(E6,LEN("Functioning At Risk"))="Functioning At Risk"</formula>
    </cfRule>
    <cfRule type="beginsWith" dxfId="853" priority="1436" stopIfTrue="1" operator="beginsWith" text="Not Functioning">
      <formula>LEFT(E6,LEN("Not Functioning"))="Not Functioning"</formula>
    </cfRule>
    <cfRule type="containsText" dxfId="852" priority="1437" operator="containsText" text="Functioning">
      <formula>NOT(ISERROR(SEARCH("Functioning",E6)))</formula>
    </cfRule>
  </conditionalFormatting>
  <conditionalFormatting sqref="F5">
    <cfRule type="beginsWith" dxfId="851" priority="1414" stopIfTrue="1" operator="beginsWith" text="Functioning At Risk">
      <formula>LEFT(F5,LEN("Functioning At Risk"))="Functioning At Risk"</formula>
    </cfRule>
    <cfRule type="beginsWith" dxfId="850" priority="1415" stopIfTrue="1" operator="beginsWith" text="Not Functioning">
      <formula>LEFT(F5,LEN("Not Functioning"))="Not Functioning"</formula>
    </cfRule>
    <cfRule type="containsText" dxfId="849" priority="1416" operator="containsText" text="Functioning">
      <formula>NOT(ISERROR(SEARCH("Functioning",F5)))</formula>
    </cfRule>
  </conditionalFormatting>
  <conditionalFormatting sqref="E5">
    <cfRule type="beginsWith" dxfId="848" priority="1420" stopIfTrue="1" operator="beginsWith" text="Functioning At Risk">
      <formula>LEFT(E5,LEN("Functioning At Risk"))="Functioning At Risk"</formula>
    </cfRule>
    <cfRule type="beginsWith" dxfId="847" priority="1421" stopIfTrue="1" operator="beginsWith" text="Not Functioning">
      <formula>LEFT(E5,LEN("Not Functioning"))="Not Functioning"</formula>
    </cfRule>
    <cfRule type="containsText" dxfId="846" priority="1422" operator="containsText" text="Functioning">
      <formula>NOT(ISERROR(SEARCH("Functioning",E5)))</formula>
    </cfRule>
  </conditionalFormatting>
  <conditionalFormatting sqref="E4">
    <cfRule type="beginsWith" dxfId="845" priority="1417" stopIfTrue="1" operator="beginsWith" text="Functioning At Risk">
      <formula>LEFT(E4,LEN("Functioning At Risk"))="Functioning At Risk"</formula>
    </cfRule>
    <cfRule type="beginsWith" dxfId="844" priority="1418" stopIfTrue="1" operator="beginsWith" text="Not Functioning">
      <formula>LEFT(E4,LEN("Not Functioning"))="Not Functioning"</formula>
    </cfRule>
    <cfRule type="containsText" dxfId="843" priority="1419" operator="containsText" text="Functioning">
      <formula>NOT(ISERROR(SEARCH("Functioning",E4)))</formula>
    </cfRule>
  </conditionalFormatting>
  <conditionalFormatting sqref="B5:B6">
    <cfRule type="beginsWith" dxfId="842" priority="1402" stopIfTrue="1" operator="beginsWith" text="Functioning At Risk">
      <formula>LEFT(B5,LEN("Functioning At Risk"))="Functioning At Risk"</formula>
    </cfRule>
    <cfRule type="beginsWith" dxfId="841" priority="1403" stopIfTrue="1" operator="beginsWith" text="Not Functioning">
      <formula>LEFT(B5,LEN("Not Functioning"))="Not Functioning"</formula>
    </cfRule>
    <cfRule type="containsText" dxfId="840" priority="1404" operator="containsText" text="Functioning">
      <formula>NOT(ISERROR(SEARCH("Functioning",B5)))</formula>
    </cfRule>
  </conditionalFormatting>
  <conditionalFormatting sqref="H4:H7">
    <cfRule type="beginsWith" dxfId="839" priority="1393" stopIfTrue="1" operator="beginsWith" text="Functioning At Risk">
      <formula>LEFT(H4,LEN("Functioning At Risk"))="Functioning At Risk"</formula>
    </cfRule>
    <cfRule type="beginsWith" dxfId="838" priority="1394" stopIfTrue="1" operator="beginsWith" text="Not Functioning">
      <formula>LEFT(H4,LEN("Not Functioning"))="Not Functioning"</formula>
    </cfRule>
    <cfRule type="containsText" dxfId="837" priority="1395" operator="containsText" text="Functioning">
      <formula>NOT(ISERROR(SEARCH("Functioning",H4)))</formula>
    </cfRule>
  </conditionalFormatting>
  <conditionalFormatting sqref="G47 L41:M42 B46:I46 A41">
    <cfRule type="beginsWith" dxfId="836" priority="1390" stopIfTrue="1" operator="beginsWith" text="Functioning At Risk">
      <formula>LEFT(A41,LEN("Functioning At Risk"))="Functioning At Risk"</formula>
    </cfRule>
    <cfRule type="beginsWith" dxfId="835" priority="1391" stopIfTrue="1" operator="beginsWith" text="Not Functioning">
      <formula>LEFT(A41,LEN("Not Functioning"))="Not Functioning"</formula>
    </cfRule>
    <cfRule type="containsText" dxfId="834" priority="1392" operator="containsText" text="Functioning">
      <formula>NOT(ISERROR(SEARCH("Functioning",A41)))</formula>
    </cfRule>
  </conditionalFormatting>
  <conditionalFormatting sqref="G85 L50:M51 B84:I84 A79">
    <cfRule type="beginsWith" dxfId="833" priority="1324" stopIfTrue="1" operator="beginsWith" text="Functioning At Risk">
      <formula>LEFT(A50,LEN("Functioning At Risk"))="Functioning At Risk"</formula>
    </cfRule>
    <cfRule type="beginsWith" dxfId="832" priority="1325" stopIfTrue="1" operator="beginsWith" text="Not Functioning">
      <formula>LEFT(A50,LEN("Not Functioning"))="Not Functioning"</formula>
    </cfRule>
    <cfRule type="containsText" dxfId="831" priority="1326" operator="containsText" text="Functioning">
      <formula>NOT(ISERROR(SEARCH("Functioning",A50)))</formula>
    </cfRule>
  </conditionalFormatting>
  <conditionalFormatting sqref="G123 K67 L59:M60 B122:I122 A117">
    <cfRule type="beginsWith" dxfId="830" priority="1258" stopIfTrue="1" operator="beginsWith" text="Functioning At Risk">
      <formula>LEFT(A59,LEN("Functioning At Risk"))="Functioning At Risk"</formula>
    </cfRule>
    <cfRule type="beginsWith" dxfId="829" priority="1259" stopIfTrue="1" operator="beginsWith" text="Not Functioning">
      <formula>LEFT(A59,LEN("Not Functioning"))="Not Functioning"</formula>
    </cfRule>
    <cfRule type="containsText" dxfId="828" priority="1260" operator="containsText" text="Functioning">
      <formula>NOT(ISERROR(SEARCH("Functioning",A59)))</formula>
    </cfRule>
  </conditionalFormatting>
  <conditionalFormatting sqref="L68:M69 B160:I160 A155">
    <cfRule type="beginsWith" dxfId="827" priority="1192" stopIfTrue="1" operator="beginsWith" text="Functioning At Risk">
      <formula>LEFT(A68,LEN("Functioning At Risk"))="Functioning At Risk"</formula>
    </cfRule>
    <cfRule type="beginsWith" dxfId="826" priority="1193" stopIfTrue="1" operator="beginsWith" text="Not Functioning">
      <formula>LEFT(A68,LEN("Not Functioning"))="Not Functioning"</formula>
    </cfRule>
    <cfRule type="containsText" dxfId="825" priority="1194" operator="containsText" text="Functioning">
      <formula>NOT(ISERROR(SEARCH("Functioning",A68)))</formula>
    </cfRule>
  </conditionalFormatting>
  <conditionalFormatting sqref="G199 B198:I198 A193">
    <cfRule type="beginsWith" dxfId="824" priority="1126" stopIfTrue="1" operator="beginsWith" text="Functioning At Risk">
      <formula>LEFT(A193,LEN("Functioning At Risk"))="Functioning At Risk"</formula>
    </cfRule>
    <cfRule type="beginsWith" dxfId="823" priority="1127" stopIfTrue="1" operator="beginsWith" text="Not Functioning">
      <formula>LEFT(A193,LEN("Not Functioning"))="Not Functioning"</formula>
    </cfRule>
    <cfRule type="containsText" dxfId="822" priority="1128" operator="containsText" text="Functioning">
      <formula>NOT(ISERROR(SEARCH("Functioning",A193)))</formula>
    </cfRule>
  </conditionalFormatting>
  <conditionalFormatting sqref="G237 B236:I236 A231">
    <cfRule type="beginsWith" dxfId="821" priority="1060" stopIfTrue="1" operator="beginsWith" text="Functioning At Risk">
      <formula>LEFT(A231,LEN("Functioning At Risk"))="Functioning At Risk"</formula>
    </cfRule>
    <cfRule type="beginsWith" dxfId="820" priority="1061" stopIfTrue="1" operator="beginsWith" text="Not Functioning">
      <formula>LEFT(A231,LEN("Not Functioning"))="Not Functioning"</formula>
    </cfRule>
    <cfRule type="containsText" dxfId="819" priority="1062" operator="containsText" text="Functioning">
      <formula>NOT(ISERROR(SEARCH("Functioning",A231)))</formula>
    </cfRule>
  </conditionalFormatting>
  <conditionalFormatting sqref="G275 B274:I274 A269">
    <cfRule type="beginsWith" dxfId="818" priority="994" stopIfTrue="1" operator="beginsWith" text="Functioning At Risk">
      <formula>LEFT(A269,LEN("Functioning At Risk"))="Functioning At Risk"</formula>
    </cfRule>
    <cfRule type="beginsWith" dxfId="817" priority="995" stopIfTrue="1" operator="beginsWith" text="Not Functioning">
      <formula>LEFT(A269,LEN("Not Functioning"))="Not Functioning"</formula>
    </cfRule>
    <cfRule type="containsText" dxfId="816" priority="996" operator="containsText" text="Functioning">
      <formula>NOT(ISERROR(SEARCH("Functioning",A269)))</formula>
    </cfRule>
  </conditionalFormatting>
  <conditionalFormatting sqref="G313 B312:I312 A307">
    <cfRule type="beginsWith" dxfId="815" priority="928" stopIfTrue="1" operator="beginsWith" text="Functioning At Risk">
      <formula>LEFT(A307,LEN("Functioning At Risk"))="Functioning At Risk"</formula>
    </cfRule>
    <cfRule type="beginsWith" dxfId="814" priority="929" stopIfTrue="1" operator="beginsWith" text="Not Functioning">
      <formula>LEFT(A307,LEN("Not Functioning"))="Not Functioning"</formula>
    </cfRule>
    <cfRule type="containsText" dxfId="813" priority="930" operator="containsText" text="Functioning">
      <formula>NOT(ISERROR(SEARCH("Functioning",A307)))</formula>
    </cfRule>
  </conditionalFormatting>
  <conditionalFormatting sqref="G351 B350:I350 A345">
    <cfRule type="beginsWith" dxfId="812" priority="862" stopIfTrue="1" operator="beginsWith" text="Functioning At Risk">
      <formula>LEFT(A345,LEN("Functioning At Risk"))="Functioning At Risk"</formula>
    </cfRule>
    <cfRule type="beginsWith" dxfId="811" priority="863" stopIfTrue="1" operator="beginsWith" text="Not Functioning">
      <formula>LEFT(A345,LEN("Not Functioning"))="Not Functioning"</formula>
    </cfRule>
    <cfRule type="containsText" dxfId="810" priority="864" operator="containsText" text="Functioning">
      <formula>NOT(ISERROR(SEARCH("Functioning",A345)))</formula>
    </cfRule>
  </conditionalFormatting>
  <conditionalFormatting sqref="D6">
    <cfRule type="beginsWith" dxfId="809" priority="580" stopIfTrue="1" operator="beginsWith" text="Functioning At Risk">
      <formula>LEFT(D6,LEN("Functioning At Risk"))="Functioning At Risk"</formula>
    </cfRule>
    <cfRule type="beginsWith" dxfId="808" priority="581" stopIfTrue="1" operator="beginsWith" text="Not Functioning">
      <formula>LEFT(D6,LEN("Not Functioning"))="Not Functioning"</formula>
    </cfRule>
    <cfRule type="containsText" dxfId="807" priority="582" operator="containsText" text="Functioning">
      <formula>NOT(ISERROR(SEARCH("Functioning",D6)))</formula>
    </cfRule>
  </conditionalFormatting>
  <conditionalFormatting sqref="H42:H45">
    <cfRule type="beginsWith" dxfId="806" priority="496" stopIfTrue="1" operator="beginsWith" text="Functioning At Risk">
      <formula>LEFT(H42,LEN("Functioning At Risk"))="Functioning At Risk"</formula>
    </cfRule>
    <cfRule type="beginsWith" dxfId="805" priority="497" stopIfTrue="1" operator="beginsWith" text="Not Functioning">
      <formula>LEFT(H42,LEN("Not Functioning"))="Not Functioning"</formula>
    </cfRule>
    <cfRule type="containsText" dxfId="804" priority="498" operator="containsText" text="Functioning">
      <formula>NOT(ISERROR(SEARCH("Functioning",H42)))</formula>
    </cfRule>
  </conditionalFormatting>
  <conditionalFormatting sqref="D44">
    <cfRule type="beginsWith" dxfId="803" priority="493" stopIfTrue="1" operator="beginsWith" text="Functioning At Risk">
      <formula>LEFT(D44,LEN("Functioning At Risk"))="Functioning At Risk"</formula>
    </cfRule>
    <cfRule type="beginsWith" dxfId="802" priority="494" stopIfTrue="1" operator="beginsWith" text="Not Functioning">
      <formula>LEFT(D44,LEN("Not Functioning"))="Not Functioning"</formula>
    </cfRule>
    <cfRule type="containsText" dxfId="801" priority="495" operator="containsText" text="Functioning">
      <formula>NOT(ISERROR(SEARCH("Functioning",D44)))</formula>
    </cfRule>
  </conditionalFormatting>
  <conditionalFormatting sqref="A80 A83 C80:D80 D81 F80">
    <cfRule type="beginsWith" dxfId="800" priority="490" stopIfTrue="1" operator="beginsWith" text="Functioning At Risk">
      <formula>LEFT(A80,LEN("Functioning At Risk"))="Functioning At Risk"</formula>
    </cfRule>
    <cfRule type="beginsWith" dxfId="799" priority="491" stopIfTrue="1" operator="beginsWith" text="Not Functioning">
      <formula>LEFT(A80,LEN("Not Functioning"))="Not Functioning"</formula>
    </cfRule>
    <cfRule type="containsText" dxfId="798" priority="492" operator="containsText" text="Functioning">
      <formula>NOT(ISERROR(SEARCH("Functioning",A80)))</formula>
    </cfRule>
  </conditionalFormatting>
  <conditionalFormatting sqref="J80:J81 J83">
    <cfRule type="beginsWith" dxfId="797" priority="487" stopIfTrue="1" operator="beginsWith" text="Functioning At Risk">
      <formula>LEFT(J80,LEN("Functioning At Risk"))="Functioning At Risk"</formula>
    </cfRule>
    <cfRule type="beginsWith" dxfId="796" priority="488" stopIfTrue="1" operator="beginsWith" text="Not Functioning">
      <formula>LEFT(J80,LEN("Not Functioning"))="Not Functioning"</formula>
    </cfRule>
    <cfRule type="containsText" dxfId="795" priority="489" operator="containsText" text="Functioning">
      <formula>NOT(ISERROR(SEARCH("Functioning",J80)))</formula>
    </cfRule>
  </conditionalFormatting>
  <conditionalFormatting sqref="E81">
    <cfRule type="beginsWith" dxfId="794" priority="475" stopIfTrue="1" operator="beginsWith" text="Functioning At Risk">
      <formula>LEFT(E81,LEN("Functioning At Risk"))="Functioning At Risk"</formula>
    </cfRule>
    <cfRule type="beginsWith" dxfId="793" priority="476" stopIfTrue="1" operator="beginsWith" text="Not Functioning">
      <formula>LEFT(E81,LEN("Not Functioning"))="Not Functioning"</formula>
    </cfRule>
    <cfRule type="containsText" dxfId="792" priority="477" operator="containsText" text="Functioning">
      <formula>NOT(ISERROR(SEARCH("Functioning",E81)))</formula>
    </cfRule>
  </conditionalFormatting>
  <conditionalFormatting sqref="E80">
    <cfRule type="beginsWith" dxfId="791" priority="472" stopIfTrue="1" operator="beginsWith" text="Functioning At Risk">
      <formula>LEFT(E80,LEN("Functioning At Risk"))="Functioning At Risk"</formula>
    </cfRule>
    <cfRule type="beginsWith" dxfId="790" priority="473" stopIfTrue="1" operator="beginsWith" text="Not Functioning">
      <formula>LEFT(E80,LEN("Not Functioning"))="Not Functioning"</formula>
    </cfRule>
    <cfRule type="containsText" dxfId="789" priority="474" operator="containsText" text="Functioning">
      <formula>NOT(ISERROR(SEARCH("Functioning",E80)))</formula>
    </cfRule>
  </conditionalFormatting>
  <conditionalFormatting sqref="H80:H83">
    <cfRule type="beginsWith" dxfId="788" priority="460" stopIfTrue="1" operator="beginsWith" text="Functioning At Risk">
      <formula>LEFT(H80,LEN("Functioning At Risk"))="Functioning At Risk"</formula>
    </cfRule>
    <cfRule type="beginsWith" dxfId="787" priority="461" stopIfTrue="1" operator="beginsWith" text="Not Functioning">
      <formula>LEFT(H80,LEN("Not Functioning"))="Not Functioning"</formula>
    </cfRule>
    <cfRule type="containsText" dxfId="786" priority="462" operator="containsText" text="Functioning">
      <formula>NOT(ISERROR(SEARCH("Functioning",H80)))</formula>
    </cfRule>
  </conditionalFormatting>
  <conditionalFormatting sqref="A42 A45 C42:D42 D43 F42">
    <cfRule type="beginsWith" dxfId="785" priority="526" stopIfTrue="1" operator="beginsWith" text="Functioning At Risk">
      <formula>LEFT(A42,LEN("Functioning At Risk"))="Functioning At Risk"</formula>
    </cfRule>
    <cfRule type="beginsWith" dxfId="784" priority="527" stopIfTrue="1" operator="beginsWith" text="Not Functioning">
      <formula>LEFT(A42,LEN("Not Functioning"))="Not Functioning"</formula>
    </cfRule>
    <cfRule type="containsText" dxfId="783" priority="528" operator="containsText" text="Functioning">
      <formula>NOT(ISERROR(SEARCH("Functioning",A42)))</formula>
    </cfRule>
  </conditionalFormatting>
  <conditionalFormatting sqref="J42:J43 J45">
    <cfRule type="beginsWith" dxfId="782" priority="523" stopIfTrue="1" operator="beginsWith" text="Functioning At Risk">
      <formula>LEFT(J42,LEN("Functioning At Risk"))="Functioning At Risk"</formula>
    </cfRule>
    <cfRule type="beginsWith" dxfId="781" priority="524" stopIfTrue="1" operator="beginsWith" text="Not Functioning">
      <formula>LEFT(J42,LEN("Not Functioning"))="Not Functioning"</formula>
    </cfRule>
    <cfRule type="containsText" dxfId="780" priority="525" operator="containsText" text="Functioning">
      <formula>NOT(ISERROR(SEARCH("Functioning",J42)))</formula>
    </cfRule>
  </conditionalFormatting>
  <conditionalFormatting sqref="E44">
    <cfRule type="beginsWith" dxfId="779" priority="517" stopIfTrue="1" operator="beginsWith" text="Functioning At Risk">
      <formula>LEFT(E44,LEN("Functioning At Risk"))="Functioning At Risk"</formula>
    </cfRule>
    <cfRule type="beginsWith" dxfId="778" priority="518" stopIfTrue="1" operator="beginsWith" text="Not Functioning">
      <formula>LEFT(E44,LEN("Not Functioning"))="Not Functioning"</formula>
    </cfRule>
    <cfRule type="containsText" dxfId="777" priority="519" operator="containsText" text="Functioning">
      <formula>NOT(ISERROR(SEARCH("Functioning",E44)))</formula>
    </cfRule>
  </conditionalFormatting>
  <conditionalFormatting sqref="E43">
    <cfRule type="beginsWith" dxfId="776" priority="511" stopIfTrue="1" operator="beginsWith" text="Functioning At Risk">
      <formula>LEFT(E43,LEN("Functioning At Risk"))="Functioning At Risk"</formula>
    </cfRule>
    <cfRule type="beginsWith" dxfId="775" priority="512" stopIfTrue="1" operator="beginsWith" text="Not Functioning">
      <formula>LEFT(E43,LEN("Not Functioning"))="Not Functioning"</formula>
    </cfRule>
    <cfRule type="containsText" dxfId="774" priority="513" operator="containsText" text="Functioning">
      <formula>NOT(ISERROR(SEARCH("Functioning",E43)))</formula>
    </cfRule>
  </conditionalFormatting>
  <conditionalFormatting sqref="E42">
    <cfRule type="beginsWith" dxfId="773" priority="508" stopIfTrue="1" operator="beginsWith" text="Functioning At Risk">
      <formula>LEFT(E42,LEN("Functioning At Risk"))="Functioning At Risk"</formula>
    </cfRule>
    <cfRule type="beginsWith" dxfId="772" priority="509" stopIfTrue="1" operator="beginsWith" text="Not Functioning">
      <formula>LEFT(E42,LEN("Not Functioning"))="Not Functioning"</formula>
    </cfRule>
    <cfRule type="containsText" dxfId="771" priority="510" operator="containsText" text="Functioning">
      <formula>NOT(ISERROR(SEARCH("Functioning",E42)))</formula>
    </cfRule>
  </conditionalFormatting>
  <conditionalFormatting sqref="B43:B44">
    <cfRule type="beginsWith" dxfId="770" priority="499" stopIfTrue="1" operator="beginsWith" text="Functioning At Risk">
      <formula>LEFT(B43,LEN("Functioning At Risk"))="Functioning At Risk"</formula>
    </cfRule>
    <cfRule type="beginsWith" dxfId="769" priority="500" stopIfTrue="1" operator="beginsWith" text="Not Functioning">
      <formula>LEFT(B43,LEN("Not Functioning"))="Not Functioning"</formula>
    </cfRule>
    <cfRule type="containsText" dxfId="768" priority="501" operator="containsText" text="Functioning">
      <formula>NOT(ISERROR(SEARCH("Functioning",B43)))</formula>
    </cfRule>
  </conditionalFormatting>
  <conditionalFormatting sqref="E82">
    <cfRule type="beginsWith" dxfId="767" priority="481" stopIfTrue="1" operator="beginsWith" text="Functioning At Risk">
      <formula>LEFT(E82,LEN("Functioning At Risk"))="Functioning At Risk"</formula>
    </cfRule>
    <cfRule type="beginsWith" dxfId="766" priority="482" stopIfTrue="1" operator="beginsWith" text="Not Functioning">
      <formula>LEFT(E82,LEN("Not Functioning"))="Not Functioning"</formula>
    </cfRule>
    <cfRule type="containsText" dxfId="765" priority="483" operator="containsText" text="Functioning">
      <formula>NOT(ISERROR(SEARCH("Functioning",E82)))</formula>
    </cfRule>
  </conditionalFormatting>
  <conditionalFormatting sqref="D82">
    <cfRule type="beginsWith" dxfId="764" priority="457" stopIfTrue="1" operator="beginsWith" text="Functioning At Risk">
      <formula>LEFT(D82,LEN("Functioning At Risk"))="Functioning At Risk"</formula>
    </cfRule>
    <cfRule type="beginsWith" dxfId="763" priority="458" stopIfTrue="1" operator="beginsWith" text="Not Functioning">
      <formula>LEFT(D82,LEN("Not Functioning"))="Not Functioning"</formula>
    </cfRule>
    <cfRule type="containsText" dxfId="762" priority="459" operator="containsText" text="Functioning">
      <formula>NOT(ISERROR(SEARCH("Functioning",D82)))</formula>
    </cfRule>
  </conditionalFormatting>
  <conditionalFormatting sqref="A118 A121 C118:D118 D119 F118">
    <cfRule type="beginsWith" dxfId="761" priority="454" stopIfTrue="1" operator="beginsWith" text="Functioning At Risk">
      <formula>LEFT(A118,LEN("Functioning At Risk"))="Functioning At Risk"</formula>
    </cfRule>
    <cfRule type="beginsWith" dxfId="760" priority="455" stopIfTrue="1" operator="beginsWith" text="Not Functioning">
      <formula>LEFT(A118,LEN("Not Functioning"))="Not Functioning"</formula>
    </cfRule>
    <cfRule type="containsText" dxfId="759" priority="456" operator="containsText" text="Functioning">
      <formula>NOT(ISERROR(SEARCH("Functioning",A118)))</formula>
    </cfRule>
  </conditionalFormatting>
  <conditionalFormatting sqref="J118:J119 J121">
    <cfRule type="beginsWith" dxfId="758" priority="451" stopIfTrue="1" operator="beginsWith" text="Functioning At Risk">
      <formula>LEFT(J118,LEN("Functioning At Risk"))="Functioning At Risk"</formula>
    </cfRule>
    <cfRule type="beginsWith" dxfId="757" priority="452" stopIfTrue="1" operator="beginsWith" text="Not Functioning">
      <formula>LEFT(J118,LEN("Not Functioning"))="Not Functioning"</formula>
    </cfRule>
    <cfRule type="containsText" dxfId="756" priority="453" operator="containsText" text="Functioning">
      <formula>NOT(ISERROR(SEARCH("Functioning",J118)))</formula>
    </cfRule>
  </conditionalFormatting>
  <conditionalFormatting sqref="B119">
    <cfRule type="beginsWith" dxfId="755" priority="427" stopIfTrue="1" operator="beginsWith" text="Functioning At Risk">
      <formula>LEFT(B119,LEN("Functioning At Risk"))="Functioning At Risk"</formula>
    </cfRule>
    <cfRule type="beginsWith" dxfId="754" priority="428" stopIfTrue="1" operator="beginsWith" text="Not Functioning">
      <formula>LEFT(B119,LEN("Not Functioning"))="Not Functioning"</formula>
    </cfRule>
    <cfRule type="containsText" dxfId="753" priority="429" operator="containsText" text="Functioning">
      <formula>NOT(ISERROR(SEARCH("Functioning",B119)))</formula>
    </cfRule>
  </conditionalFormatting>
  <conditionalFormatting sqref="E119">
    <cfRule type="beginsWith" dxfId="752" priority="439" stopIfTrue="1" operator="beginsWith" text="Functioning At Risk">
      <formula>LEFT(E119,LEN("Functioning At Risk"))="Functioning At Risk"</formula>
    </cfRule>
    <cfRule type="beginsWith" dxfId="751" priority="440" stopIfTrue="1" operator="beginsWith" text="Not Functioning">
      <formula>LEFT(E119,LEN("Not Functioning"))="Not Functioning"</formula>
    </cfRule>
    <cfRule type="containsText" dxfId="750" priority="441" operator="containsText" text="Functioning">
      <formula>NOT(ISERROR(SEARCH("Functioning",E119)))</formula>
    </cfRule>
  </conditionalFormatting>
  <conditionalFormatting sqref="E118">
    <cfRule type="beginsWith" dxfId="749" priority="436" stopIfTrue="1" operator="beginsWith" text="Functioning At Risk">
      <formula>LEFT(E118,LEN("Functioning At Risk"))="Functioning At Risk"</formula>
    </cfRule>
    <cfRule type="beginsWith" dxfId="748" priority="437" stopIfTrue="1" operator="beginsWith" text="Not Functioning">
      <formula>LEFT(E118,LEN("Not Functioning"))="Not Functioning"</formula>
    </cfRule>
    <cfRule type="containsText" dxfId="747" priority="438" operator="containsText" text="Functioning">
      <formula>NOT(ISERROR(SEARCH("Functioning",E118)))</formula>
    </cfRule>
  </conditionalFormatting>
  <conditionalFormatting sqref="H118:H121">
    <cfRule type="beginsWith" dxfId="746" priority="424" stopIfTrue="1" operator="beginsWith" text="Functioning At Risk">
      <formula>LEFT(H118,LEN("Functioning At Risk"))="Functioning At Risk"</formula>
    </cfRule>
    <cfRule type="beginsWith" dxfId="745" priority="425" stopIfTrue="1" operator="beginsWith" text="Not Functioning">
      <formula>LEFT(H118,LEN("Not Functioning"))="Not Functioning"</formula>
    </cfRule>
    <cfRule type="containsText" dxfId="744" priority="426" operator="containsText" text="Functioning">
      <formula>NOT(ISERROR(SEARCH("Functioning",H118)))</formula>
    </cfRule>
  </conditionalFormatting>
  <conditionalFormatting sqref="E120">
    <cfRule type="beginsWith" dxfId="743" priority="445" stopIfTrue="1" operator="beginsWith" text="Functioning At Risk">
      <formula>LEFT(E120,LEN("Functioning At Risk"))="Functioning At Risk"</formula>
    </cfRule>
    <cfRule type="beginsWith" dxfId="742" priority="446" stopIfTrue="1" operator="beginsWith" text="Not Functioning">
      <formula>LEFT(E120,LEN("Not Functioning"))="Not Functioning"</formula>
    </cfRule>
    <cfRule type="containsText" dxfId="741" priority="447" operator="containsText" text="Functioning">
      <formula>NOT(ISERROR(SEARCH("Functioning",E120)))</formula>
    </cfRule>
  </conditionalFormatting>
  <conditionalFormatting sqref="D120">
    <cfRule type="beginsWith" dxfId="740" priority="421" stopIfTrue="1" operator="beginsWith" text="Functioning At Risk">
      <formula>LEFT(D120,LEN("Functioning At Risk"))="Functioning At Risk"</formula>
    </cfRule>
    <cfRule type="beginsWith" dxfId="739" priority="422" stopIfTrue="1" operator="beginsWith" text="Not Functioning">
      <formula>LEFT(D120,LEN("Not Functioning"))="Not Functioning"</formula>
    </cfRule>
    <cfRule type="containsText" dxfId="738" priority="423" operator="containsText" text="Functioning">
      <formula>NOT(ISERROR(SEARCH("Functioning",D120)))</formula>
    </cfRule>
  </conditionalFormatting>
  <conditionalFormatting sqref="B156:B158">
    <cfRule type="beginsWith" dxfId="737" priority="412" stopIfTrue="1" operator="beginsWith" text="Functioning At Risk">
      <formula>LEFT(B156,LEN("Functioning At Risk"))="Functioning At Risk"</formula>
    </cfRule>
    <cfRule type="beginsWith" dxfId="736" priority="413" stopIfTrue="1" operator="beginsWith" text="Not Functioning">
      <formula>LEFT(B156,LEN("Not Functioning"))="Not Functioning"</formula>
    </cfRule>
    <cfRule type="containsText" dxfId="735" priority="414" operator="containsText" text="Functioning">
      <formula>NOT(ISERROR(SEARCH("Functioning",B156)))</formula>
    </cfRule>
  </conditionalFormatting>
  <conditionalFormatting sqref="A156 A159 C156:D156 D157 F156">
    <cfRule type="beginsWith" dxfId="734" priority="418" stopIfTrue="1" operator="beginsWith" text="Functioning At Risk">
      <formula>LEFT(A156,LEN("Functioning At Risk"))="Functioning At Risk"</formula>
    </cfRule>
    <cfRule type="beginsWith" dxfId="733" priority="419" stopIfTrue="1" operator="beginsWith" text="Not Functioning">
      <formula>LEFT(A156,LEN("Not Functioning"))="Not Functioning"</formula>
    </cfRule>
    <cfRule type="containsText" dxfId="732" priority="420" operator="containsText" text="Functioning">
      <formula>NOT(ISERROR(SEARCH("Functioning",A156)))</formula>
    </cfRule>
  </conditionalFormatting>
  <conditionalFormatting sqref="J156:J157 J159">
    <cfRule type="beginsWith" dxfId="731" priority="415" stopIfTrue="1" operator="beginsWith" text="Functioning At Risk">
      <formula>LEFT(J156,LEN("Functioning At Risk"))="Functioning At Risk"</formula>
    </cfRule>
    <cfRule type="beginsWith" dxfId="730" priority="416" stopIfTrue="1" operator="beginsWith" text="Not Functioning">
      <formula>LEFT(J156,LEN("Not Functioning"))="Not Functioning"</formula>
    </cfRule>
    <cfRule type="containsText" dxfId="729" priority="417" operator="containsText" text="Functioning">
      <formula>NOT(ISERROR(SEARCH("Functioning",J156)))</formula>
    </cfRule>
  </conditionalFormatting>
  <conditionalFormatting sqref="E157">
    <cfRule type="beginsWith" dxfId="728" priority="403" stopIfTrue="1" operator="beginsWith" text="Functioning At Risk">
      <formula>LEFT(E157,LEN("Functioning At Risk"))="Functioning At Risk"</formula>
    </cfRule>
    <cfRule type="beginsWith" dxfId="727" priority="404" stopIfTrue="1" operator="beginsWith" text="Not Functioning">
      <formula>LEFT(E157,LEN("Not Functioning"))="Not Functioning"</formula>
    </cfRule>
    <cfRule type="containsText" dxfId="726" priority="405" operator="containsText" text="Functioning">
      <formula>NOT(ISERROR(SEARCH("Functioning",E157)))</formula>
    </cfRule>
  </conditionalFormatting>
  <conditionalFormatting sqref="E156">
    <cfRule type="beginsWith" dxfId="725" priority="400" stopIfTrue="1" operator="beginsWith" text="Functioning At Risk">
      <formula>LEFT(E156,LEN("Functioning At Risk"))="Functioning At Risk"</formula>
    </cfRule>
    <cfRule type="beginsWith" dxfId="724" priority="401" stopIfTrue="1" operator="beginsWith" text="Not Functioning">
      <formula>LEFT(E156,LEN("Not Functioning"))="Not Functioning"</formula>
    </cfRule>
    <cfRule type="containsText" dxfId="723" priority="402" operator="containsText" text="Functioning">
      <formula>NOT(ISERROR(SEARCH("Functioning",E156)))</formula>
    </cfRule>
  </conditionalFormatting>
  <conditionalFormatting sqref="H156:H159">
    <cfRule type="beginsWith" dxfId="722" priority="388" stopIfTrue="1" operator="beginsWith" text="Functioning At Risk">
      <formula>LEFT(H156,LEN("Functioning At Risk"))="Functioning At Risk"</formula>
    </cfRule>
    <cfRule type="beginsWith" dxfId="721" priority="389" stopIfTrue="1" operator="beginsWith" text="Not Functioning">
      <formula>LEFT(H156,LEN("Not Functioning"))="Not Functioning"</formula>
    </cfRule>
    <cfRule type="containsText" dxfId="720" priority="390" operator="containsText" text="Functioning">
      <formula>NOT(ISERROR(SEARCH("Functioning",H156)))</formula>
    </cfRule>
  </conditionalFormatting>
  <conditionalFormatting sqref="E158">
    <cfRule type="beginsWith" dxfId="719" priority="409" stopIfTrue="1" operator="beginsWith" text="Functioning At Risk">
      <formula>LEFT(E158,LEN("Functioning At Risk"))="Functioning At Risk"</formula>
    </cfRule>
    <cfRule type="beginsWith" dxfId="718" priority="410" stopIfTrue="1" operator="beginsWith" text="Not Functioning">
      <formula>LEFT(E158,LEN("Not Functioning"))="Not Functioning"</formula>
    </cfRule>
    <cfRule type="containsText" dxfId="717" priority="411" operator="containsText" text="Functioning">
      <formula>NOT(ISERROR(SEARCH("Functioning",E158)))</formula>
    </cfRule>
  </conditionalFormatting>
  <conditionalFormatting sqref="D158">
    <cfRule type="beginsWith" dxfId="716" priority="385" stopIfTrue="1" operator="beginsWith" text="Functioning At Risk">
      <formula>LEFT(D158,LEN("Functioning At Risk"))="Functioning At Risk"</formula>
    </cfRule>
    <cfRule type="beginsWith" dxfId="715" priority="386" stopIfTrue="1" operator="beginsWith" text="Not Functioning">
      <formula>LEFT(D158,LEN("Not Functioning"))="Not Functioning"</formula>
    </cfRule>
    <cfRule type="containsText" dxfId="714" priority="387" operator="containsText" text="Functioning">
      <formula>NOT(ISERROR(SEARCH("Functioning",D158)))</formula>
    </cfRule>
  </conditionalFormatting>
  <conditionalFormatting sqref="B194:B196">
    <cfRule type="beginsWith" dxfId="713" priority="376" stopIfTrue="1" operator="beginsWith" text="Functioning At Risk">
      <formula>LEFT(B194,LEN("Functioning At Risk"))="Functioning At Risk"</formula>
    </cfRule>
    <cfRule type="beginsWith" dxfId="712" priority="377" stopIfTrue="1" operator="beginsWith" text="Not Functioning">
      <formula>LEFT(B194,LEN("Not Functioning"))="Not Functioning"</formula>
    </cfRule>
    <cfRule type="containsText" dxfId="711" priority="378" operator="containsText" text="Functioning">
      <formula>NOT(ISERROR(SEARCH("Functioning",B194)))</formula>
    </cfRule>
  </conditionalFormatting>
  <conditionalFormatting sqref="A194 A197 C194:D194 D195 F194">
    <cfRule type="beginsWith" dxfId="710" priority="382" stopIfTrue="1" operator="beginsWith" text="Functioning At Risk">
      <formula>LEFT(A194,LEN("Functioning At Risk"))="Functioning At Risk"</formula>
    </cfRule>
    <cfRule type="beginsWith" dxfId="709" priority="383" stopIfTrue="1" operator="beginsWith" text="Not Functioning">
      <formula>LEFT(A194,LEN("Not Functioning"))="Not Functioning"</formula>
    </cfRule>
    <cfRule type="containsText" dxfId="708" priority="384" operator="containsText" text="Functioning">
      <formula>NOT(ISERROR(SEARCH("Functioning",A194)))</formula>
    </cfRule>
  </conditionalFormatting>
  <conditionalFormatting sqref="J194:J195 J197">
    <cfRule type="beginsWith" dxfId="707" priority="379" stopIfTrue="1" operator="beginsWith" text="Functioning At Risk">
      <formula>LEFT(J194,LEN("Functioning At Risk"))="Functioning At Risk"</formula>
    </cfRule>
    <cfRule type="beginsWith" dxfId="706" priority="380" stopIfTrue="1" operator="beginsWith" text="Not Functioning">
      <formula>LEFT(J194,LEN("Not Functioning"))="Not Functioning"</formula>
    </cfRule>
    <cfRule type="containsText" dxfId="705" priority="381" operator="containsText" text="Functioning">
      <formula>NOT(ISERROR(SEARCH("Functioning",J194)))</formula>
    </cfRule>
  </conditionalFormatting>
  <conditionalFormatting sqref="E195">
    <cfRule type="beginsWith" dxfId="704" priority="367" stopIfTrue="1" operator="beginsWith" text="Functioning At Risk">
      <formula>LEFT(E195,LEN("Functioning At Risk"))="Functioning At Risk"</formula>
    </cfRule>
    <cfRule type="beginsWith" dxfId="703" priority="368" stopIfTrue="1" operator="beginsWith" text="Not Functioning">
      <formula>LEFT(E195,LEN("Not Functioning"))="Not Functioning"</formula>
    </cfRule>
    <cfRule type="containsText" dxfId="702" priority="369" operator="containsText" text="Functioning">
      <formula>NOT(ISERROR(SEARCH("Functioning",E195)))</formula>
    </cfRule>
  </conditionalFormatting>
  <conditionalFormatting sqref="E194">
    <cfRule type="beginsWith" dxfId="701" priority="364" stopIfTrue="1" operator="beginsWith" text="Functioning At Risk">
      <formula>LEFT(E194,LEN("Functioning At Risk"))="Functioning At Risk"</formula>
    </cfRule>
    <cfRule type="beginsWith" dxfId="700" priority="365" stopIfTrue="1" operator="beginsWith" text="Not Functioning">
      <formula>LEFT(E194,LEN("Not Functioning"))="Not Functioning"</formula>
    </cfRule>
    <cfRule type="containsText" dxfId="699" priority="366" operator="containsText" text="Functioning">
      <formula>NOT(ISERROR(SEARCH("Functioning",E194)))</formula>
    </cfRule>
  </conditionalFormatting>
  <conditionalFormatting sqref="H194:H197">
    <cfRule type="beginsWith" dxfId="698" priority="352" stopIfTrue="1" operator="beginsWith" text="Functioning At Risk">
      <formula>LEFT(H194,LEN("Functioning At Risk"))="Functioning At Risk"</formula>
    </cfRule>
    <cfRule type="beginsWith" dxfId="697" priority="353" stopIfTrue="1" operator="beginsWith" text="Not Functioning">
      <formula>LEFT(H194,LEN("Not Functioning"))="Not Functioning"</formula>
    </cfRule>
    <cfRule type="containsText" dxfId="696" priority="354" operator="containsText" text="Functioning">
      <formula>NOT(ISERROR(SEARCH("Functioning",H194)))</formula>
    </cfRule>
  </conditionalFormatting>
  <conditionalFormatting sqref="E196">
    <cfRule type="beginsWith" dxfId="695" priority="373" stopIfTrue="1" operator="beginsWith" text="Functioning At Risk">
      <formula>LEFT(E196,LEN("Functioning At Risk"))="Functioning At Risk"</formula>
    </cfRule>
    <cfRule type="beginsWith" dxfId="694" priority="374" stopIfTrue="1" operator="beginsWith" text="Not Functioning">
      <formula>LEFT(E196,LEN("Not Functioning"))="Not Functioning"</formula>
    </cfRule>
    <cfRule type="containsText" dxfId="693" priority="375" operator="containsText" text="Functioning">
      <formula>NOT(ISERROR(SEARCH("Functioning",E196)))</formula>
    </cfRule>
  </conditionalFormatting>
  <conditionalFormatting sqref="D196">
    <cfRule type="beginsWith" dxfId="692" priority="349" stopIfTrue="1" operator="beginsWith" text="Functioning At Risk">
      <formula>LEFT(D196,LEN("Functioning At Risk"))="Functioning At Risk"</formula>
    </cfRule>
    <cfRule type="beginsWith" dxfId="691" priority="350" stopIfTrue="1" operator="beginsWith" text="Not Functioning">
      <formula>LEFT(D196,LEN("Not Functioning"))="Not Functioning"</formula>
    </cfRule>
    <cfRule type="containsText" dxfId="690" priority="351" operator="containsText" text="Functioning">
      <formula>NOT(ISERROR(SEARCH("Functioning",D196)))</formula>
    </cfRule>
  </conditionalFormatting>
  <conditionalFormatting sqref="A232 A235 C232:D232 D233 F232">
    <cfRule type="beginsWith" dxfId="689" priority="346" stopIfTrue="1" operator="beginsWith" text="Functioning At Risk">
      <formula>LEFT(A232,LEN("Functioning At Risk"))="Functioning At Risk"</formula>
    </cfRule>
    <cfRule type="beginsWith" dxfId="688" priority="347" stopIfTrue="1" operator="beginsWith" text="Not Functioning">
      <formula>LEFT(A232,LEN("Not Functioning"))="Not Functioning"</formula>
    </cfRule>
    <cfRule type="containsText" dxfId="687" priority="348" operator="containsText" text="Functioning">
      <formula>NOT(ISERROR(SEARCH("Functioning",A232)))</formula>
    </cfRule>
  </conditionalFormatting>
  <conditionalFormatting sqref="J232:J233 J235">
    <cfRule type="beginsWith" dxfId="686" priority="343" stopIfTrue="1" operator="beginsWith" text="Functioning At Risk">
      <formula>LEFT(J232,LEN("Functioning At Risk"))="Functioning At Risk"</formula>
    </cfRule>
    <cfRule type="beginsWith" dxfId="685" priority="344" stopIfTrue="1" operator="beginsWith" text="Not Functioning">
      <formula>LEFT(J232,LEN("Not Functioning"))="Not Functioning"</formula>
    </cfRule>
    <cfRule type="containsText" dxfId="684" priority="345" operator="containsText" text="Functioning">
      <formula>NOT(ISERROR(SEARCH("Functioning",J232)))</formula>
    </cfRule>
  </conditionalFormatting>
  <conditionalFormatting sqref="E233">
    <cfRule type="beginsWith" dxfId="683" priority="331" stopIfTrue="1" operator="beginsWith" text="Functioning At Risk">
      <formula>LEFT(E233,LEN("Functioning At Risk"))="Functioning At Risk"</formula>
    </cfRule>
    <cfRule type="beginsWith" dxfId="682" priority="332" stopIfTrue="1" operator="beginsWith" text="Not Functioning">
      <formula>LEFT(E233,LEN("Not Functioning"))="Not Functioning"</formula>
    </cfRule>
    <cfRule type="containsText" dxfId="681" priority="333" operator="containsText" text="Functioning">
      <formula>NOT(ISERROR(SEARCH("Functioning",E233)))</formula>
    </cfRule>
  </conditionalFormatting>
  <conditionalFormatting sqref="E232">
    <cfRule type="beginsWith" dxfId="680" priority="328" stopIfTrue="1" operator="beginsWith" text="Functioning At Risk">
      <formula>LEFT(E232,LEN("Functioning At Risk"))="Functioning At Risk"</formula>
    </cfRule>
    <cfRule type="beginsWith" dxfId="679" priority="329" stopIfTrue="1" operator="beginsWith" text="Not Functioning">
      <formula>LEFT(E232,LEN("Not Functioning"))="Not Functioning"</formula>
    </cfRule>
    <cfRule type="containsText" dxfId="678" priority="330" operator="containsText" text="Functioning">
      <formula>NOT(ISERROR(SEARCH("Functioning",E232)))</formula>
    </cfRule>
  </conditionalFormatting>
  <conditionalFormatting sqref="H232:H235">
    <cfRule type="beginsWith" dxfId="677" priority="316" stopIfTrue="1" operator="beginsWith" text="Functioning At Risk">
      <formula>LEFT(H232,LEN("Functioning At Risk"))="Functioning At Risk"</formula>
    </cfRule>
    <cfRule type="beginsWith" dxfId="676" priority="317" stopIfTrue="1" operator="beginsWith" text="Not Functioning">
      <formula>LEFT(H232,LEN("Not Functioning"))="Not Functioning"</formula>
    </cfRule>
    <cfRule type="containsText" dxfId="675" priority="318" operator="containsText" text="Functioning">
      <formula>NOT(ISERROR(SEARCH("Functioning",H232)))</formula>
    </cfRule>
  </conditionalFormatting>
  <conditionalFormatting sqref="E234">
    <cfRule type="beginsWith" dxfId="674" priority="337" stopIfTrue="1" operator="beginsWith" text="Functioning At Risk">
      <formula>LEFT(E234,LEN("Functioning At Risk"))="Functioning At Risk"</formula>
    </cfRule>
    <cfRule type="beginsWith" dxfId="673" priority="338" stopIfTrue="1" operator="beginsWith" text="Not Functioning">
      <formula>LEFT(E234,LEN("Not Functioning"))="Not Functioning"</formula>
    </cfRule>
    <cfRule type="containsText" dxfId="672" priority="339" operator="containsText" text="Functioning">
      <formula>NOT(ISERROR(SEARCH("Functioning",E234)))</formula>
    </cfRule>
  </conditionalFormatting>
  <conditionalFormatting sqref="D234">
    <cfRule type="beginsWith" dxfId="671" priority="313" stopIfTrue="1" operator="beginsWith" text="Functioning At Risk">
      <formula>LEFT(D234,LEN("Functioning At Risk"))="Functioning At Risk"</formula>
    </cfRule>
    <cfRule type="beginsWith" dxfId="670" priority="314" stopIfTrue="1" operator="beginsWith" text="Not Functioning">
      <formula>LEFT(D234,LEN("Not Functioning"))="Not Functioning"</formula>
    </cfRule>
    <cfRule type="containsText" dxfId="669" priority="315" operator="containsText" text="Functioning">
      <formula>NOT(ISERROR(SEARCH("Functioning",D234)))</formula>
    </cfRule>
  </conditionalFormatting>
  <conditionalFormatting sqref="A270 A273 C270:D270 D271 F270">
    <cfRule type="beginsWith" dxfId="668" priority="310" stopIfTrue="1" operator="beginsWith" text="Functioning At Risk">
      <formula>LEFT(A270,LEN("Functioning At Risk"))="Functioning At Risk"</formula>
    </cfRule>
    <cfRule type="beginsWith" dxfId="667" priority="311" stopIfTrue="1" operator="beginsWith" text="Not Functioning">
      <formula>LEFT(A270,LEN("Not Functioning"))="Not Functioning"</formula>
    </cfRule>
    <cfRule type="containsText" dxfId="666" priority="312" operator="containsText" text="Functioning">
      <formula>NOT(ISERROR(SEARCH("Functioning",A270)))</formula>
    </cfRule>
  </conditionalFormatting>
  <conditionalFormatting sqref="J270:J271 J273">
    <cfRule type="beginsWith" dxfId="665" priority="307" stopIfTrue="1" operator="beginsWith" text="Functioning At Risk">
      <formula>LEFT(J270,LEN("Functioning At Risk"))="Functioning At Risk"</formula>
    </cfRule>
    <cfRule type="beginsWith" dxfId="664" priority="308" stopIfTrue="1" operator="beginsWith" text="Not Functioning">
      <formula>LEFT(J270,LEN("Not Functioning"))="Not Functioning"</formula>
    </cfRule>
    <cfRule type="containsText" dxfId="663" priority="309" operator="containsText" text="Functioning">
      <formula>NOT(ISERROR(SEARCH("Functioning",J270)))</formula>
    </cfRule>
  </conditionalFormatting>
  <conditionalFormatting sqref="E271">
    <cfRule type="beginsWith" dxfId="662" priority="295" stopIfTrue="1" operator="beginsWith" text="Functioning At Risk">
      <formula>LEFT(E271,LEN("Functioning At Risk"))="Functioning At Risk"</formula>
    </cfRule>
    <cfRule type="beginsWith" dxfId="661" priority="296" stopIfTrue="1" operator="beginsWith" text="Not Functioning">
      <formula>LEFT(E271,LEN("Not Functioning"))="Not Functioning"</formula>
    </cfRule>
    <cfRule type="containsText" dxfId="660" priority="297" operator="containsText" text="Functioning">
      <formula>NOT(ISERROR(SEARCH("Functioning",E271)))</formula>
    </cfRule>
  </conditionalFormatting>
  <conditionalFormatting sqref="E270">
    <cfRule type="beginsWith" dxfId="659" priority="292" stopIfTrue="1" operator="beginsWith" text="Functioning At Risk">
      <formula>LEFT(E270,LEN("Functioning At Risk"))="Functioning At Risk"</formula>
    </cfRule>
    <cfRule type="beginsWith" dxfId="658" priority="293" stopIfTrue="1" operator="beginsWith" text="Not Functioning">
      <formula>LEFT(E270,LEN("Not Functioning"))="Not Functioning"</formula>
    </cfRule>
    <cfRule type="containsText" dxfId="657" priority="294" operator="containsText" text="Functioning">
      <formula>NOT(ISERROR(SEARCH("Functioning",E270)))</formula>
    </cfRule>
  </conditionalFormatting>
  <conditionalFormatting sqref="H270:H273">
    <cfRule type="beginsWith" dxfId="656" priority="280" stopIfTrue="1" operator="beginsWith" text="Functioning At Risk">
      <formula>LEFT(H270,LEN("Functioning At Risk"))="Functioning At Risk"</formula>
    </cfRule>
    <cfRule type="beginsWith" dxfId="655" priority="281" stopIfTrue="1" operator="beginsWith" text="Not Functioning">
      <formula>LEFT(H270,LEN("Not Functioning"))="Not Functioning"</formula>
    </cfRule>
    <cfRule type="containsText" dxfId="654" priority="282" operator="containsText" text="Functioning">
      <formula>NOT(ISERROR(SEARCH("Functioning",H270)))</formula>
    </cfRule>
  </conditionalFormatting>
  <conditionalFormatting sqref="E272">
    <cfRule type="beginsWith" dxfId="653" priority="301" stopIfTrue="1" operator="beginsWith" text="Functioning At Risk">
      <formula>LEFT(E272,LEN("Functioning At Risk"))="Functioning At Risk"</formula>
    </cfRule>
    <cfRule type="beginsWith" dxfId="652" priority="302" stopIfTrue="1" operator="beginsWith" text="Not Functioning">
      <formula>LEFT(E272,LEN("Not Functioning"))="Not Functioning"</formula>
    </cfRule>
    <cfRule type="containsText" dxfId="651" priority="303" operator="containsText" text="Functioning">
      <formula>NOT(ISERROR(SEARCH("Functioning",E272)))</formula>
    </cfRule>
  </conditionalFormatting>
  <conditionalFormatting sqref="D272">
    <cfRule type="beginsWith" dxfId="650" priority="277" stopIfTrue="1" operator="beginsWith" text="Functioning At Risk">
      <formula>LEFT(D272,LEN("Functioning At Risk"))="Functioning At Risk"</formula>
    </cfRule>
    <cfRule type="beginsWith" dxfId="649" priority="278" stopIfTrue="1" operator="beginsWith" text="Not Functioning">
      <formula>LEFT(D272,LEN("Not Functioning"))="Not Functioning"</formula>
    </cfRule>
    <cfRule type="containsText" dxfId="648" priority="279" operator="containsText" text="Functioning">
      <formula>NOT(ISERROR(SEARCH("Functioning",D272)))</formula>
    </cfRule>
  </conditionalFormatting>
  <conditionalFormatting sqref="A308 A311 C308:D308 D309 F308">
    <cfRule type="beginsWith" dxfId="647" priority="274" stopIfTrue="1" operator="beginsWith" text="Functioning At Risk">
      <formula>LEFT(A308,LEN("Functioning At Risk"))="Functioning At Risk"</formula>
    </cfRule>
    <cfRule type="beginsWith" dxfId="646" priority="275" stopIfTrue="1" operator="beginsWith" text="Not Functioning">
      <formula>LEFT(A308,LEN("Not Functioning"))="Not Functioning"</formula>
    </cfRule>
    <cfRule type="containsText" dxfId="645" priority="276" operator="containsText" text="Functioning">
      <formula>NOT(ISERROR(SEARCH("Functioning",A308)))</formula>
    </cfRule>
  </conditionalFormatting>
  <conditionalFormatting sqref="J308:J309 J311">
    <cfRule type="beginsWith" dxfId="644" priority="271" stopIfTrue="1" operator="beginsWith" text="Functioning At Risk">
      <formula>LEFT(J308,LEN("Functioning At Risk"))="Functioning At Risk"</formula>
    </cfRule>
    <cfRule type="beginsWith" dxfId="643" priority="272" stopIfTrue="1" operator="beginsWith" text="Not Functioning">
      <formula>LEFT(J308,LEN("Not Functioning"))="Not Functioning"</formula>
    </cfRule>
    <cfRule type="containsText" dxfId="642" priority="273" operator="containsText" text="Functioning">
      <formula>NOT(ISERROR(SEARCH("Functioning",J308)))</formula>
    </cfRule>
  </conditionalFormatting>
  <conditionalFormatting sqref="E309">
    <cfRule type="beginsWith" dxfId="641" priority="259" stopIfTrue="1" operator="beginsWith" text="Functioning At Risk">
      <formula>LEFT(E309,LEN("Functioning At Risk"))="Functioning At Risk"</formula>
    </cfRule>
    <cfRule type="beginsWith" dxfId="640" priority="260" stopIfTrue="1" operator="beginsWith" text="Not Functioning">
      <formula>LEFT(E309,LEN("Not Functioning"))="Not Functioning"</formula>
    </cfRule>
    <cfRule type="containsText" dxfId="639" priority="261" operator="containsText" text="Functioning">
      <formula>NOT(ISERROR(SEARCH("Functioning",E309)))</formula>
    </cfRule>
  </conditionalFormatting>
  <conditionalFormatting sqref="E308">
    <cfRule type="beginsWith" dxfId="638" priority="256" stopIfTrue="1" operator="beginsWith" text="Functioning At Risk">
      <formula>LEFT(E308,LEN("Functioning At Risk"))="Functioning At Risk"</formula>
    </cfRule>
    <cfRule type="beginsWith" dxfId="637" priority="257" stopIfTrue="1" operator="beginsWith" text="Not Functioning">
      <formula>LEFT(E308,LEN("Not Functioning"))="Not Functioning"</formula>
    </cfRule>
    <cfRule type="containsText" dxfId="636" priority="258" operator="containsText" text="Functioning">
      <formula>NOT(ISERROR(SEARCH("Functioning",E308)))</formula>
    </cfRule>
  </conditionalFormatting>
  <conditionalFormatting sqref="H308:H311">
    <cfRule type="beginsWith" dxfId="635" priority="244" stopIfTrue="1" operator="beginsWith" text="Functioning At Risk">
      <formula>LEFT(H308,LEN("Functioning At Risk"))="Functioning At Risk"</formula>
    </cfRule>
    <cfRule type="beginsWith" dxfId="634" priority="245" stopIfTrue="1" operator="beginsWith" text="Not Functioning">
      <formula>LEFT(H308,LEN("Not Functioning"))="Not Functioning"</formula>
    </cfRule>
    <cfRule type="containsText" dxfId="633" priority="246" operator="containsText" text="Functioning">
      <formula>NOT(ISERROR(SEARCH("Functioning",H308)))</formula>
    </cfRule>
  </conditionalFormatting>
  <conditionalFormatting sqref="E310">
    <cfRule type="beginsWith" dxfId="632" priority="265" stopIfTrue="1" operator="beginsWith" text="Functioning At Risk">
      <formula>LEFT(E310,LEN("Functioning At Risk"))="Functioning At Risk"</formula>
    </cfRule>
    <cfRule type="beginsWith" dxfId="631" priority="266" stopIfTrue="1" operator="beginsWith" text="Not Functioning">
      <formula>LEFT(E310,LEN("Not Functioning"))="Not Functioning"</formula>
    </cfRule>
    <cfRule type="containsText" dxfId="630" priority="267" operator="containsText" text="Functioning">
      <formula>NOT(ISERROR(SEARCH("Functioning",E310)))</formula>
    </cfRule>
  </conditionalFormatting>
  <conditionalFormatting sqref="D310">
    <cfRule type="beginsWith" dxfId="629" priority="241" stopIfTrue="1" operator="beginsWith" text="Functioning At Risk">
      <formula>LEFT(D310,LEN("Functioning At Risk"))="Functioning At Risk"</formula>
    </cfRule>
    <cfRule type="beginsWith" dxfId="628" priority="242" stopIfTrue="1" operator="beginsWith" text="Not Functioning">
      <formula>LEFT(D310,LEN("Not Functioning"))="Not Functioning"</formula>
    </cfRule>
    <cfRule type="containsText" dxfId="627" priority="243" operator="containsText" text="Functioning">
      <formula>NOT(ISERROR(SEARCH("Functioning",D310)))</formula>
    </cfRule>
  </conditionalFormatting>
  <conditionalFormatting sqref="B346">
    <cfRule type="beginsWith" dxfId="626" priority="232" stopIfTrue="1" operator="beginsWith" text="Functioning At Risk">
      <formula>LEFT(B346,LEN("Functioning At Risk"))="Functioning At Risk"</formula>
    </cfRule>
    <cfRule type="beginsWith" dxfId="625" priority="233" stopIfTrue="1" operator="beginsWith" text="Not Functioning">
      <formula>LEFT(B346,LEN("Not Functioning"))="Not Functioning"</formula>
    </cfRule>
    <cfRule type="containsText" dxfId="624" priority="234" operator="containsText" text="Functioning">
      <formula>NOT(ISERROR(SEARCH("Functioning",B346)))</formula>
    </cfRule>
  </conditionalFormatting>
  <conditionalFormatting sqref="A346 A349 C346:D346 D347 F346">
    <cfRule type="beginsWith" dxfId="623" priority="238" stopIfTrue="1" operator="beginsWith" text="Functioning At Risk">
      <formula>LEFT(A346,LEN("Functioning At Risk"))="Functioning At Risk"</formula>
    </cfRule>
    <cfRule type="beginsWith" dxfId="622" priority="239" stopIfTrue="1" operator="beginsWith" text="Not Functioning">
      <formula>LEFT(A346,LEN("Not Functioning"))="Not Functioning"</formula>
    </cfRule>
    <cfRule type="containsText" dxfId="621" priority="240" operator="containsText" text="Functioning">
      <formula>NOT(ISERROR(SEARCH("Functioning",A346)))</formula>
    </cfRule>
  </conditionalFormatting>
  <conditionalFormatting sqref="J346:J347 J349">
    <cfRule type="beginsWith" dxfId="620" priority="235" stopIfTrue="1" operator="beginsWith" text="Functioning At Risk">
      <formula>LEFT(J346,LEN("Functioning At Risk"))="Functioning At Risk"</formula>
    </cfRule>
    <cfRule type="beginsWith" dxfId="619" priority="236" stopIfTrue="1" operator="beginsWith" text="Not Functioning">
      <formula>LEFT(J346,LEN("Not Functioning"))="Not Functioning"</formula>
    </cfRule>
    <cfRule type="containsText" dxfId="618" priority="237" operator="containsText" text="Functioning">
      <formula>NOT(ISERROR(SEARCH("Functioning",J346)))</formula>
    </cfRule>
  </conditionalFormatting>
  <conditionalFormatting sqref="E347">
    <cfRule type="beginsWith" dxfId="617" priority="223" stopIfTrue="1" operator="beginsWith" text="Functioning At Risk">
      <formula>LEFT(E347,LEN("Functioning At Risk"))="Functioning At Risk"</formula>
    </cfRule>
    <cfRule type="beginsWith" dxfId="616" priority="224" stopIfTrue="1" operator="beginsWith" text="Not Functioning">
      <formula>LEFT(E347,LEN("Not Functioning"))="Not Functioning"</formula>
    </cfRule>
    <cfRule type="containsText" dxfId="615" priority="225" operator="containsText" text="Functioning">
      <formula>NOT(ISERROR(SEARCH("Functioning",E347)))</formula>
    </cfRule>
  </conditionalFormatting>
  <conditionalFormatting sqref="E346">
    <cfRule type="beginsWith" dxfId="614" priority="220" stopIfTrue="1" operator="beginsWith" text="Functioning At Risk">
      <formula>LEFT(E346,LEN("Functioning At Risk"))="Functioning At Risk"</formula>
    </cfRule>
    <cfRule type="beginsWith" dxfId="613" priority="221" stopIfTrue="1" operator="beginsWith" text="Not Functioning">
      <formula>LEFT(E346,LEN("Not Functioning"))="Not Functioning"</formula>
    </cfRule>
    <cfRule type="containsText" dxfId="612" priority="222" operator="containsText" text="Functioning">
      <formula>NOT(ISERROR(SEARCH("Functioning",E346)))</formula>
    </cfRule>
  </conditionalFormatting>
  <conditionalFormatting sqref="H346:H349">
    <cfRule type="beginsWith" dxfId="611" priority="208" stopIfTrue="1" operator="beginsWith" text="Functioning At Risk">
      <formula>LEFT(H346,LEN("Functioning At Risk"))="Functioning At Risk"</formula>
    </cfRule>
    <cfRule type="beginsWith" dxfId="610" priority="209" stopIfTrue="1" operator="beginsWith" text="Not Functioning">
      <formula>LEFT(H346,LEN("Not Functioning"))="Not Functioning"</formula>
    </cfRule>
    <cfRule type="containsText" dxfId="609" priority="210" operator="containsText" text="Functioning">
      <formula>NOT(ISERROR(SEARCH("Functioning",H346)))</formula>
    </cfRule>
  </conditionalFormatting>
  <conditionalFormatting sqref="E348">
    <cfRule type="beginsWith" dxfId="608" priority="229" stopIfTrue="1" operator="beginsWith" text="Functioning At Risk">
      <formula>LEFT(E348,LEN("Functioning At Risk"))="Functioning At Risk"</formula>
    </cfRule>
    <cfRule type="beginsWith" dxfId="607" priority="230" stopIfTrue="1" operator="beginsWith" text="Not Functioning">
      <formula>LEFT(E348,LEN("Not Functioning"))="Not Functioning"</formula>
    </cfRule>
    <cfRule type="containsText" dxfId="606" priority="231" operator="containsText" text="Functioning">
      <formula>NOT(ISERROR(SEARCH("Functioning",E348)))</formula>
    </cfRule>
  </conditionalFormatting>
  <conditionalFormatting sqref="C347">
    <cfRule type="beginsWith" dxfId="605" priority="226" stopIfTrue="1" operator="beginsWith" text="Functioning At Risk">
      <formula>LEFT(C347,LEN("Functioning At Risk"))="Functioning At Risk"</formula>
    </cfRule>
    <cfRule type="beginsWith" dxfId="604" priority="227" stopIfTrue="1" operator="beginsWith" text="Not Functioning">
      <formula>LEFT(C347,LEN("Not Functioning"))="Not Functioning"</formula>
    </cfRule>
    <cfRule type="containsText" dxfId="603" priority="228" operator="containsText" text="Functioning">
      <formula>NOT(ISERROR(SEARCH("Functioning",C347)))</formula>
    </cfRule>
  </conditionalFormatting>
  <conditionalFormatting sqref="D348">
    <cfRule type="beginsWith" dxfId="602" priority="205" stopIfTrue="1" operator="beginsWith" text="Functioning At Risk">
      <formula>LEFT(D348,LEN("Functioning At Risk"))="Functioning At Risk"</formula>
    </cfRule>
    <cfRule type="beginsWith" dxfId="601" priority="206" stopIfTrue="1" operator="beginsWith" text="Not Functioning">
      <formula>LEFT(D348,LEN("Not Functioning"))="Not Functioning"</formula>
    </cfRule>
    <cfRule type="containsText" dxfId="600" priority="207" operator="containsText" text="Functioning">
      <formula>NOT(ISERROR(SEARCH("Functioning",D348)))</formula>
    </cfRule>
  </conditionalFormatting>
  <conditionalFormatting sqref="B42">
    <cfRule type="beginsWith" dxfId="599" priority="202" stopIfTrue="1" operator="beginsWith" text="Functioning At Risk">
      <formula>LEFT(B42,LEN("Functioning At Risk"))="Functioning At Risk"</formula>
    </cfRule>
    <cfRule type="beginsWith" dxfId="598" priority="203" stopIfTrue="1" operator="beginsWith" text="Not Functioning">
      <formula>LEFT(B42,LEN("Not Functioning"))="Not Functioning"</formula>
    </cfRule>
    <cfRule type="containsText" dxfId="597" priority="204" operator="containsText" text="Functioning">
      <formula>NOT(ISERROR(SEARCH("Functioning",B42)))</formula>
    </cfRule>
  </conditionalFormatting>
  <conditionalFormatting sqref="B80">
    <cfRule type="beginsWith" dxfId="596" priority="199" stopIfTrue="1" operator="beginsWith" text="Functioning At Risk">
      <formula>LEFT(B80,LEN("Functioning At Risk"))="Functioning At Risk"</formula>
    </cfRule>
    <cfRule type="beginsWith" dxfId="595" priority="200" stopIfTrue="1" operator="beginsWith" text="Not Functioning">
      <formula>LEFT(B80,LEN("Not Functioning"))="Not Functioning"</formula>
    </cfRule>
    <cfRule type="containsText" dxfId="594" priority="201" operator="containsText" text="Functioning">
      <formula>NOT(ISERROR(SEARCH("Functioning",B80)))</formula>
    </cfRule>
  </conditionalFormatting>
  <conditionalFormatting sqref="B118">
    <cfRule type="beginsWith" dxfId="593" priority="196" stopIfTrue="1" operator="beginsWith" text="Functioning At Risk">
      <formula>LEFT(B118,LEN("Functioning At Risk"))="Functioning At Risk"</formula>
    </cfRule>
    <cfRule type="beginsWith" dxfId="592" priority="197" stopIfTrue="1" operator="beginsWith" text="Not Functioning">
      <formula>LEFT(B118,LEN("Not Functioning"))="Not Functioning"</formula>
    </cfRule>
    <cfRule type="containsText" dxfId="591" priority="198" operator="containsText" text="Functioning">
      <formula>NOT(ISERROR(SEARCH("Functioning",B118)))</formula>
    </cfRule>
  </conditionalFormatting>
  <conditionalFormatting sqref="B81:B82">
    <cfRule type="beginsWith" dxfId="590" priority="193" stopIfTrue="1" operator="beginsWith" text="Functioning At Risk">
      <formula>LEFT(B81,LEN("Functioning At Risk"))="Functioning At Risk"</formula>
    </cfRule>
    <cfRule type="beginsWith" dxfId="589" priority="194" stopIfTrue="1" operator="beginsWith" text="Not Functioning">
      <formula>LEFT(B81,LEN("Not Functioning"))="Not Functioning"</formula>
    </cfRule>
    <cfRule type="containsText" dxfId="588" priority="195" operator="containsText" text="Functioning">
      <formula>NOT(ISERROR(SEARCH("Functioning",B81)))</formula>
    </cfRule>
  </conditionalFormatting>
  <conditionalFormatting sqref="B120">
    <cfRule type="beginsWith" dxfId="587" priority="190" stopIfTrue="1" operator="beginsWith" text="Functioning At Risk">
      <formula>LEFT(B120,LEN("Functioning At Risk"))="Functioning At Risk"</formula>
    </cfRule>
    <cfRule type="beginsWith" dxfId="586" priority="191" stopIfTrue="1" operator="beginsWith" text="Not Functioning">
      <formula>LEFT(B120,LEN("Not Functioning"))="Not Functioning"</formula>
    </cfRule>
    <cfRule type="containsText" dxfId="585" priority="192" operator="containsText" text="Functioning">
      <formula>NOT(ISERROR(SEARCH("Functioning",B120)))</formula>
    </cfRule>
  </conditionalFormatting>
  <conditionalFormatting sqref="B232:B234">
    <cfRule type="beginsWith" dxfId="584" priority="187" stopIfTrue="1" operator="beginsWith" text="Functioning At Risk">
      <formula>LEFT(B232,LEN("Functioning At Risk"))="Functioning At Risk"</formula>
    </cfRule>
    <cfRule type="beginsWith" dxfId="583" priority="188" stopIfTrue="1" operator="beginsWith" text="Not Functioning">
      <formula>LEFT(B232,LEN("Not Functioning"))="Not Functioning"</formula>
    </cfRule>
    <cfRule type="containsText" dxfId="582" priority="189" operator="containsText" text="Functioning">
      <formula>NOT(ISERROR(SEARCH("Functioning",B232)))</formula>
    </cfRule>
  </conditionalFormatting>
  <conditionalFormatting sqref="B270:B272">
    <cfRule type="beginsWith" dxfId="581" priority="184" stopIfTrue="1" operator="beginsWith" text="Functioning At Risk">
      <formula>LEFT(B270,LEN("Functioning At Risk"))="Functioning At Risk"</formula>
    </cfRule>
    <cfRule type="beginsWith" dxfId="580" priority="185" stopIfTrue="1" operator="beginsWith" text="Not Functioning">
      <formula>LEFT(B270,LEN("Not Functioning"))="Not Functioning"</formula>
    </cfRule>
    <cfRule type="containsText" dxfId="579" priority="186" operator="containsText" text="Functioning">
      <formula>NOT(ISERROR(SEARCH("Functioning",B270)))</formula>
    </cfRule>
  </conditionalFormatting>
  <conditionalFormatting sqref="B308:B310">
    <cfRule type="beginsWith" dxfId="578" priority="181" stopIfTrue="1" operator="beginsWith" text="Functioning At Risk">
      <formula>LEFT(B308,LEN("Functioning At Risk"))="Functioning At Risk"</formula>
    </cfRule>
    <cfRule type="beginsWith" dxfId="577" priority="182" stopIfTrue="1" operator="beginsWith" text="Not Functioning">
      <formula>LEFT(B308,LEN("Not Functioning"))="Not Functioning"</formula>
    </cfRule>
    <cfRule type="containsText" dxfId="576" priority="183" operator="containsText" text="Functioning">
      <formula>NOT(ISERROR(SEARCH("Functioning",B308)))</formula>
    </cfRule>
  </conditionalFormatting>
  <conditionalFormatting sqref="B347:B348">
    <cfRule type="beginsWith" dxfId="575" priority="178" stopIfTrue="1" operator="beginsWith" text="Functioning At Risk">
      <formula>LEFT(B347,LEN("Functioning At Risk"))="Functioning At Risk"</formula>
    </cfRule>
    <cfRule type="beginsWith" dxfId="574" priority="179" stopIfTrue="1" operator="beginsWith" text="Not Functioning">
      <formula>LEFT(B347,LEN("Not Functioning"))="Not Functioning"</formula>
    </cfRule>
    <cfRule type="containsText" dxfId="573" priority="180" operator="containsText" text="Functioning">
      <formula>NOT(ISERROR(SEARCH("Functioning",B347)))</formula>
    </cfRule>
  </conditionalFormatting>
  <conditionalFormatting sqref="A124:B124 E124:J124 D132:D134">
    <cfRule type="beginsWith" dxfId="572" priority="172" stopIfTrue="1" operator="beginsWith" text="Functioning At Risk">
      <formula>LEFT(A124,LEN("Functioning At Risk"))="Functioning At Risk"</formula>
    </cfRule>
    <cfRule type="beginsWith" dxfId="571" priority="173" stopIfTrue="1" operator="beginsWith" text="Not Functioning">
      <formula>LEFT(A124,LEN("Not Functioning"))="Not Functioning"</formula>
    </cfRule>
    <cfRule type="containsText" dxfId="570" priority="174" operator="containsText" text="Functioning">
      <formula>NOT(ISERROR(SEARCH("Functioning",A124)))</formula>
    </cfRule>
  </conditionalFormatting>
  <conditionalFormatting sqref="I191">
    <cfRule type="containsText" dxfId="569" priority="148" stopIfTrue="1" operator="containsText" text="Functioning At Risk">
      <formula>NOT(ISERROR(SEARCH("Functioning At Risk",I191)))</formula>
    </cfRule>
    <cfRule type="containsText" dxfId="568" priority="149" stopIfTrue="1" operator="containsText" text="Not Functioning">
      <formula>NOT(ISERROR(SEARCH("Not Functioning",I191)))</formula>
    </cfRule>
    <cfRule type="containsText" dxfId="567" priority="150" operator="containsText" text="Functioning">
      <formula>NOT(ISERROR(SEARCH("Functioning",I191)))</formula>
    </cfRule>
  </conditionalFormatting>
  <conditionalFormatting sqref="G161">
    <cfRule type="beginsWith" dxfId="566" priority="166" stopIfTrue="1" operator="beginsWith" text="Functioning At Risk">
      <formula>LEFT(G161,LEN("Functioning At Risk"))="Functioning At Risk"</formula>
    </cfRule>
    <cfRule type="beginsWith" dxfId="565" priority="167" stopIfTrue="1" operator="beginsWith" text="Not Functioning">
      <formula>LEFT(G161,LEN("Not Functioning"))="Not Functioning"</formula>
    </cfRule>
    <cfRule type="containsText" dxfId="564" priority="168" operator="containsText" text="Functioning">
      <formula>NOT(ISERROR(SEARCH("Functioning",G161)))</formula>
    </cfRule>
  </conditionalFormatting>
  <conditionalFormatting sqref="A48:B48 E48:J48 D56:D58">
    <cfRule type="beginsWith" dxfId="563" priority="163" stopIfTrue="1" operator="beginsWith" text="Functioning At Risk">
      <formula>LEFT(A48,LEN("Functioning At Risk"))="Functioning At Risk"</formula>
    </cfRule>
    <cfRule type="beginsWith" dxfId="562" priority="164" stopIfTrue="1" operator="beginsWith" text="Not Functioning">
      <formula>LEFT(A48,LEN("Not Functioning"))="Not Functioning"</formula>
    </cfRule>
    <cfRule type="containsText" dxfId="561" priority="165" operator="containsText" text="Functioning">
      <formula>NOT(ISERROR(SEARCH("Functioning",A48)))</formula>
    </cfRule>
  </conditionalFormatting>
  <conditionalFormatting sqref="A86:B86 E86:J86 D94:D96">
    <cfRule type="beginsWith" dxfId="560" priority="157" stopIfTrue="1" operator="beginsWith" text="Functioning At Risk">
      <formula>LEFT(A86,LEN("Functioning At Risk"))="Functioning At Risk"</formula>
    </cfRule>
    <cfRule type="beginsWith" dxfId="559" priority="158" stopIfTrue="1" operator="beginsWith" text="Not Functioning">
      <formula>LEFT(A86,LEN("Not Functioning"))="Not Functioning"</formula>
    </cfRule>
    <cfRule type="containsText" dxfId="558" priority="159" operator="containsText" text="Functioning">
      <formula>NOT(ISERROR(SEARCH("Functioning",A86)))</formula>
    </cfRule>
  </conditionalFormatting>
  <conditionalFormatting sqref="A162:B162 E162:J162 D170:D172">
    <cfRule type="beginsWith" dxfId="557" priority="151" stopIfTrue="1" operator="beginsWith" text="Functioning At Risk">
      <formula>LEFT(A162,LEN("Functioning At Risk"))="Functioning At Risk"</formula>
    </cfRule>
    <cfRule type="beginsWith" dxfId="556" priority="152" stopIfTrue="1" operator="beginsWith" text="Not Functioning">
      <formula>LEFT(A162,LEN("Not Functioning"))="Not Functioning"</formula>
    </cfRule>
    <cfRule type="containsText" dxfId="555" priority="153" operator="containsText" text="Functioning">
      <formula>NOT(ISERROR(SEARCH("Functioning",A162)))</formula>
    </cfRule>
  </conditionalFormatting>
  <conditionalFormatting sqref="A200:B200 E200:J200 D208:D210">
    <cfRule type="beginsWith" dxfId="554" priority="145" stopIfTrue="1" operator="beginsWith" text="Functioning At Risk">
      <formula>LEFT(A200,LEN("Functioning At Risk"))="Functioning At Risk"</formula>
    </cfRule>
    <cfRule type="beginsWith" dxfId="553" priority="146" stopIfTrue="1" operator="beginsWith" text="Not Functioning">
      <formula>LEFT(A200,LEN("Not Functioning"))="Not Functioning"</formula>
    </cfRule>
    <cfRule type="containsText" dxfId="552" priority="147" operator="containsText" text="Functioning">
      <formula>NOT(ISERROR(SEARCH("Functioning",A200)))</formula>
    </cfRule>
  </conditionalFormatting>
  <conditionalFormatting sqref="A238:B238 E238:J238 D246:D248">
    <cfRule type="beginsWith" dxfId="551" priority="139" stopIfTrue="1" operator="beginsWith" text="Functioning At Risk">
      <formula>LEFT(A238,LEN("Functioning At Risk"))="Functioning At Risk"</formula>
    </cfRule>
    <cfRule type="beginsWith" dxfId="550" priority="140" stopIfTrue="1" operator="beginsWith" text="Not Functioning">
      <formula>LEFT(A238,LEN("Not Functioning"))="Not Functioning"</formula>
    </cfRule>
    <cfRule type="containsText" dxfId="549" priority="141" operator="containsText" text="Functioning">
      <formula>NOT(ISERROR(SEARCH("Functioning",A238)))</formula>
    </cfRule>
  </conditionalFormatting>
  <conditionalFormatting sqref="A276:B276 E276:J276 D284:D286">
    <cfRule type="beginsWith" dxfId="548" priority="133" stopIfTrue="1" operator="beginsWith" text="Functioning At Risk">
      <formula>LEFT(A276,LEN("Functioning At Risk"))="Functioning At Risk"</formula>
    </cfRule>
    <cfRule type="beginsWith" dxfId="547" priority="134" stopIfTrue="1" operator="beginsWith" text="Not Functioning">
      <formula>LEFT(A276,LEN("Not Functioning"))="Not Functioning"</formula>
    </cfRule>
    <cfRule type="containsText" dxfId="546" priority="135" operator="containsText" text="Functioning">
      <formula>NOT(ISERROR(SEARCH("Functioning",A276)))</formula>
    </cfRule>
  </conditionalFormatting>
  <conditionalFormatting sqref="A314:B314 E314:J314 D322:D324">
    <cfRule type="beginsWith" dxfId="545" priority="127" stopIfTrue="1" operator="beginsWith" text="Functioning At Risk">
      <formula>LEFT(A314,LEN("Functioning At Risk"))="Functioning At Risk"</formula>
    </cfRule>
    <cfRule type="beginsWith" dxfId="544" priority="128" stopIfTrue="1" operator="beginsWith" text="Not Functioning">
      <formula>LEFT(A314,LEN("Not Functioning"))="Not Functioning"</formula>
    </cfRule>
    <cfRule type="containsText" dxfId="543" priority="129" operator="containsText" text="Functioning">
      <formula>NOT(ISERROR(SEARCH("Functioning",A314)))</formula>
    </cfRule>
  </conditionalFormatting>
  <conditionalFormatting sqref="A352:B352 E352:J352 D360:D362">
    <cfRule type="beginsWith" dxfId="542" priority="121" stopIfTrue="1" operator="beginsWith" text="Functioning At Risk">
      <formula>LEFT(A352,LEN("Functioning At Risk"))="Functioning At Risk"</formula>
    </cfRule>
    <cfRule type="beginsWith" dxfId="541" priority="122" stopIfTrue="1" operator="beginsWith" text="Not Functioning">
      <formula>LEFT(A352,LEN("Not Functioning"))="Not Functioning"</formula>
    </cfRule>
    <cfRule type="containsText" dxfId="540" priority="123" operator="containsText" text="Functioning">
      <formula>NOT(ISERROR(SEARCH("Functioning",A352)))</formula>
    </cfRule>
  </conditionalFormatting>
  <conditionalFormatting sqref="F44">
    <cfRule type="beginsWith" dxfId="539" priority="115" stopIfTrue="1" operator="beginsWith" text="Functioning At Risk">
      <formula>LEFT(F44,LEN("Functioning At Risk"))="Functioning At Risk"</formula>
    </cfRule>
    <cfRule type="beginsWith" dxfId="538" priority="116" stopIfTrue="1" operator="beginsWith" text="Not Functioning">
      <formula>LEFT(F44,LEN("Not Functioning"))="Not Functioning"</formula>
    </cfRule>
    <cfRule type="containsText" dxfId="537" priority="117" operator="containsText" text="Functioning">
      <formula>NOT(ISERROR(SEARCH("Functioning",F44)))</formula>
    </cfRule>
  </conditionalFormatting>
  <conditionalFormatting sqref="F43">
    <cfRule type="beginsWith" dxfId="536" priority="112" stopIfTrue="1" operator="beginsWith" text="Functioning At Risk">
      <formula>LEFT(F43,LEN("Functioning At Risk"))="Functioning At Risk"</formula>
    </cfRule>
    <cfRule type="beginsWith" dxfId="535" priority="113" stopIfTrue="1" operator="beginsWith" text="Not Functioning">
      <formula>LEFT(F43,LEN("Not Functioning"))="Not Functioning"</formula>
    </cfRule>
    <cfRule type="containsText" dxfId="534" priority="114" operator="containsText" text="Functioning">
      <formula>NOT(ISERROR(SEARCH("Functioning",F43)))</formula>
    </cfRule>
  </conditionalFormatting>
  <conditionalFormatting sqref="F82">
    <cfRule type="beginsWith" dxfId="533" priority="109" stopIfTrue="1" operator="beginsWith" text="Functioning At Risk">
      <formula>LEFT(F82,LEN("Functioning At Risk"))="Functioning At Risk"</formula>
    </cfRule>
    <cfRule type="beginsWith" dxfId="532" priority="110" stopIfTrue="1" operator="beginsWith" text="Not Functioning">
      <formula>LEFT(F82,LEN("Not Functioning"))="Not Functioning"</formula>
    </cfRule>
    <cfRule type="containsText" dxfId="531" priority="111" operator="containsText" text="Functioning">
      <formula>NOT(ISERROR(SEARCH("Functioning",F82)))</formula>
    </cfRule>
  </conditionalFormatting>
  <conditionalFormatting sqref="F81">
    <cfRule type="beginsWith" dxfId="530" priority="106" stopIfTrue="1" operator="beginsWith" text="Functioning At Risk">
      <formula>LEFT(F81,LEN("Functioning At Risk"))="Functioning At Risk"</formula>
    </cfRule>
    <cfRule type="beginsWith" dxfId="529" priority="107" stopIfTrue="1" operator="beginsWith" text="Not Functioning">
      <formula>LEFT(F81,LEN("Not Functioning"))="Not Functioning"</formula>
    </cfRule>
    <cfRule type="containsText" dxfId="528" priority="108" operator="containsText" text="Functioning">
      <formula>NOT(ISERROR(SEARCH("Functioning",F81)))</formula>
    </cfRule>
  </conditionalFormatting>
  <conditionalFormatting sqref="F120">
    <cfRule type="beginsWith" dxfId="527" priority="103" stopIfTrue="1" operator="beginsWith" text="Functioning At Risk">
      <formula>LEFT(F120,LEN("Functioning At Risk"))="Functioning At Risk"</formula>
    </cfRule>
    <cfRule type="beginsWith" dxfId="526" priority="104" stopIfTrue="1" operator="beginsWith" text="Not Functioning">
      <formula>LEFT(F120,LEN("Not Functioning"))="Not Functioning"</formula>
    </cfRule>
    <cfRule type="containsText" dxfId="525" priority="105" operator="containsText" text="Functioning">
      <formula>NOT(ISERROR(SEARCH("Functioning",F120)))</formula>
    </cfRule>
  </conditionalFormatting>
  <conditionalFormatting sqref="F119">
    <cfRule type="beginsWith" dxfId="524" priority="100" stopIfTrue="1" operator="beginsWith" text="Functioning At Risk">
      <formula>LEFT(F119,LEN("Functioning At Risk"))="Functioning At Risk"</formula>
    </cfRule>
    <cfRule type="beginsWith" dxfId="523" priority="101" stopIfTrue="1" operator="beginsWith" text="Not Functioning">
      <formula>LEFT(F119,LEN("Not Functioning"))="Not Functioning"</formula>
    </cfRule>
    <cfRule type="containsText" dxfId="522" priority="102" operator="containsText" text="Functioning">
      <formula>NOT(ISERROR(SEARCH("Functioning",F119)))</formula>
    </cfRule>
  </conditionalFormatting>
  <conditionalFormatting sqref="F158">
    <cfRule type="beginsWith" dxfId="521" priority="97" stopIfTrue="1" operator="beginsWith" text="Functioning At Risk">
      <formula>LEFT(F158,LEN("Functioning At Risk"))="Functioning At Risk"</formula>
    </cfRule>
    <cfRule type="beginsWith" dxfId="520" priority="98" stopIfTrue="1" operator="beginsWith" text="Not Functioning">
      <formula>LEFT(F158,LEN("Not Functioning"))="Not Functioning"</formula>
    </cfRule>
    <cfRule type="containsText" dxfId="519" priority="99" operator="containsText" text="Functioning">
      <formula>NOT(ISERROR(SEARCH("Functioning",F158)))</formula>
    </cfRule>
  </conditionalFormatting>
  <conditionalFormatting sqref="F157">
    <cfRule type="beginsWith" dxfId="518" priority="94" stopIfTrue="1" operator="beginsWith" text="Functioning At Risk">
      <formula>LEFT(F157,LEN("Functioning At Risk"))="Functioning At Risk"</formula>
    </cfRule>
    <cfRule type="beginsWith" dxfId="517" priority="95" stopIfTrue="1" operator="beginsWith" text="Not Functioning">
      <formula>LEFT(F157,LEN("Not Functioning"))="Not Functioning"</formula>
    </cfRule>
    <cfRule type="containsText" dxfId="516" priority="96" operator="containsText" text="Functioning">
      <formula>NOT(ISERROR(SEARCH("Functioning",F157)))</formula>
    </cfRule>
  </conditionalFormatting>
  <conditionalFormatting sqref="F196">
    <cfRule type="beginsWith" dxfId="515" priority="85" stopIfTrue="1" operator="beginsWith" text="Functioning At Risk">
      <formula>LEFT(F196,LEN("Functioning At Risk"))="Functioning At Risk"</formula>
    </cfRule>
    <cfRule type="beginsWith" dxfId="514" priority="86" stopIfTrue="1" operator="beginsWith" text="Not Functioning">
      <formula>LEFT(F196,LEN("Not Functioning"))="Not Functioning"</formula>
    </cfRule>
    <cfRule type="containsText" dxfId="513" priority="87" operator="containsText" text="Functioning">
      <formula>NOT(ISERROR(SEARCH("Functioning",F196)))</formula>
    </cfRule>
  </conditionalFormatting>
  <conditionalFormatting sqref="F195">
    <cfRule type="beginsWith" dxfId="512" priority="82" stopIfTrue="1" operator="beginsWith" text="Functioning At Risk">
      <formula>LEFT(F195,LEN("Functioning At Risk"))="Functioning At Risk"</formula>
    </cfRule>
    <cfRule type="beginsWith" dxfId="511" priority="83" stopIfTrue="1" operator="beginsWith" text="Not Functioning">
      <formula>LEFT(F195,LEN("Not Functioning"))="Not Functioning"</formula>
    </cfRule>
    <cfRule type="containsText" dxfId="510" priority="84" operator="containsText" text="Functioning">
      <formula>NOT(ISERROR(SEARCH("Functioning",F195)))</formula>
    </cfRule>
  </conditionalFormatting>
  <conditionalFormatting sqref="F234">
    <cfRule type="beginsWith" dxfId="509" priority="79" stopIfTrue="1" operator="beginsWith" text="Functioning At Risk">
      <formula>LEFT(F234,LEN("Functioning At Risk"))="Functioning At Risk"</formula>
    </cfRule>
    <cfRule type="beginsWith" dxfId="508" priority="80" stopIfTrue="1" operator="beginsWith" text="Not Functioning">
      <formula>LEFT(F234,LEN("Not Functioning"))="Not Functioning"</formula>
    </cfRule>
    <cfRule type="containsText" dxfId="507" priority="81" operator="containsText" text="Functioning">
      <formula>NOT(ISERROR(SEARCH("Functioning",F234)))</formula>
    </cfRule>
  </conditionalFormatting>
  <conditionalFormatting sqref="F233">
    <cfRule type="beginsWith" dxfId="506" priority="76" stopIfTrue="1" operator="beginsWith" text="Functioning At Risk">
      <formula>LEFT(F233,LEN("Functioning At Risk"))="Functioning At Risk"</formula>
    </cfRule>
    <cfRule type="beginsWith" dxfId="505" priority="77" stopIfTrue="1" operator="beginsWith" text="Not Functioning">
      <formula>LEFT(F233,LEN("Not Functioning"))="Not Functioning"</formula>
    </cfRule>
    <cfRule type="containsText" dxfId="504" priority="78" operator="containsText" text="Functioning">
      <formula>NOT(ISERROR(SEARCH("Functioning",F233)))</formula>
    </cfRule>
  </conditionalFormatting>
  <conditionalFormatting sqref="F272">
    <cfRule type="beginsWith" dxfId="503" priority="73" stopIfTrue="1" operator="beginsWith" text="Functioning At Risk">
      <formula>LEFT(F272,LEN("Functioning At Risk"))="Functioning At Risk"</formula>
    </cfRule>
    <cfRule type="beginsWith" dxfId="502" priority="74" stopIfTrue="1" operator="beginsWith" text="Not Functioning">
      <formula>LEFT(F272,LEN("Not Functioning"))="Not Functioning"</formula>
    </cfRule>
    <cfRule type="containsText" dxfId="501" priority="75" operator="containsText" text="Functioning">
      <formula>NOT(ISERROR(SEARCH("Functioning",F272)))</formula>
    </cfRule>
  </conditionalFormatting>
  <conditionalFormatting sqref="F271">
    <cfRule type="beginsWith" dxfId="500" priority="70" stopIfTrue="1" operator="beginsWith" text="Functioning At Risk">
      <formula>LEFT(F271,LEN("Functioning At Risk"))="Functioning At Risk"</formula>
    </cfRule>
    <cfRule type="beginsWith" dxfId="499" priority="71" stopIfTrue="1" operator="beginsWith" text="Not Functioning">
      <formula>LEFT(F271,LEN("Not Functioning"))="Not Functioning"</formula>
    </cfRule>
    <cfRule type="containsText" dxfId="498" priority="72" operator="containsText" text="Functioning">
      <formula>NOT(ISERROR(SEARCH("Functioning",F271)))</formula>
    </cfRule>
  </conditionalFormatting>
  <conditionalFormatting sqref="F310">
    <cfRule type="beginsWith" dxfId="497" priority="67" stopIfTrue="1" operator="beginsWith" text="Functioning At Risk">
      <formula>LEFT(F310,LEN("Functioning At Risk"))="Functioning At Risk"</formula>
    </cfRule>
    <cfRule type="beginsWith" dxfId="496" priority="68" stopIfTrue="1" operator="beginsWith" text="Not Functioning">
      <formula>LEFT(F310,LEN("Not Functioning"))="Not Functioning"</formula>
    </cfRule>
    <cfRule type="containsText" dxfId="495" priority="69" operator="containsText" text="Functioning">
      <formula>NOT(ISERROR(SEARCH("Functioning",F310)))</formula>
    </cfRule>
  </conditionalFormatting>
  <conditionalFormatting sqref="F309">
    <cfRule type="beginsWith" dxfId="494" priority="64" stopIfTrue="1" operator="beginsWith" text="Functioning At Risk">
      <formula>LEFT(F309,LEN("Functioning At Risk"))="Functioning At Risk"</formula>
    </cfRule>
    <cfRule type="beginsWith" dxfId="493" priority="65" stopIfTrue="1" operator="beginsWith" text="Not Functioning">
      <formula>LEFT(F309,LEN("Not Functioning"))="Not Functioning"</formula>
    </cfRule>
    <cfRule type="containsText" dxfId="492" priority="66" operator="containsText" text="Functioning">
      <formula>NOT(ISERROR(SEARCH("Functioning",F309)))</formula>
    </cfRule>
  </conditionalFormatting>
  <conditionalFormatting sqref="F348">
    <cfRule type="beginsWith" dxfId="491" priority="61" stopIfTrue="1" operator="beginsWith" text="Functioning At Risk">
      <formula>LEFT(F348,LEN("Functioning At Risk"))="Functioning At Risk"</formula>
    </cfRule>
    <cfRule type="beginsWith" dxfId="490" priority="62" stopIfTrue="1" operator="beginsWith" text="Not Functioning">
      <formula>LEFT(F348,LEN("Not Functioning"))="Not Functioning"</formula>
    </cfRule>
    <cfRule type="containsText" dxfId="489" priority="63" operator="containsText" text="Functioning">
      <formula>NOT(ISERROR(SEARCH("Functioning",F348)))</formula>
    </cfRule>
  </conditionalFormatting>
  <conditionalFormatting sqref="F347">
    <cfRule type="beginsWith" dxfId="488" priority="58" stopIfTrue="1" operator="beginsWith" text="Functioning At Risk">
      <formula>LEFT(F347,LEN("Functioning At Risk"))="Functioning At Risk"</formula>
    </cfRule>
    <cfRule type="beginsWith" dxfId="487" priority="59" stopIfTrue="1" operator="beginsWith" text="Not Functioning">
      <formula>LEFT(F347,LEN("Not Functioning"))="Not Functioning"</formula>
    </cfRule>
    <cfRule type="containsText" dxfId="486" priority="60" operator="containsText" text="Functioning">
      <formula>NOT(ISERROR(SEARCH("Functioning",F347)))</formula>
    </cfRule>
  </conditionalFormatting>
  <conditionalFormatting sqref="I363 I353 I374:I380 I360">
    <cfRule type="containsText" dxfId="485" priority="28" stopIfTrue="1" operator="containsText" text="Functioning At Risk">
      <formula>NOT(ISERROR(SEARCH("Functioning At Risk",I353)))</formula>
    </cfRule>
    <cfRule type="containsText" dxfId="484" priority="29" stopIfTrue="1" operator="containsText" text="Not Functioning">
      <formula>NOT(ISERROR(SEARCH("Not Functioning",I353)))</formula>
    </cfRule>
    <cfRule type="containsText" dxfId="483" priority="30" operator="containsText" text="Functioning">
      <formula>NOT(ISERROR(SEARCH("Functioning",I353)))</formula>
    </cfRule>
  </conditionalFormatting>
  <conditionalFormatting sqref="I21 I11 I32:I38 I18">
    <cfRule type="containsText" dxfId="482" priority="1438" stopIfTrue="1" operator="containsText" text="Functioning At Risk">
      <formula>NOT(ISERROR(SEARCH("Functioning At Risk",I11)))</formula>
    </cfRule>
    <cfRule type="containsText" dxfId="481" priority="1439" stopIfTrue="1" operator="containsText" text="Not Functioning">
      <formula>NOT(ISERROR(SEARCH("Not Functioning",I11)))</formula>
    </cfRule>
    <cfRule type="containsText" dxfId="480" priority="1440" operator="containsText" text="Functioning">
      <formula>NOT(ISERROR(SEARCH("Functioning",I11)))</formula>
    </cfRule>
  </conditionalFormatting>
  <conditionalFormatting sqref="I59 I49 I70:I76 I56">
    <cfRule type="containsText" dxfId="479" priority="52" stopIfTrue="1" operator="containsText" text="Functioning At Risk">
      <formula>NOT(ISERROR(SEARCH("Functioning At Risk",I49)))</formula>
    </cfRule>
    <cfRule type="containsText" dxfId="478" priority="53" stopIfTrue="1" operator="containsText" text="Not Functioning">
      <formula>NOT(ISERROR(SEARCH("Not Functioning",I49)))</formula>
    </cfRule>
    <cfRule type="containsText" dxfId="477" priority="54" operator="containsText" text="Functioning">
      <formula>NOT(ISERROR(SEARCH("Functioning",I49)))</formula>
    </cfRule>
  </conditionalFormatting>
  <conditionalFormatting sqref="I97 I87 I108:I114 I94">
    <cfRule type="containsText" dxfId="476" priority="49" stopIfTrue="1" operator="containsText" text="Functioning At Risk">
      <formula>NOT(ISERROR(SEARCH("Functioning At Risk",I87)))</formula>
    </cfRule>
    <cfRule type="containsText" dxfId="475" priority="50" stopIfTrue="1" operator="containsText" text="Not Functioning">
      <formula>NOT(ISERROR(SEARCH("Not Functioning",I87)))</formula>
    </cfRule>
    <cfRule type="containsText" dxfId="474" priority="51" operator="containsText" text="Functioning">
      <formula>NOT(ISERROR(SEARCH("Functioning",I87)))</formula>
    </cfRule>
  </conditionalFormatting>
  <conditionalFormatting sqref="I135 I125 I146:I152 I132">
    <cfRule type="containsText" dxfId="473" priority="46" stopIfTrue="1" operator="containsText" text="Functioning At Risk">
      <formula>NOT(ISERROR(SEARCH("Functioning At Risk",I125)))</formula>
    </cfRule>
    <cfRule type="containsText" dxfId="472" priority="47" stopIfTrue="1" operator="containsText" text="Not Functioning">
      <formula>NOT(ISERROR(SEARCH("Not Functioning",I125)))</formula>
    </cfRule>
    <cfRule type="containsText" dxfId="471" priority="48" operator="containsText" text="Functioning">
      <formula>NOT(ISERROR(SEARCH("Functioning",I125)))</formula>
    </cfRule>
  </conditionalFormatting>
  <conditionalFormatting sqref="I173 I163 I184:I190 I170">
    <cfRule type="containsText" dxfId="470" priority="43" stopIfTrue="1" operator="containsText" text="Functioning At Risk">
      <formula>NOT(ISERROR(SEARCH("Functioning At Risk",I163)))</formula>
    </cfRule>
    <cfRule type="containsText" dxfId="469" priority="44" stopIfTrue="1" operator="containsText" text="Not Functioning">
      <formula>NOT(ISERROR(SEARCH("Not Functioning",I163)))</formula>
    </cfRule>
    <cfRule type="containsText" dxfId="468" priority="45" operator="containsText" text="Functioning">
      <formula>NOT(ISERROR(SEARCH("Functioning",I163)))</formula>
    </cfRule>
  </conditionalFormatting>
  <conditionalFormatting sqref="I211 I201 I222:I228 I208">
    <cfRule type="containsText" dxfId="467" priority="40" stopIfTrue="1" operator="containsText" text="Functioning At Risk">
      <formula>NOT(ISERROR(SEARCH("Functioning At Risk",I201)))</formula>
    </cfRule>
    <cfRule type="containsText" dxfId="466" priority="41" stopIfTrue="1" operator="containsText" text="Not Functioning">
      <formula>NOT(ISERROR(SEARCH("Not Functioning",I201)))</formula>
    </cfRule>
    <cfRule type="containsText" dxfId="465" priority="42" operator="containsText" text="Functioning">
      <formula>NOT(ISERROR(SEARCH("Functioning",I201)))</formula>
    </cfRule>
  </conditionalFormatting>
  <conditionalFormatting sqref="I249 I239 I260:I266 I246">
    <cfRule type="containsText" dxfId="464" priority="37" stopIfTrue="1" operator="containsText" text="Functioning At Risk">
      <formula>NOT(ISERROR(SEARCH("Functioning At Risk",I239)))</formula>
    </cfRule>
    <cfRule type="containsText" dxfId="463" priority="38" stopIfTrue="1" operator="containsText" text="Not Functioning">
      <formula>NOT(ISERROR(SEARCH("Not Functioning",I239)))</formula>
    </cfRule>
    <cfRule type="containsText" dxfId="462" priority="39" operator="containsText" text="Functioning">
      <formula>NOT(ISERROR(SEARCH("Functioning",I239)))</formula>
    </cfRule>
  </conditionalFormatting>
  <conditionalFormatting sqref="I287 I277 I298:I304 I284">
    <cfRule type="containsText" dxfId="461" priority="34" stopIfTrue="1" operator="containsText" text="Functioning At Risk">
      <formula>NOT(ISERROR(SEARCH("Functioning At Risk",I277)))</formula>
    </cfRule>
    <cfRule type="containsText" dxfId="460" priority="35" stopIfTrue="1" operator="containsText" text="Not Functioning">
      <formula>NOT(ISERROR(SEARCH("Not Functioning",I277)))</formula>
    </cfRule>
    <cfRule type="containsText" dxfId="459" priority="36" operator="containsText" text="Functioning">
      <formula>NOT(ISERROR(SEARCH("Functioning",I277)))</formula>
    </cfRule>
  </conditionalFormatting>
  <conditionalFormatting sqref="I325 I315 I336:I342 I322">
    <cfRule type="containsText" dxfId="458" priority="31" stopIfTrue="1" operator="containsText" text="Functioning At Risk">
      <formula>NOT(ISERROR(SEARCH("Functioning At Risk",I315)))</formula>
    </cfRule>
    <cfRule type="containsText" dxfId="457" priority="32" stopIfTrue="1" operator="containsText" text="Not Functioning">
      <formula>NOT(ISERROR(SEARCH("Not Functioning",I315)))</formula>
    </cfRule>
    <cfRule type="containsText" dxfId="456" priority="33" operator="containsText" text="Functioning">
      <formula>NOT(ISERROR(SEARCH("Functioning",I315)))</formula>
    </cfRule>
  </conditionalFormatting>
  <conditionalFormatting sqref="C309">
    <cfRule type="beginsWith" dxfId="455" priority="25" stopIfTrue="1" operator="beginsWith" text="Functioning At Risk">
      <formula>LEFT(C309,LEN("Functioning At Risk"))="Functioning At Risk"</formula>
    </cfRule>
    <cfRule type="beginsWith" dxfId="454" priority="26" stopIfTrue="1" operator="beginsWith" text="Not Functioning">
      <formula>LEFT(C309,LEN("Not Functioning"))="Not Functioning"</formula>
    </cfRule>
    <cfRule type="containsText" dxfId="453" priority="27" operator="containsText" text="Functioning">
      <formula>NOT(ISERROR(SEARCH("Functioning",C309)))</formula>
    </cfRule>
  </conditionalFormatting>
  <conditionalFormatting sqref="C271">
    <cfRule type="beginsWith" dxfId="452" priority="22" stopIfTrue="1" operator="beginsWith" text="Functioning At Risk">
      <formula>LEFT(C271,LEN("Functioning At Risk"))="Functioning At Risk"</formula>
    </cfRule>
    <cfRule type="beginsWith" dxfId="451" priority="23" stopIfTrue="1" operator="beginsWith" text="Not Functioning">
      <formula>LEFT(C271,LEN("Not Functioning"))="Not Functioning"</formula>
    </cfRule>
    <cfRule type="containsText" dxfId="450" priority="24" operator="containsText" text="Functioning">
      <formula>NOT(ISERROR(SEARCH("Functioning",C271)))</formula>
    </cfRule>
  </conditionalFormatting>
  <conditionalFormatting sqref="C233">
    <cfRule type="beginsWith" dxfId="449" priority="19" stopIfTrue="1" operator="beginsWith" text="Functioning At Risk">
      <formula>LEFT(C233,LEN("Functioning At Risk"))="Functioning At Risk"</formula>
    </cfRule>
    <cfRule type="beginsWith" dxfId="448" priority="20" stopIfTrue="1" operator="beginsWith" text="Not Functioning">
      <formula>LEFT(C233,LEN("Not Functioning"))="Not Functioning"</formula>
    </cfRule>
    <cfRule type="containsText" dxfId="447" priority="21" operator="containsText" text="Functioning">
      <formula>NOT(ISERROR(SEARCH("Functioning",C233)))</formula>
    </cfRule>
  </conditionalFormatting>
  <conditionalFormatting sqref="C195">
    <cfRule type="beginsWith" dxfId="446" priority="16" stopIfTrue="1" operator="beginsWith" text="Functioning At Risk">
      <formula>LEFT(C195,LEN("Functioning At Risk"))="Functioning At Risk"</formula>
    </cfRule>
    <cfRule type="beginsWith" dxfId="445" priority="17" stopIfTrue="1" operator="beginsWith" text="Not Functioning">
      <formula>LEFT(C195,LEN("Not Functioning"))="Not Functioning"</formula>
    </cfRule>
    <cfRule type="containsText" dxfId="444" priority="18" operator="containsText" text="Functioning">
      <formula>NOT(ISERROR(SEARCH("Functioning",C195)))</formula>
    </cfRule>
  </conditionalFormatting>
  <conditionalFormatting sqref="C157">
    <cfRule type="beginsWith" dxfId="443" priority="13" stopIfTrue="1" operator="beginsWith" text="Functioning At Risk">
      <formula>LEFT(C157,LEN("Functioning At Risk"))="Functioning At Risk"</formula>
    </cfRule>
    <cfRule type="beginsWith" dxfId="442" priority="14" stopIfTrue="1" operator="beginsWith" text="Not Functioning">
      <formula>LEFT(C157,LEN("Not Functioning"))="Not Functioning"</formula>
    </cfRule>
    <cfRule type="containsText" dxfId="441" priority="15" operator="containsText" text="Functioning">
      <formula>NOT(ISERROR(SEARCH("Functioning",C157)))</formula>
    </cfRule>
  </conditionalFormatting>
  <conditionalFormatting sqref="C119">
    <cfRule type="beginsWith" dxfId="440" priority="10" stopIfTrue="1" operator="beginsWith" text="Functioning At Risk">
      <formula>LEFT(C119,LEN("Functioning At Risk"))="Functioning At Risk"</formula>
    </cfRule>
    <cfRule type="beginsWith" dxfId="439" priority="11" stopIfTrue="1" operator="beginsWith" text="Not Functioning">
      <formula>LEFT(C119,LEN("Not Functioning"))="Not Functioning"</formula>
    </cfRule>
    <cfRule type="containsText" dxfId="438" priority="12" operator="containsText" text="Functioning">
      <formula>NOT(ISERROR(SEARCH("Functioning",C119)))</formula>
    </cfRule>
  </conditionalFormatting>
  <conditionalFormatting sqref="C81">
    <cfRule type="beginsWith" dxfId="437" priority="7" stopIfTrue="1" operator="beginsWith" text="Functioning At Risk">
      <formula>LEFT(C81,LEN("Functioning At Risk"))="Functioning At Risk"</formula>
    </cfRule>
    <cfRule type="beginsWith" dxfId="436" priority="8" stopIfTrue="1" operator="beginsWith" text="Not Functioning">
      <formula>LEFT(C81,LEN("Not Functioning"))="Not Functioning"</formula>
    </cfRule>
    <cfRule type="containsText" dxfId="435" priority="9" operator="containsText" text="Functioning">
      <formula>NOT(ISERROR(SEARCH("Functioning",C81)))</formula>
    </cfRule>
  </conditionalFormatting>
  <conditionalFormatting sqref="C43">
    <cfRule type="beginsWith" dxfId="434" priority="4" stopIfTrue="1" operator="beginsWith" text="Functioning At Risk">
      <formula>LEFT(C43,LEN("Functioning At Risk"))="Functioning At Risk"</formula>
    </cfRule>
    <cfRule type="beginsWith" dxfId="433" priority="5" stopIfTrue="1" operator="beginsWith" text="Not Functioning">
      <formula>LEFT(C43,LEN("Not Functioning"))="Not Functioning"</formula>
    </cfRule>
    <cfRule type="containsText" dxfId="432" priority="6" operator="containsText" text="Functioning">
      <formula>NOT(ISERROR(SEARCH("Functioning",C43)))</formula>
    </cfRule>
  </conditionalFormatting>
  <conditionalFormatting sqref="C5">
    <cfRule type="beginsWith" dxfId="431" priority="1" stopIfTrue="1" operator="beginsWith" text="Functioning At Risk">
      <formula>LEFT(C5,LEN("Functioning At Risk"))="Functioning At Risk"</formula>
    </cfRule>
    <cfRule type="beginsWith" dxfId="430" priority="2" stopIfTrue="1" operator="beginsWith" text="Not Functioning">
      <formula>LEFT(C5,LEN("Not Functioning"))="Not Functioning"</formula>
    </cfRule>
    <cfRule type="containsText" dxfId="429" priority="3" operator="containsText" text="Functioning">
      <formula>NOT(ISERROR(SEARCH("Functioning",C5)))</formula>
    </cfRule>
  </conditionalFormatting>
  <dataValidations xWindow="656" yWindow="505" count="5">
    <dataValidation allowBlank="1" showErrorMessage="1" prompt="This measurement method should be used in combination with either Erosion Rate or Dominant BEHI/NBS." sqref="E175" xr:uid="{00000000-0002-0000-0200-00000D000000}"/>
    <dataValidation allowBlank="1" showErrorMessage="1" prompt="Leave field value blank if not a coldwater stream." sqref="F37:F38 F32:F35 F151:F152 F108:F111 F75:F76 F336:F339 F113:F114 F70:F73 F189:F191 F146:F149 F227:F228 F184:F187 F265:F266 F222:F225 F303:F304 F260:F263 F341:F342 F298:F301 F379:F380 F374:F377" xr:uid="{058E8701-CA20-405B-9252-682A19EDF92C}"/>
    <dataValidation allowBlank="1" showErrorMessage="1" sqref="D5 D43 D81 D119 D157 D195 D233 D271 B119:B120 D309 D347 B43:B44 B5:B6" xr:uid="{C6A51F02-E5AE-4DAE-8C74-AB1001BA338B}"/>
    <dataValidation type="decimal" allowBlank="1" showErrorMessage="1" prompt="Select catchment conditon level from the completed catchment assessment form. " sqref="E11:E21 E49:E59 E87:E97 E125:E135 E163:E173 E201:E211 E239:E249 E277:E287 E315:E325 E353:E363" xr:uid="{F6B772A1-DB96-4BC7-8876-7120028442D8}">
      <formula1>0</formula1>
      <formula2>1000</formula2>
    </dataValidation>
    <dataValidation type="decimal" allowBlank="1" showInputMessage="1" showErrorMessage="1" sqref="E23:E38 E61:E76 E99:E114 E137:E152 E176:E190 E213:E228 E251:E266 E289:E304 E327:E342 E365:E380" xr:uid="{DAE92014-AC4A-4727-B6FA-1F0BB82BEBB3}">
      <formula1>0</formula1>
      <formula2>1000</formula2>
    </dataValidation>
  </dataValidations>
  <pageMargins left="0.25" right="0.25" top="0.75" bottom="0.75" header="0.3" footer="0.3"/>
  <pageSetup paperSize="3" fitToWidth="0" fitToHeight="0" orientation="landscape" r:id="rId1"/>
  <headerFooter>
    <oddFooter>&amp;LAKSQTint v1.0 - Debit Calculator Workbook
Existing Conditions</oddFooter>
  </headerFooter>
  <rowBreaks count="9" manualBreakCount="9">
    <brk id="39" max="9" man="1"/>
    <brk id="77" max="9" man="1"/>
    <brk id="115" max="9" man="1"/>
    <brk id="153" max="9" man="1"/>
    <brk id="191" max="9" man="1"/>
    <brk id="229" max="9" man="1"/>
    <brk id="267" max="9" man="1"/>
    <brk id="305" max="9" man="1"/>
    <brk id="343" max="9" man="1"/>
  </rowBreaks>
  <extLst>
    <ext xmlns:x14="http://schemas.microsoft.com/office/spreadsheetml/2009/9/main" uri="{CCE6A557-97BC-4b89-ADB6-D9C93CAAB3DF}">
      <x14:dataValidations xmlns:xm="http://schemas.microsoft.com/office/excel/2006/main" xWindow="656" yWindow="505" count="7">
        <x14:dataValidation type="list" allowBlank="1" showErrorMessage="1" xr:uid="{00000000-0002-0000-0200-00000A000000}">
          <x14:formula1>
            <xm:f>'Pull Down Notes'!$B$2:$B$13</xm:f>
          </x14:formula1>
          <xm:sqref>D4 D308 D42 D80 D118 D156 D194 D232 D270 D346</xm:sqref>
        </x14:dataValidation>
        <x14:dataValidation type="list" allowBlank="1" showErrorMessage="1" xr:uid="{DF0E8D86-E619-4F57-9022-622C53E08906}">
          <x14:formula1>
            <xm:f>'Pull Down Notes'!$B$65:$B$68</xm:f>
          </x14:formula1>
          <xm:sqref>F4 F308 F42 F80 F118 F156 F194 F232 F270 F346</xm:sqref>
        </x14:dataValidation>
        <x14:dataValidation type="list" allowBlank="1" showInputMessage="1" showErrorMessage="1" xr:uid="{EA862206-D354-4884-85C7-BE278113DF85}">
          <x14:formula1>
            <xm:f>'Pull Down Notes'!$F$10:$F$15</xm:f>
          </x14:formula1>
          <xm:sqref>D7 D311 D45 D83 D121 D159 D197 D235 D273 D349</xm:sqref>
        </x14:dataValidation>
        <x14:dataValidation type="list" allowBlank="1" showInputMessage="1" showErrorMessage="1" xr:uid="{A5686976-1FC0-4253-B167-6F8F21D5F3F9}">
          <x14:formula1>
            <xm:f>'Pull Down Notes'!$B$23:$B$58</xm:f>
          </x14:formula1>
          <xm:sqref>E364 E136 E60 E98 E174 E212 E250 E288 E326 E22</xm:sqref>
        </x14:dataValidation>
        <x14:dataValidation type="list" allowBlank="1" showErrorMessage="1" xr:uid="{1AFDE2AC-FBB0-40A2-B051-17C77F03F44A}">
          <x14:formula1>
            <xm:f>'Pull Down Notes'!$B$15:$B$21</xm:f>
          </x14:formula1>
          <xm:sqref>D6 D44 D82 D120 D158 D196 D234 D272 D310 D348</xm:sqref>
        </x14:dataValidation>
        <x14:dataValidation type="list" allowBlank="1" showErrorMessage="1" xr:uid="{51CFF20C-5360-43E1-B9A4-553B8F070F42}">
          <x14:formula1>
            <xm:f>'Pull Down Notes'!$F$1:$F$7</xm:f>
          </x14:formula1>
          <xm:sqref>F5:G5 F43:G43 F81:G81 F119:G119 F157:G157 F195:G195 F233:G233 F271:G271 F309:G309 F347:G347</xm:sqref>
        </x14:dataValidation>
        <x14:dataValidation type="list" allowBlank="1" showInputMessage="1" showErrorMessage="1" xr:uid="{A7EE25BB-434F-4CBB-9E03-6B688642ACB0}">
          <x14:formula1>
            <xm:f>'Pull Down Notes'!$F$30:$F$32</xm:f>
          </x14:formula1>
          <xm:sqref>F6:G6 F44:G44 F82:G82 F120:G120 F158:G158 F196:G196 F234:G234 F272:G272 F310:G310 F348:G348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1D4D9-06F6-4F16-94B5-441C4FDFEE6B}">
  <dimension ref="A1:N381"/>
  <sheetViews>
    <sheetView topLeftCell="A76" zoomScaleNormal="100" zoomScaleSheetLayoutView="100" workbookViewId="0">
      <selection activeCell="E374" sqref="E374:E377"/>
    </sheetView>
  </sheetViews>
  <sheetFormatPr defaultColWidth="9.140625" defaultRowHeight="15" x14ac:dyDescent="0.25"/>
  <cols>
    <col min="1" max="1" width="21.85546875" style="4" customWidth="1"/>
    <col min="2" max="2" width="29.28515625" style="4" customWidth="1"/>
    <col min="3" max="3" width="27.85546875" style="4" customWidth="1"/>
    <col min="4" max="8" width="17.42578125" style="4" customWidth="1"/>
    <col min="9" max="9" width="17.42578125" style="47" customWidth="1"/>
    <col min="10" max="10" width="17.42578125" style="4" customWidth="1"/>
    <col min="11" max="11" width="18.5703125" style="4" customWidth="1"/>
    <col min="12" max="12" width="13.7109375" style="4" customWidth="1"/>
    <col min="13" max="13" width="30.85546875" style="4" customWidth="1"/>
    <col min="14" max="16384" width="9.140625" style="4"/>
  </cols>
  <sheetData>
    <row r="1" spans="1:11" x14ac:dyDescent="0.25">
      <c r="A1" s="444" t="s">
        <v>354</v>
      </c>
      <c r="B1" s="444"/>
      <c r="C1" s="444"/>
      <c r="D1" s="444"/>
      <c r="E1" s="444"/>
      <c r="F1" s="444"/>
      <c r="G1" s="444"/>
      <c r="H1" s="444"/>
      <c r="I1" s="444"/>
      <c r="J1" s="444"/>
    </row>
    <row r="3" spans="1:11" ht="21" customHeight="1" x14ac:dyDescent="0.25">
      <c r="A3" s="495" t="s">
        <v>167</v>
      </c>
      <c r="B3" s="496"/>
      <c r="C3" s="496"/>
      <c r="D3" s="496"/>
      <c r="E3" s="496"/>
      <c r="F3" s="496"/>
      <c r="G3" s="496"/>
      <c r="H3" s="496"/>
      <c r="I3" s="496"/>
      <c r="J3" s="497"/>
    </row>
    <row r="4" spans="1:11" ht="16.149999999999999" customHeight="1" x14ac:dyDescent="0.25">
      <c r="A4" s="115" t="s">
        <v>59</v>
      </c>
      <c r="B4" s="130" t="str">
        <f>IF('Project Assessment'!A10="","",'Project Assessment'!A10)</f>
        <v/>
      </c>
      <c r="C4" s="115" t="s">
        <v>168</v>
      </c>
      <c r="D4" s="130" t="str">
        <f>IF('Existing Conditions'!D4="","",'Existing Conditions'!D4)</f>
        <v/>
      </c>
      <c r="E4" s="250" t="s">
        <v>73</v>
      </c>
      <c r="F4" s="505" t="str">
        <f>IF('Existing Conditions'!F4="","",'Existing Conditions'!F4)</f>
        <v/>
      </c>
      <c r="G4" s="506" t="str">
        <f>IF('Existing Conditions'!G4="","",'Existing Conditions'!G4)</f>
        <v/>
      </c>
      <c r="H4" s="493" t="s">
        <v>102</v>
      </c>
      <c r="I4" s="494"/>
      <c r="J4" s="130">
        <f>'Existing Conditions'!J4</f>
        <v>0</v>
      </c>
    </row>
    <row r="5" spans="1:11" ht="16.149999999999999" customHeight="1" x14ac:dyDescent="0.25">
      <c r="A5" s="134" t="s">
        <v>212</v>
      </c>
      <c r="B5" s="130" t="str">
        <f>IF('Project Assessment'!B10="","",'Project Assessment'!B10)</f>
        <v/>
      </c>
      <c r="C5" s="250" t="s">
        <v>359</v>
      </c>
      <c r="D5" s="130" t="str">
        <f>IF('Existing Conditions'!D5="","",'Existing Conditions'!D5)</f>
        <v/>
      </c>
      <c r="E5" s="250" t="s">
        <v>156</v>
      </c>
      <c r="F5" s="505" t="str">
        <f>IF('Existing Conditions'!F5="","",'Existing Conditions'!F5)</f>
        <v/>
      </c>
      <c r="G5" s="506" t="str">
        <f>IF('Existing Conditions'!G5="","",'Existing Conditions'!G5)</f>
        <v/>
      </c>
      <c r="H5" s="493" t="s">
        <v>103</v>
      </c>
      <c r="I5" s="494"/>
      <c r="J5" s="130">
        <f>'Existing Conditions'!J5</f>
        <v>0</v>
      </c>
    </row>
    <row r="6" spans="1:11" ht="16.149999999999999" customHeight="1" x14ac:dyDescent="0.35">
      <c r="A6" s="119" t="s">
        <v>157</v>
      </c>
      <c r="B6" s="130" t="str">
        <f>IF('Project Assessment'!C10="","",'Project Assessment'!C10)</f>
        <v/>
      </c>
      <c r="C6" s="239" t="s">
        <v>360</v>
      </c>
      <c r="D6" s="130" t="str">
        <f>IF('Existing Conditions'!D6="","",'Existing Conditions'!D6)</f>
        <v/>
      </c>
      <c r="E6" s="250" t="s">
        <v>220</v>
      </c>
      <c r="F6" s="505" t="str">
        <f>IF('Existing Conditions'!F6="","",'Existing Conditions'!F6)</f>
        <v/>
      </c>
      <c r="G6" s="506" t="str">
        <f>IF('Existing Conditions'!G6="","",'Existing Conditions'!G6)</f>
        <v/>
      </c>
      <c r="H6" s="493" t="s">
        <v>104</v>
      </c>
      <c r="I6" s="494"/>
      <c r="J6" s="130">
        <f>'Existing Conditions'!J6</f>
        <v>0</v>
      </c>
      <c r="K6" s="24"/>
    </row>
    <row r="7" spans="1:11" ht="16.149999999999999" customHeight="1" x14ac:dyDescent="0.25">
      <c r="A7" s="499"/>
      <c r="B7" s="500"/>
      <c r="C7" s="233" t="s">
        <v>155</v>
      </c>
      <c r="D7" s="130" t="str">
        <f>IF('Existing Conditions'!D7="","",'Existing Conditions'!D7)</f>
        <v/>
      </c>
      <c r="E7" s="502"/>
      <c r="F7" s="503"/>
      <c r="G7" s="504"/>
      <c r="H7" s="493" t="s">
        <v>105</v>
      </c>
      <c r="I7" s="494"/>
      <c r="J7" s="130">
        <f>'Existing Conditions'!J7</f>
        <v>0</v>
      </c>
      <c r="K7" s="37"/>
    </row>
    <row r="8" spans="1:11" ht="4.5" customHeight="1" x14ac:dyDescent="0.25">
      <c r="B8" s="50"/>
      <c r="C8" s="50"/>
      <c r="D8" s="50"/>
      <c r="E8" s="50"/>
      <c r="F8" s="50"/>
      <c r="G8" s="50"/>
      <c r="H8" s="50"/>
      <c r="I8" s="48"/>
      <c r="J8" s="9"/>
      <c r="K8" s="37"/>
    </row>
    <row r="9" spans="1:11" ht="19.899999999999999" customHeight="1" x14ac:dyDescent="0.35">
      <c r="A9" s="492" t="str">
        <f>_xlfn.CONCAT("PROPOSED CONDITION ASSESSMENT for Reach ",B4)</f>
        <v xml:space="preserve">PROPOSED CONDITION ASSESSMENT for Reach </v>
      </c>
      <c r="B9" s="492"/>
      <c r="C9" s="492"/>
      <c r="D9" s="492"/>
      <c r="E9" s="492"/>
      <c r="F9" s="492"/>
      <c r="G9" s="492" t="s">
        <v>244</v>
      </c>
      <c r="H9" s="492"/>
      <c r="I9" s="492"/>
      <c r="J9" s="492"/>
      <c r="K9" s="9"/>
    </row>
    <row r="10" spans="1:11" ht="15.75" x14ac:dyDescent="0.25">
      <c r="A10" s="30" t="s">
        <v>1</v>
      </c>
      <c r="B10" s="30" t="s">
        <v>2</v>
      </c>
      <c r="C10" s="448" t="s">
        <v>316</v>
      </c>
      <c r="D10" s="449"/>
      <c r="E10" s="30" t="s">
        <v>8</v>
      </c>
      <c r="F10" s="29" t="s">
        <v>9</v>
      </c>
      <c r="G10" s="30" t="s">
        <v>11</v>
      </c>
      <c r="H10" s="30" t="s">
        <v>12</v>
      </c>
      <c r="I10" s="49" t="s">
        <v>12</v>
      </c>
      <c r="J10" s="271" t="s">
        <v>130</v>
      </c>
      <c r="K10" s="9"/>
    </row>
    <row r="11" spans="1:11" ht="15.75" x14ac:dyDescent="0.25">
      <c r="A11" s="450" t="s">
        <v>223</v>
      </c>
      <c r="B11" s="453" t="s">
        <v>224</v>
      </c>
      <c r="C11" s="212" t="s">
        <v>114</v>
      </c>
      <c r="D11" s="215"/>
      <c r="E11" s="35"/>
      <c r="F11" s="218" t="str">
        <f>IF(E11="","",IF(E11&gt;=86,0,IF(E11&lt;=9,1,ROUND(IF(E11&gt;22,E11*'Reference Curves'!B$4+'Reference Curves'!B$5, IF(E11&gt;16, E11*'Reference Curves'!C$4+'Reference Curves'!C$5,E11*'Reference Curves'!$D$4+'Reference Curves'!$D$5)),2))))</f>
        <v/>
      </c>
      <c r="G11" s="456" t="str">
        <f>IFERROR(AVERAGE(F11:F13),"")</f>
        <v/>
      </c>
      <c r="H11" s="458" t="str">
        <f>IFERROR(ROUND(AVERAGE(G11:G17),2),"")</f>
        <v/>
      </c>
      <c r="I11" s="445" t="str">
        <f>IF(H11="","",IF(H11&gt;0.69,"Functioning",IF(H11&gt;0.29,"Functioning At Risk",IF(H11&gt;-1,"Not Functioning"))))</f>
        <v/>
      </c>
      <c r="J11" s="461" t="str">
        <f>IF(AND(H11="",H18="",H21="",H32="",H35=""),"",ROUND((IF(H11="",0,H11)*0.2)+(IF(H18="",0,H18)*0.2)+(IF(H21="",0,H21)*0.2)+(IF(H32="",0,H32)*0.2)+(IF(H35="",0,H35)*0.2),2))</f>
        <v/>
      </c>
      <c r="K11" s="9"/>
    </row>
    <row r="12" spans="1:11" ht="15.75" x14ac:dyDescent="0.25">
      <c r="A12" s="451"/>
      <c r="B12" s="454"/>
      <c r="C12" s="213" t="s">
        <v>221</v>
      </c>
      <c r="D12" s="216"/>
      <c r="E12" s="34"/>
      <c r="F12" s="235" t="str">
        <f>IF(E12="","",IF(E12&gt;=33.5,0,IF(E12=0,1,ROUND(E12*'Reference Curves'!B$9+'Reference Curves'!B$10,2))))</f>
        <v/>
      </c>
      <c r="G12" s="457"/>
      <c r="H12" s="459"/>
      <c r="I12" s="446"/>
      <c r="J12" s="462"/>
      <c r="K12" s="9"/>
    </row>
    <row r="13" spans="1:11" ht="15.75" x14ac:dyDescent="0.25">
      <c r="A13" s="451"/>
      <c r="B13" s="455"/>
      <c r="C13" s="214" t="s">
        <v>222</v>
      </c>
      <c r="D13" s="216"/>
      <c r="E13" s="36"/>
      <c r="F13" s="235" t="str">
        <f>IF(E13="","",IF(E13&gt;=61,0,IF(E13=0,1, ROUND(IF(E13&gt;35,E13*'Reference Curves'!B$15+'Reference Curves'!B$16,  E13*'Reference Curves'!C$15+'Reference Curves'!C$16),2))))</f>
        <v/>
      </c>
      <c r="G13" s="457"/>
      <c r="H13" s="459"/>
      <c r="I13" s="446"/>
      <c r="J13" s="462"/>
      <c r="K13" s="9"/>
    </row>
    <row r="14" spans="1:11" ht="15.75" x14ac:dyDescent="0.25">
      <c r="A14" s="451"/>
      <c r="B14" s="464" t="s">
        <v>63</v>
      </c>
      <c r="C14" s="212" t="s">
        <v>114</v>
      </c>
      <c r="D14" s="215"/>
      <c r="E14" s="34"/>
      <c r="F14" s="218" t="str">
        <f>IF(E14="","",IF(E14&gt;=86,0,IF(E14&lt;=9,1,ROUND(IF(E14&gt;22,E14*'Reference Curves'!B$4+'Reference Curves'!B$5, IF(E14&gt;16, E14*'Reference Curves'!C$4+'Reference Curves'!C$5,E14*'Reference Curves'!$D$4+'Reference Curves'!$D$5)),2))))</f>
        <v/>
      </c>
      <c r="G14" s="456" t="str">
        <f>IFERROR(AVERAGE(F14:F17),"")</f>
        <v/>
      </c>
      <c r="H14" s="459"/>
      <c r="I14" s="446"/>
      <c r="J14" s="462"/>
      <c r="K14" s="9"/>
    </row>
    <row r="15" spans="1:11" ht="15.75" x14ac:dyDescent="0.25">
      <c r="A15" s="451"/>
      <c r="B15" s="464"/>
      <c r="C15" s="213" t="s">
        <v>221</v>
      </c>
      <c r="D15" s="216"/>
      <c r="E15" s="34"/>
      <c r="F15" s="235" t="str">
        <f>IF(E15="","",IF(E15&gt;=33.5,0,IF(E15=0,1,ROUND(E15*'Reference Curves'!B$9+'Reference Curves'!B$10,2))))</f>
        <v/>
      </c>
      <c r="G15" s="457"/>
      <c r="H15" s="459"/>
      <c r="I15" s="446"/>
      <c r="J15" s="462"/>
      <c r="K15" s="9"/>
    </row>
    <row r="16" spans="1:11" ht="15.75" x14ac:dyDescent="0.25">
      <c r="A16" s="451"/>
      <c r="B16" s="464"/>
      <c r="C16" s="213" t="s">
        <v>222</v>
      </c>
      <c r="D16" s="216"/>
      <c r="E16" s="34"/>
      <c r="F16" s="235" t="str">
        <f>IF(E16="","",IF(E16&gt;=61,0,IF(E16=0,1, ROUND(IF(E16&gt;35,E16*'Reference Curves'!B$15+'Reference Curves'!B$16,  E16*'Reference Curves'!C$15+'Reference Curves'!C$16),2))))</f>
        <v/>
      </c>
      <c r="G16" s="457"/>
      <c r="H16" s="459"/>
      <c r="I16" s="446"/>
      <c r="J16" s="462"/>
      <c r="K16" s="9"/>
    </row>
    <row r="17" spans="1:14" ht="15.75" x14ac:dyDescent="0.25">
      <c r="A17" s="452"/>
      <c r="B17" s="465"/>
      <c r="C17" s="214" t="s">
        <v>225</v>
      </c>
      <c r="D17" s="217"/>
      <c r="E17" s="34"/>
      <c r="F17" s="236" t="str">
        <f>IF(E17="","",   IF(E17&gt;3.35,0, IF(E17&lt;0, "", ROUND('Reference Curves'!$B$20*E17+'Reference Curves'!$B$21,2))))</f>
        <v/>
      </c>
      <c r="G17" s="457"/>
      <c r="H17" s="460"/>
      <c r="I17" s="447"/>
      <c r="J17" s="462"/>
      <c r="K17" s="9"/>
    </row>
    <row r="18" spans="1:14" ht="15.75" x14ac:dyDescent="0.25">
      <c r="A18" s="466" t="s">
        <v>226</v>
      </c>
      <c r="B18" s="469" t="s">
        <v>3</v>
      </c>
      <c r="C18" s="95" t="s">
        <v>227</v>
      </c>
      <c r="D18" s="13"/>
      <c r="E18" s="28"/>
      <c r="F18" s="121" t="str">
        <f>IF(E18="","", IF(E18&gt;1.71,0,IF(E18&lt;=1,1, ROUND(E18*'Reference Curves'!G$3+'Reference Curves'!G$4,2))))</f>
        <v/>
      </c>
      <c r="G18" s="471" t="str">
        <f>IFERROR(AVERAGE(F18:F19),"")</f>
        <v/>
      </c>
      <c r="H18" s="471" t="str">
        <f>IFERROR(ROUND(AVERAGE(G18:G20),2),"")</f>
        <v/>
      </c>
      <c r="I18" s="445" t="str">
        <f>IF(H18="","",IF(H18&gt;0.69,"Functioning",IF(H18&gt;0.29,"Functioning At Risk",IF(H18&gt;-1,"Not Functioning"))))</f>
        <v/>
      </c>
      <c r="J18" s="462"/>
      <c r="K18" s="9"/>
      <c r="N18" s="8"/>
    </row>
    <row r="19" spans="1:14" ht="15.75" x14ac:dyDescent="0.25">
      <c r="A19" s="467"/>
      <c r="B19" s="470"/>
      <c r="C19" s="97" t="s">
        <v>228</v>
      </c>
      <c r="D19" s="102"/>
      <c r="E19" s="33"/>
      <c r="F19" s="237" t="str">
        <f>IF(E19="","",IF(LEFT(D4,1)="B",IF(E19&lt;=1,0,IF(E19&gt;=2.2,1,ROUND(IF(E19&lt;1.4,E19*'Reference Curves'!$G$19+'Reference Curves'!$G$20,E19*'Reference Curves'!$H$19+'Reference Curves'!$H$20),2))),
IF(LEFT(D4,1)="C",IF(E19&lt;1.7,0,IF(E19&gt;=4.4,1,ROUND(IF(E19&gt;2.4,E19*'Reference Curves'!$H$9+'Reference Curves'!$H$10,E19*'Reference Curves'!$G$9+'Reference Curves'!$G$10),2))),
IF(LEFT(D4,1)="E",IF(E19&lt;1.7,0,IF(E19&gt;=6.5,1,ROUND(IF(E19&gt;2.4,E19*'Reference Curves'!$H$14+'Reference Curves'!$H$15,E19*'Reference Curves'!$G$14+'Reference Curves'!$G$15),2)))))))</f>
        <v/>
      </c>
      <c r="G19" s="472"/>
      <c r="H19" s="473"/>
      <c r="I19" s="446"/>
      <c r="J19" s="462"/>
      <c r="K19" s="9"/>
      <c r="N19" s="8"/>
    </row>
    <row r="20" spans="1:14" ht="15.75" customHeight="1" x14ac:dyDescent="0.25">
      <c r="A20" s="468"/>
      <c r="B20" s="219" t="s">
        <v>229</v>
      </c>
      <c r="C20" s="96" t="s">
        <v>230</v>
      </c>
      <c r="D20" s="13"/>
      <c r="E20" s="32"/>
      <c r="F20" s="122" t="str">
        <f>IF(E20="","",IF(E20&gt;=180,0, IF(E20=100,1, ROUND(IF(E20&gt;100,E20*'Reference Curves'!$H$25+'Reference Curves'!$H$26, IF(E18&gt;1.2,IF(E20 &lt;=20,0, E20*'Reference Curves'!$G$25+'Reference Curves'!$G$26),1)),2))))</f>
        <v/>
      </c>
      <c r="G20" s="269" t="str">
        <f>IFERROR(AVERAGE(F20),"")</f>
        <v/>
      </c>
      <c r="H20" s="472"/>
      <c r="I20" s="447"/>
      <c r="J20" s="462"/>
      <c r="K20" s="9"/>
      <c r="N20" s="8"/>
    </row>
    <row r="21" spans="1:14" ht="15.75" x14ac:dyDescent="0.25">
      <c r="A21" s="474" t="s">
        <v>16</v>
      </c>
      <c r="B21" s="270" t="s">
        <v>231</v>
      </c>
      <c r="C21" s="220" t="s">
        <v>232</v>
      </c>
      <c r="D21" s="221"/>
      <c r="E21" s="46"/>
      <c r="F21" s="238" t="str">
        <f>IF(E21="","",IF(F5="Alaska Range",ROUND(IF(E21&lt;=0.05,0, IF(E21&gt;=6.3,1,IF(E21&lt;=1.5,'Reference Curves'!$K$5*E21+'Reference Curves'!$K$6, 'Reference Curves'!$L$5*E21+'Reference Curves'!$L$6))),2),
IF(F5="Brooks Range",ROUND(IF(E21&gt;=4.2,1,IF(E21&lt;0.03,0, IF(E21&lt;=1.2,'Reference Curves'!$M$5*E21+'Reference Curves'!$M$6, 'Reference Curves'!$N$5*E21+'Reference Curves'!$N$6))),2),
IF(OR(F5="Interior Bottomlands", F5="Yukon Flats"),ROUND(IF(E21&gt;=54.5,1,IF(E21&lt;=3.7,'Reference Curves'!$K$11*E21+'Reference Curves'!$K$12, IF(E21&lt;4.7,  'Reference Curves'!$L$11*E21+'Reference Curves'!$L$12,  'Reference Curves'!$M$11*E21+'Reference Curves'!$M$12))),2),
IF(OR(F5="Interior Forested Lowlands/Uplands",F5="Interior Highlands"),ROUND(IF(E21=0,0,IF(E21&gt;=24.1,1,IF(E21&lt;=1.3,'Reference Curves'!$N$11*E21+'Reference Curves'!$N$12, 'Reference Curves'!$O$11*E21+'Reference Curves'!$O$12))),2))))))</f>
        <v/>
      </c>
      <c r="G21" s="265" t="str">
        <f>IFERROR(AVERAGE(F21:F21),"")</f>
        <v/>
      </c>
      <c r="H21" s="476" t="str">
        <f>IFERROR(ROUND(AVERAGE(G21:G31),2),"")</f>
        <v/>
      </c>
      <c r="I21" s="479" t="str">
        <f>IF(H21="","",IF(H21&gt;0.69,"Functioning",IF(H21&gt;0.29,"Functioning At Risk",IF(H21&gt;-1,"Not Functioning"))))</f>
        <v/>
      </c>
      <c r="J21" s="462"/>
      <c r="K21" s="9"/>
      <c r="N21" s="8"/>
    </row>
    <row r="22" spans="1:14" ht="15.75" x14ac:dyDescent="0.25">
      <c r="A22" s="475"/>
      <c r="B22" s="475" t="s">
        <v>99</v>
      </c>
      <c r="C22" s="16" t="s">
        <v>37</v>
      </c>
      <c r="D22" s="100"/>
      <c r="E22" s="234"/>
      <c r="F22" s="123" t="str">
        <f>IF(E22="","",IF(OR(E22="Ex/Ex",E22="Ex/VH",E22="Ex/H",E22="Ex/M",E22="VH/Ex",E22="VH/VH", E22="H/Ex",E22="H/VH"),0,
IF(OR(E22="M/Ex"),0.1,
IF(OR(E22="VH/H",E22="VH/M",E22="H/H",E22="H/M", E22="M/VH"),0.2,
IF(OR(E22="Ex/VL",E22="Ex/L", E22="M/H"),0.3,
IF(OR(E22="VH/L",E22="H/L"),0.4,
IF(OR(E22="VH/VL",E22="H/VL",E22="M/M"),0.5,
IF(OR(E22="M/L",E22="L/Ex"),0.6,
IF(OR(E22="M/VL",E22="L/VH", E22="L/H",E22="L/M",E22="L/L",E22="L/VL", LEFT(E22,2)="VL"),1)))))))))</f>
        <v/>
      </c>
      <c r="G22" s="476" t="str">
        <f>IFERROR(IF(E24&gt;=50,0,AVERAGE(F22:F24)),"")</f>
        <v/>
      </c>
      <c r="H22" s="477"/>
      <c r="I22" s="480"/>
      <c r="J22" s="462"/>
      <c r="K22" s="9"/>
      <c r="N22" s="8"/>
    </row>
    <row r="23" spans="1:14" ht="15.75" x14ac:dyDescent="0.25">
      <c r="A23" s="475"/>
      <c r="B23" s="475"/>
      <c r="C23" s="98" t="s">
        <v>48</v>
      </c>
      <c r="D23" s="230"/>
      <c r="E23" s="32"/>
      <c r="F23" s="123" t="str">
        <f>IF(E23="","",ROUND(IF(E23&gt;=75,0,IF(E23&lt;=5,1,IF(E23&gt;10,E23*'Reference Curves'!K$17+'Reference Curves'!K$18,'Reference Curves'!$L$17*E23+'Reference Curves'!$L$18))),2))</f>
        <v/>
      </c>
      <c r="G23" s="477"/>
      <c r="H23" s="477"/>
      <c r="I23" s="480"/>
      <c r="J23" s="462"/>
      <c r="K23" s="9"/>
      <c r="N23" s="8"/>
    </row>
    <row r="24" spans="1:14" ht="15.75" x14ac:dyDescent="0.25">
      <c r="A24" s="475"/>
      <c r="B24" s="482"/>
      <c r="C24" s="99" t="s">
        <v>233</v>
      </c>
      <c r="D24" s="231"/>
      <c r="E24" s="33"/>
      <c r="F24" s="124" t="str">
        <f>IF(E24="","",IF(E24&gt;=30,0,ROUND(E24*'Reference Curves'!$K$22+'Reference Curves'!$K$23,2)))</f>
        <v/>
      </c>
      <c r="G24" s="478"/>
      <c r="H24" s="477"/>
      <c r="I24" s="480"/>
      <c r="J24" s="462"/>
      <c r="K24" s="9"/>
      <c r="N24" s="8"/>
    </row>
    <row r="25" spans="1:14" ht="15.75" x14ac:dyDescent="0.25">
      <c r="A25" s="475"/>
      <c r="B25" s="268" t="s">
        <v>234</v>
      </c>
      <c r="C25" s="17" t="s">
        <v>235</v>
      </c>
      <c r="D25" s="100"/>
      <c r="E25" s="33"/>
      <c r="F25" s="123" t="str">
        <f>IF(E25="","",IF(OR(D6="Cobble",D6="Boulders",D6="Bedrock"),ROUND(IF(E25&lt;=0,1,IF(E25&gt;=13.7,0, IF(E25&gt;5,E25*'Reference Curves'!$M$29+'Reference Curves'!$M$30,  E25*'Reference Curves'!$N$29+'Reference Curves'!$N$30))),2),
IF(D6="Gravel",ROUND(IF(E25&lt;=3,1,IF(E25&gt;=54,0, IF(E25&gt;15,E25*'Reference Curves'!$K$29+'Reference Curves'!$K$30,  E25*'Reference Curves'!$L$29+'Reference Curves'!$L$30))),2))))</f>
        <v/>
      </c>
      <c r="G25" s="265" t="str">
        <f>IFERROR(AVERAGE(F25:F25),"")</f>
        <v/>
      </c>
      <c r="H25" s="477"/>
      <c r="I25" s="480"/>
      <c r="J25" s="462"/>
      <c r="K25" s="9"/>
      <c r="N25" s="8"/>
    </row>
    <row r="26" spans="1:14" ht="15.75" x14ac:dyDescent="0.25">
      <c r="A26" s="475"/>
      <c r="B26" s="474" t="s">
        <v>39</v>
      </c>
      <c r="C26" s="14" t="s">
        <v>236</v>
      </c>
      <c r="D26" s="18"/>
      <c r="E26" s="35"/>
      <c r="F26" s="125" t="str">
        <f>IF(E26="","",IF(D4="Bc",IF(E26&gt;=12,0,IF(E26&lt;=3.4,1,ROUND('Reference Curves'!$K$39*E26+'Reference Curves'!$K$40,2))),
IF(OR(D4="B",D4="Ba"),IF(E26&gt;=6,0,IF(E26&lt;=2,1,ROUND(IF(E26&gt;3.9,'Reference Curves'!$K$35*E26+'Reference Curves'!$K$36,'Reference Curves'!$L$35*E26+'Reference Curves'!$L$36),2))),
IF(LEFT(D4,1)="C",IF(OR(E26&gt;=9.3,E26&lt;=3),0,IF(AND(E26&gt;=4,E26&lt;=6),1,ROUND(IF(E26&lt;4,'Reference Curves'!$K$49*E26+'Reference Curves'!$K$50,'Reference Curves'!$L$49*E26+'Reference Curves'!$L$50),2))),
IF(D4="E",IF(OR(E26&gt;=8.3,E26&lt;=1.8),0,IF(AND(E26&gt;=3.5,E26&lt;=5),1,ROUND(IF(E26&lt;3.5,'Reference Curves'!$K$44*E26+'Reference Curves'!$K$45,'Reference Curves'!$L$44*E26+'Reference Curves'!$L$45),2)))      )))))</f>
        <v/>
      </c>
      <c r="G26" s="483" t="str">
        <f>IFERROR(AVERAGE(F26:F28),"")</f>
        <v/>
      </c>
      <c r="H26" s="477"/>
      <c r="I26" s="480"/>
      <c r="J26" s="462"/>
      <c r="K26" s="9"/>
      <c r="N26" s="8"/>
    </row>
    <row r="27" spans="1:14" ht="15.75" x14ac:dyDescent="0.25">
      <c r="A27" s="475"/>
      <c r="B27" s="475"/>
      <c r="C27" s="16" t="s">
        <v>237</v>
      </c>
      <c r="D27" s="100"/>
      <c r="E27" s="34"/>
      <c r="F27" s="126" t="str">
        <f>IF(E27="","",ROUND(IF(E27&lt;=1,0, IF(OR(D4="B", D4="Ba"), IF(E27&gt;=2.8,1,IF(E27&gt;=1.8,'Reference Curves'!$L$56*E27+'Reference Curves'!$L$57,'Reference Curves'!$K$56*E27+'Reference Curves'!$K$57)),IF(E27&gt;=3.2,1,IF(E27&gt;=2.2,'Reference Curves'!$N$56*E27+'Reference Curves'!$N$57,'Reference Curves'!$M$56*E27+'Reference Curves'!$M$57)))),2))</f>
        <v/>
      </c>
      <c r="G27" s="484"/>
      <c r="H27" s="477"/>
      <c r="I27" s="480"/>
      <c r="J27" s="462"/>
      <c r="K27" s="9"/>
      <c r="N27" s="8"/>
    </row>
    <row r="28" spans="1:14" ht="15.75" customHeight="1" x14ac:dyDescent="0.25">
      <c r="A28" s="475"/>
      <c r="B28" s="475"/>
      <c r="C28" s="16" t="s">
        <v>79</v>
      </c>
      <c r="D28" s="100"/>
      <c r="E28" s="34"/>
      <c r="F28" s="266" t="str">
        <f>IF(E28="","",IF(D5&gt;=3,IF(OR(E28&lt;=0,E28&gt;=100),0,IF(AND(E28&gt;=68,E28&lt;=85),1,IF(E28&lt;68,IF(E28&lt;62,ROUND(E28*'Reference Curves'!$K$69+'Reference Curves'!$K$70,2),ROUND(E28*'Reference Curves'!$L$69+'Reference Curves'!$L$70,2)),
IF(E28&gt;87,ROUND(E28*'Reference Curves'!$M$69+'Reference Curves'!$M$70,2),ROUND(E28*'Reference Curves'!$N$69+'Reference Curves'!$N$70,2))))),
IF(D5&lt;&gt;0,IF(OR(E28&lt;=0,E28&gt;=100),0,IF(AND(E28&lt;=60,E28&gt;=50),1,IF(E28&lt;50,IF(E28&lt;39,ROUND(E28*'Reference Curves'!$K$63+'Reference Curves'!$K$64,2),ROUND(E28*'Reference Curves'!$L$63+'Reference Curves'!$L$64,2)),
IF(E28&gt;69,ROUND(E28*'Reference Curves'!$M$63+'Reference Curves'!$M$64,2),ROUND(E28*'Reference Curves'!$N$63+'Reference Curves'!$N$64,2))))))))</f>
        <v/>
      </c>
      <c r="G28" s="484"/>
      <c r="H28" s="477"/>
      <c r="I28" s="480"/>
      <c r="J28" s="462"/>
      <c r="K28" s="9"/>
      <c r="N28" s="8"/>
    </row>
    <row r="29" spans="1:14" ht="15.75" x14ac:dyDescent="0.25">
      <c r="A29" s="475"/>
      <c r="B29" s="474" t="s">
        <v>38</v>
      </c>
      <c r="C29" s="14" t="s">
        <v>238</v>
      </c>
      <c r="D29" s="41"/>
      <c r="E29" s="15"/>
      <c r="F29" s="127" t="str">
        <f>IF( E29="","",
IF( F4="Unconfined Alluvial", IF( E29&gt;=100,1,
ROUND('Reference Curves'!$K$76*E29+'Reference Curves'!$K$77,2) ),
IF( OR(F4="Confined Alluvial", F4="Colluvial/V-Shaped"), ( IF(E29&gt;=100,1,
IF(E29&gt;=60, ROUND('Reference Curves'!$M$76*E29+'Reference Curves'!$M$77,2), ROUND('Reference Curves'!$L$76*E29+'Reference Curves'!$L$77,2) ) ) ) ) ) )</f>
        <v/>
      </c>
      <c r="G29" s="476" t="str">
        <f>IFERROR(AVERAGE(F29:F31),"")</f>
        <v/>
      </c>
      <c r="H29" s="477"/>
      <c r="I29" s="480"/>
      <c r="J29" s="462"/>
      <c r="K29" s="9"/>
      <c r="N29" s="8"/>
    </row>
    <row r="30" spans="1:14" ht="15.75" x14ac:dyDescent="0.25">
      <c r="A30" s="475"/>
      <c r="B30" s="475"/>
      <c r="C30" s="16" t="s">
        <v>202</v>
      </c>
      <c r="D30" s="57"/>
      <c r="E30" s="65"/>
      <c r="F30" s="126" t="str">
        <f>IF(E30="","",IF(OR(F5="Alaska Range",F5="Brooks Range"),ROUND(IF(E30&gt;=1.57,1,IF(E30&lt;=0.06,'Reference Curves'!$K$83*E30+'Reference Curves'!$K$84, IF(E30&lt;0.83, 'Reference Curves'!$L$83*E30+'Reference Curves'!$L$84, 'Reference Curves'!$M$83*E30+'Reference Curves'!$M$84))),2),
IF(F5="Interior Highlands",ROUND(IF(E30&gt;=1.67,1,IF(E30&lt;=0.94,'Reference Curves'!$N$83*E30+'Reference Curves'!$N$84, IF(E30&lt;1.21, 'Reference Curves'!$O$83*E30+'Reference Curves'!$O$84, 'Reference Curves'!$P$83*E30+'Reference Curves'!$P$84))),2),
IF(OR(F5="Interior Bottomlands",F5="Yukon Flats"),ROUND(IF(E30&gt;=1.82,1,IF(E30&lt;=1.19,'Reference Curves'!$K$89*E30+'Reference Curves'!$K$90, IF(E30&lt;1.37, 'Reference Curves'!$L$89*E30+'Reference Curves'!$L$90, 'Reference Curves'!$M$89*E30+'Reference Curves'!$M$90))),2),
IF(F5="Interior Forested Lowlands/Uplands",ROUND(IF(E30&gt;=1.87,1,IF(E30&lt;=1.24,'Reference Curves'!$N$89*E30+'Reference Curves'!$N$90, IF(E30&lt;1.45, 'Reference Curves'!$O$89*E30+'Reference Curves'!$O$90, 'Reference Curves'!$P$89*E30+'Reference Curves'!$P$90))),2))))))</f>
        <v/>
      </c>
      <c r="G30" s="477"/>
      <c r="H30" s="477"/>
      <c r="I30" s="480"/>
      <c r="J30" s="462"/>
      <c r="K30" s="9"/>
      <c r="N30" s="8"/>
    </row>
    <row r="31" spans="1:14" ht="15.75" x14ac:dyDescent="0.25">
      <c r="A31" s="475"/>
      <c r="B31" s="475"/>
      <c r="C31" s="16" t="s">
        <v>239</v>
      </c>
      <c r="D31" s="57"/>
      <c r="E31" s="65"/>
      <c r="F31" s="266" t="str">
        <f>IF(E31="","",IF(E31&lt;83.5,0,IF(E31&gt;=100,1,ROUND(E31*'Reference Curves'!$K$94+'Reference Curves'!$K$95,2))))</f>
        <v/>
      </c>
      <c r="G31" s="478"/>
      <c r="H31" s="478"/>
      <c r="I31" s="481"/>
      <c r="J31" s="462"/>
      <c r="K31" s="9"/>
      <c r="N31" s="8"/>
    </row>
    <row r="32" spans="1:14" ht="15.75" x14ac:dyDescent="0.25">
      <c r="A32" s="485" t="s">
        <v>41</v>
      </c>
      <c r="B32" s="223" t="s">
        <v>115</v>
      </c>
      <c r="C32" s="224" t="s">
        <v>340</v>
      </c>
      <c r="D32" s="225"/>
      <c r="E32" s="28"/>
      <c r="F32" s="232" t="str">
        <f>IF(E32="","", IF(E32&lt;=1.1,1, IF(E32 &gt;1.315,0, ROUND(E32*'Reference Curves'!R$3+'Reference Curves'!R$4,2))))</f>
        <v/>
      </c>
      <c r="G32" s="267" t="str">
        <f>IFERROR(AVERAGE(F32:F32),"")</f>
        <v/>
      </c>
      <c r="H32" s="488" t="str">
        <f>IFERROR(AVERAGE(G32:G34),"")</f>
        <v/>
      </c>
      <c r="I32" s="436" t="str">
        <f>IF(H32="","",IF(H32&gt;0.69,"Functioning",IF(H32&gt;0.29,"Functioning At Risk",IF(H32&gt;-1,"Not Functioning"))))</f>
        <v/>
      </c>
      <c r="J32" s="462"/>
      <c r="K32" s="9"/>
      <c r="N32" s="8"/>
    </row>
    <row r="33" spans="1:14" ht="15.75" x14ac:dyDescent="0.25">
      <c r="A33" s="486"/>
      <c r="B33" s="223" t="s">
        <v>240</v>
      </c>
      <c r="C33" s="224" t="s">
        <v>341</v>
      </c>
      <c r="D33" s="225"/>
      <c r="E33" s="46"/>
      <c r="F33" s="240" t="str">
        <f>IF(E33="","",ROUND( IF(E33&lt;=3,1, IF(E33&gt;=100,0,IF(E33&gt;10, E33*'Reference Curves'!$R$9+'Reference Curves'!$R$10,E33*'Reference Curves'!$S$9+'Reference Curves'!$S$10))),2))</f>
        <v/>
      </c>
      <c r="G33" s="232" t="str">
        <f>IFERROR(AVERAGE(F33),"")</f>
        <v/>
      </c>
      <c r="H33" s="489"/>
      <c r="I33" s="436"/>
      <c r="J33" s="462"/>
      <c r="K33" s="9"/>
      <c r="N33" s="8"/>
    </row>
    <row r="34" spans="1:14" ht="15.75" x14ac:dyDescent="0.25">
      <c r="A34" s="487"/>
      <c r="B34" s="223" t="s">
        <v>241</v>
      </c>
      <c r="C34" s="226" t="s">
        <v>355</v>
      </c>
      <c r="D34" s="227"/>
      <c r="E34" s="46"/>
      <c r="F34" s="232" t="str">
        <f>IF(E34="","", IF(E34&gt;=75,1, IF(E34 &lt;19,0, ROUND(E34*'Reference Curves'!R$14+'Reference Curves'!R$15,2))))</f>
        <v/>
      </c>
      <c r="G34" s="232" t="str">
        <f>IFERROR(AVERAGE(F34),"")</f>
        <v/>
      </c>
      <c r="H34" s="490"/>
      <c r="I34" s="436"/>
      <c r="J34" s="462"/>
      <c r="K34" s="9"/>
      <c r="N34" s="8"/>
    </row>
    <row r="35" spans="1:14" ht="15.75" x14ac:dyDescent="0.25">
      <c r="A35" s="437" t="s">
        <v>42</v>
      </c>
      <c r="B35" s="228" t="s">
        <v>80</v>
      </c>
      <c r="C35" s="229" t="s">
        <v>366</v>
      </c>
      <c r="D35" s="26"/>
      <c r="E35" s="28"/>
      <c r="F35" s="128" t="str">
        <f>IF(E35="","",ROUND( IF(E35&gt;=81,0, IF(E35&lt;=36,1,IF(E35&gt;62, E35*'Reference Curves'!$V$4+'Reference Curves'!$V$5,IF(E35&gt;43, E35*'Reference Curves'!$W$4+'Reference Curves'!$W$5,E35*'Reference Curves'!$X$4+'Reference Curves'!$X$5)))),2))</f>
        <v/>
      </c>
      <c r="G35" s="104" t="str">
        <f>IFERROR(AVERAGE(F35),"")</f>
        <v/>
      </c>
      <c r="H35" s="440" t="str">
        <f>IFERROR(ROUND(AVERAGE(G35:G38),2),"")</f>
        <v/>
      </c>
      <c r="I35" s="436" t="str">
        <f>IF(H35="","",IF(H35&gt;0.69,"Functioning",IF(H35&gt;0.29,"Functioning At Risk",IF(H35&gt;-1,"Not Functioning"))))</f>
        <v/>
      </c>
      <c r="J35" s="462"/>
      <c r="K35" s="9"/>
      <c r="N35" s="8"/>
    </row>
    <row r="36" spans="1:14" ht="15.75" x14ac:dyDescent="0.25">
      <c r="A36" s="438"/>
      <c r="B36" s="437" t="s">
        <v>45</v>
      </c>
      <c r="C36" s="229" t="s">
        <v>242</v>
      </c>
      <c r="D36" s="26"/>
      <c r="E36" s="35"/>
      <c r="F36" s="104" t="str">
        <f>IF(E36="","",IF(F6="Anadromous", IF(E36&lt;=0,0,IF(E36&gt;=100,1,ROUND(IF(E36&lt;80,E36*'Reference Curves'!$V$11+'Reference Curves'!$V$12,E36*'Reference Curves'!$W$11+'Reference Curves'!$W$12),2))),
IF(F6="Non-anadromous", IF(E36&lt;=0,0,IF(E36&gt;=100,1,ROUND(IF(E36&lt;60,E36*'Reference Curves'!$X$11+'Reference Curves'!$X$12,E36*'Reference Curves'!$Y$11+'Reference Curves'!$Y$12),2))))))</f>
        <v/>
      </c>
      <c r="G36" s="441" t="str">
        <f>IFERROR(AVERAGE(F36:F38),"")</f>
        <v/>
      </c>
      <c r="H36" s="440"/>
      <c r="I36" s="436"/>
      <c r="J36" s="462"/>
      <c r="K36" s="9"/>
      <c r="N36" s="8"/>
    </row>
    <row r="37" spans="1:14" ht="15.75" x14ac:dyDescent="0.25">
      <c r="A37" s="438"/>
      <c r="B37" s="438"/>
      <c r="C37" s="294" t="s">
        <v>322</v>
      </c>
      <c r="D37" s="295"/>
      <c r="E37" s="34"/>
      <c r="F37" s="104" t="str">
        <f>IF(E37="","", IF(E37&lt;=0,0,IF(E37&gt;=0.9,1,ROUND(E37*'Reference Curves'!$V$16+'Reference Curves'!$V$17,2))))</f>
        <v/>
      </c>
      <c r="G37" s="491"/>
      <c r="H37" s="440"/>
      <c r="I37" s="436"/>
      <c r="J37" s="462"/>
      <c r="K37" s="9"/>
      <c r="N37" s="8"/>
    </row>
    <row r="38" spans="1:14" ht="15.75" x14ac:dyDescent="0.25">
      <c r="A38" s="439"/>
      <c r="B38" s="439"/>
      <c r="C38" s="101" t="s">
        <v>243</v>
      </c>
      <c r="D38" s="103"/>
      <c r="E38" s="36"/>
      <c r="F38" s="128" t="str">
        <f>IF(E38="","", IF(E38&lt;=0,0,IF(E38&gt;=0.9,1,ROUND(E38*'Reference Curves'!$V$16+'Reference Curves'!$V$17,2))))</f>
        <v/>
      </c>
      <c r="G38" s="443"/>
      <c r="H38" s="440"/>
      <c r="I38" s="436"/>
      <c r="J38" s="463"/>
      <c r="K38" s="9"/>
      <c r="N38" s="8"/>
    </row>
    <row r="39" spans="1:14" x14ac:dyDescent="0.25">
      <c r="J39" s="3"/>
      <c r="K39" s="9"/>
    </row>
    <row r="40" spans="1:14" x14ac:dyDescent="0.25">
      <c r="K40" s="9"/>
    </row>
    <row r="41" spans="1:14" ht="21" customHeight="1" x14ac:dyDescent="0.25">
      <c r="A41" s="495" t="s">
        <v>167</v>
      </c>
      <c r="B41" s="496"/>
      <c r="C41" s="496"/>
      <c r="D41" s="496"/>
      <c r="E41" s="496"/>
      <c r="F41" s="496"/>
      <c r="G41" s="496"/>
      <c r="H41" s="496"/>
      <c r="I41" s="496"/>
      <c r="J41" s="497"/>
    </row>
    <row r="42" spans="1:14" ht="16.149999999999999" customHeight="1" x14ac:dyDescent="0.25">
      <c r="A42" s="115" t="s">
        <v>59</v>
      </c>
      <c r="B42" s="130" t="str">
        <f>IF('Project Assessment'!A11="","",'Project Assessment'!A11)</f>
        <v/>
      </c>
      <c r="C42" s="115" t="s">
        <v>168</v>
      </c>
      <c r="D42" s="130" t="str">
        <f>IF('Existing Conditions'!D42="","",'Existing Conditions'!D42)</f>
        <v/>
      </c>
      <c r="E42" s="250" t="s">
        <v>73</v>
      </c>
      <c r="F42" s="505" t="str">
        <f>IF('Existing Conditions'!F42="","",'Existing Conditions'!F42)</f>
        <v/>
      </c>
      <c r="G42" s="506" t="str">
        <f>IF('Existing Conditions'!G42="","",'Existing Conditions'!G42)</f>
        <v/>
      </c>
      <c r="H42" s="493" t="s">
        <v>102</v>
      </c>
      <c r="I42" s="494"/>
      <c r="J42" s="130">
        <f>'Existing Conditions'!J42</f>
        <v>0</v>
      </c>
    </row>
    <row r="43" spans="1:14" ht="16.149999999999999" customHeight="1" x14ac:dyDescent="0.25">
      <c r="A43" s="134" t="s">
        <v>212</v>
      </c>
      <c r="B43" s="130" t="str">
        <f>IF('Project Assessment'!B11="","",'Project Assessment'!B11)</f>
        <v/>
      </c>
      <c r="C43" s="250" t="s">
        <v>359</v>
      </c>
      <c r="D43" s="130" t="str">
        <f>IF('Existing Conditions'!D43="","",'Existing Conditions'!D43)</f>
        <v/>
      </c>
      <c r="E43" s="250" t="s">
        <v>156</v>
      </c>
      <c r="F43" s="505" t="str">
        <f>IF('Existing Conditions'!F43="","",'Existing Conditions'!F43)</f>
        <v/>
      </c>
      <c r="G43" s="506" t="str">
        <f>IF('Existing Conditions'!G43="","",'Existing Conditions'!G43)</f>
        <v/>
      </c>
      <c r="H43" s="493" t="s">
        <v>103</v>
      </c>
      <c r="I43" s="494"/>
      <c r="J43" s="130">
        <f>'Existing Conditions'!J43</f>
        <v>0</v>
      </c>
    </row>
    <row r="44" spans="1:14" ht="16.149999999999999" customHeight="1" x14ac:dyDescent="0.35">
      <c r="A44" s="119" t="s">
        <v>157</v>
      </c>
      <c r="B44" s="130" t="str">
        <f>IF('Project Assessment'!C11="","",'Project Assessment'!C11)</f>
        <v/>
      </c>
      <c r="C44" s="239" t="s">
        <v>360</v>
      </c>
      <c r="D44" s="130" t="str">
        <f>IF('Existing Conditions'!D44="","",'Existing Conditions'!D44)</f>
        <v/>
      </c>
      <c r="E44" s="250" t="s">
        <v>220</v>
      </c>
      <c r="F44" s="505" t="str">
        <f>IF('Existing Conditions'!F44="","",'Existing Conditions'!F44)</f>
        <v/>
      </c>
      <c r="G44" s="506" t="str">
        <f>IF('Existing Conditions'!G44="","",'Existing Conditions'!G44)</f>
        <v/>
      </c>
      <c r="H44" s="493" t="s">
        <v>104</v>
      </c>
      <c r="I44" s="494"/>
      <c r="J44" s="130">
        <f>'Existing Conditions'!J44</f>
        <v>0</v>
      </c>
      <c r="K44" s="24"/>
    </row>
    <row r="45" spans="1:14" ht="16.149999999999999" customHeight="1" x14ac:dyDescent="0.25">
      <c r="A45" s="499"/>
      <c r="B45" s="500"/>
      <c r="C45" s="233" t="s">
        <v>155</v>
      </c>
      <c r="D45" s="130" t="str">
        <f>IF('Existing Conditions'!D45="","",'Existing Conditions'!D45)</f>
        <v/>
      </c>
      <c r="E45" s="502"/>
      <c r="F45" s="503"/>
      <c r="G45" s="504"/>
      <c r="H45" s="493" t="s">
        <v>105</v>
      </c>
      <c r="I45" s="494"/>
      <c r="J45" s="130">
        <f>'Existing Conditions'!J45</f>
        <v>0</v>
      </c>
      <c r="K45" s="37"/>
    </row>
    <row r="46" spans="1:14" ht="9" customHeight="1" x14ac:dyDescent="0.25">
      <c r="B46" s="50"/>
      <c r="C46" s="50"/>
      <c r="D46" s="50"/>
      <c r="E46" s="50"/>
      <c r="F46" s="50"/>
      <c r="G46" s="50"/>
      <c r="H46" s="50"/>
      <c r="I46" s="48"/>
      <c r="J46" s="9"/>
      <c r="K46" s="37"/>
    </row>
    <row r="47" spans="1:14" ht="19.899999999999999" customHeight="1" x14ac:dyDescent="0.35">
      <c r="A47" s="492" t="str">
        <f>_xlfn.CONCAT("PROPOSED CONDITION ASSESSMENT for Reach ",B42)</f>
        <v xml:space="preserve">PROPOSED CONDITION ASSESSMENT for Reach </v>
      </c>
      <c r="B47" s="492"/>
      <c r="C47" s="492"/>
      <c r="D47" s="492"/>
      <c r="E47" s="492"/>
      <c r="F47" s="492"/>
      <c r="G47" s="492" t="s">
        <v>10</v>
      </c>
      <c r="H47" s="492"/>
      <c r="I47" s="492"/>
      <c r="J47" s="492"/>
      <c r="K47" s="9"/>
    </row>
    <row r="48" spans="1:14" ht="15.75" x14ac:dyDescent="0.25">
      <c r="A48" s="30" t="s">
        <v>1</v>
      </c>
      <c r="B48" s="30" t="s">
        <v>2</v>
      </c>
      <c r="C48" s="448" t="s">
        <v>316</v>
      </c>
      <c r="D48" s="449"/>
      <c r="E48" s="30" t="s">
        <v>8</v>
      </c>
      <c r="F48" s="29" t="s">
        <v>9</v>
      </c>
      <c r="G48" s="30" t="s">
        <v>11</v>
      </c>
      <c r="H48" s="30" t="s">
        <v>12</v>
      </c>
      <c r="I48" s="49" t="s">
        <v>12</v>
      </c>
      <c r="J48" s="271" t="s">
        <v>130</v>
      </c>
      <c r="K48" s="9"/>
    </row>
    <row r="49" spans="1:11" ht="15.75" x14ac:dyDescent="0.25">
      <c r="A49" s="450" t="s">
        <v>223</v>
      </c>
      <c r="B49" s="453" t="s">
        <v>224</v>
      </c>
      <c r="C49" s="212" t="s">
        <v>114</v>
      </c>
      <c r="D49" s="215"/>
      <c r="E49" s="35"/>
      <c r="F49" s="218" t="str">
        <f>IF(E49="","",IF(E49&gt;=86,0,IF(E49&lt;=9,1,ROUND(IF(E49&gt;22,E49*'Reference Curves'!B$4+'Reference Curves'!B$5, IF(E49&gt;16, E49*'Reference Curves'!C$4+'Reference Curves'!C$5,E49*'Reference Curves'!$D$4+'Reference Curves'!$D$5)),2))))</f>
        <v/>
      </c>
      <c r="G49" s="456" t="str">
        <f>IFERROR(AVERAGE(F49:F51),"")</f>
        <v/>
      </c>
      <c r="H49" s="458" t="str">
        <f>IFERROR(ROUND(AVERAGE(G49:G55),2),"")</f>
        <v/>
      </c>
      <c r="I49" s="445" t="str">
        <f>IF(H49="","",IF(H49&gt;0.69,"Functioning",IF(H49&gt;0.29,"Functioning At Risk",IF(H49&gt;-1,"Not Functioning"))))</f>
        <v/>
      </c>
      <c r="J49" s="461" t="str">
        <f>IF(AND(H49="",H56="",H59="",H70="",H73=""),"",ROUND((IF(H49="",0,H49)*0.2)+(IF(H56="",0,H56)*0.2)+(IF(H59="",0,H59)*0.2)+(IF(H70="",0,H70)*0.2)+(IF(H73="",0,H73)*0.2),2))</f>
        <v/>
      </c>
    </row>
    <row r="50" spans="1:11" ht="21" customHeight="1" x14ac:dyDescent="0.25">
      <c r="A50" s="451"/>
      <c r="B50" s="454"/>
      <c r="C50" s="213" t="s">
        <v>221</v>
      </c>
      <c r="D50" s="216"/>
      <c r="E50" s="34"/>
      <c r="F50" s="235" t="str">
        <f>IF(E50="","",IF(E50&gt;=33.5,0,IF(E50=0,1,ROUND(E50*'Reference Curves'!B$9+'Reference Curves'!B$10,2))))</f>
        <v/>
      </c>
      <c r="G50" s="457"/>
      <c r="H50" s="459"/>
      <c r="I50" s="446"/>
      <c r="J50" s="462"/>
    </row>
    <row r="51" spans="1:11" ht="16.149999999999999" customHeight="1" x14ac:dyDescent="0.25">
      <c r="A51" s="451"/>
      <c r="B51" s="455"/>
      <c r="C51" s="214" t="s">
        <v>222</v>
      </c>
      <c r="D51" s="216"/>
      <c r="E51" s="36"/>
      <c r="F51" s="235" t="str">
        <f>IF(E51="","",IF(E51&gt;=61,0,IF(E51=0,1, ROUND(IF(E51&gt;35,E51*'Reference Curves'!B$15+'Reference Curves'!B$16,  E51*'Reference Curves'!C$15+'Reference Curves'!C$16),2))))</f>
        <v/>
      </c>
      <c r="G51" s="457"/>
      <c r="H51" s="459"/>
      <c r="I51" s="446"/>
      <c r="J51" s="462"/>
    </row>
    <row r="52" spans="1:11" ht="16.149999999999999" customHeight="1" x14ac:dyDescent="0.25">
      <c r="A52" s="451"/>
      <c r="B52" s="464" t="s">
        <v>63</v>
      </c>
      <c r="C52" s="212" t="s">
        <v>114</v>
      </c>
      <c r="D52" s="215"/>
      <c r="E52" s="34"/>
      <c r="F52" s="218" t="str">
        <f>IF(E52="","",IF(E52&gt;=86,0,IF(E52&lt;=9,1,ROUND(IF(E52&gt;22,E52*'Reference Curves'!B$4+'Reference Curves'!B$5, IF(E52&gt;16, E52*'Reference Curves'!C$4+'Reference Curves'!C$5,E52*'Reference Curves'!$D$4+'Reference Curves'!$D$5)),2))))</f>
        <v/>
      </c>
      <c r="G52" s="456" t="str">
        <f>IFERROR(AVERAGE(F52:F55),"")</f>
        <v/>
      </c>
      <c r="H52" s="459"/>
      <c r="I52" s="446"/>
      <c r="J52" s="462"/>
    </row>
    <row r="53" spans="1:11" ht="16.149999999999999" customHeight="1" x14ac:dyDescent="0.35">
      <c r="A53" s="451"/>
      <c r="B53" s="464"/>
      <c r="C53" s="213" t="s">
        <v>221</v>
      </c>
      <c r="D53" s="216"/>
      <c r="E53" s="34"/>
      <c r="F53" s="235" t="str">
        <f>IF(E53="","",IF(E53&gt;=33.5,0,IF(E53=0,1,ROUND(E53*'Reference Curves'!B$9+'Reference Curves'!B$10,2))))</f>
        <v/>
      </c>
      <c r="G53" s="457"/>
      <c r="H53" s="459"/>
      <c r="I53" s="446"/>
      <c r="J53" s="462"/>
      <c r="K53" s="24"/>
    </row>
    <row r="54" spans="1:11" ht="16.149999999999999" customHeight="1" x14ac:dyDescent="0.25">
      <c r="A54" s="451"/>
      <c r="B54" s="464"/>
      <c r="C54" s="213" t="s">
        <v>222</v>
      </c>
      <c r="D54" s="216"/>
      <c r="E54" s="34"/>
      <c r="F54" s="235" t="str">
        <f>IF(E54="","",IF(E54&gt;=61,0,IF(E54=0,1, ROUND(IF(E54&gt;35,E54*'Reference Curves'!B$15+'Reference Curves'!B$16,  E54*'Reference Curves'!C$15+'Reference Curves'!C$16),2))))</f>
        <v/>
      </c>
      <c r="G54" s="457"/>
      <c r="H54" s="459"/>
      <c r="I54" s="446"/>
      <c r="J54" s="462"/>
      <c r="K54" s="37"/>
    </row>
    <row r="55" spans="1:11" ht="18.75" customHeight="1" x14ac:dyDescent="0.25">
      <c r="A55" s="452"/>
      <c r="B55" s="465"/>
      <c r="C55" s="214" t="s">
        <v>225</v>
      </c>
      <c r="D55" s="217"/>
      <c r="E55" s="34"/>
      <c r="F55" s="236" t="str">
        <f>IF(E55="","",   IF(E55&gt;3.35,0, IF(E55&lt;0, "", ROUND('Reference Curves'!$B$20*E55+'Reference Curves'!$B$21,2))))</f>
        <v/>
      </c>
      <c r="G55" s="457"/>
      <c r="H55" s="460"/>
      <c r="I55" s="447"/>
      <c r="J55" s="462"/>
      <c r="K55" s="37"/>
    </row>
    <row r="56" spans="1:11" ht="19.899999999999999" customHeight="1" x14ac:dyDescent="0.25">
      <c r="A56" s="466" t="s">
        <v>226</v>
      </c>
      <c r="B56" s="469" t="s">
        <v>3</v>
      </c>
      <c r="C56" s="95" t="s">
        <v>227</v>
      </c>
      <c r="D56" s="13"/>
      <c r="E56" s="28"/>
      <c r="F56" s="121" t="str">
        <f>IF(E56="","", IF(E56&gt;1.71,0,IF(E56&lt;=1,1, ROUND(E56*'Reference Curves'!G$3+'Reference Curves'!G$4,2))))</f>
        <v/>
      </c>
      <c r="G56" s="471" t="str">
        <f>IFERROR(AVERAGE(F56:F57),"")</f>
        <v/>
      </c>
      <c r="H56" s="471" t="str">
        <f>IFERROR(ROUND(AVERAGE(G56:G58),2),"")</f>
        <v/>
      </c>
      <c r="I56" s="445" t="str">
        <f>IF(H56="","",IF(H56&gt;0.69,"Functioning",IF(H56&gt;0.29,"Functioning At Risk",IF(H56&gt;-1,"Not Functioning"))))</f>
        <v/>
      </c>
      <c r="J56" s="462"/>
      <c r="K56" s="9"/>
    </row>
    <row r="57" spans="1:11" ht="15.75" x14ac:dyDescent="0.25">
      <c r="A57" s="467"/>
      <c r="B57" s="470"/>
      <c r="C57" s="97" t="s">
        <v>228</v>
      </c>
      <c r="D57" s="102"/>
      <c r="E57" s="33"/>
      <c r="F57" s="237" t="str">
        <f>IF(E57="","",IF(LEFT(D42,1)="B",IF(E57&lt;=1,0,IF(E57&gt;=2.2,1,ROUND(IF(E57&lt;1.4,E57*'Reference Curves'!$G$19+'Reference Curves'!$G$20,E57*'Reference Curves'!$H$19+'Reference Curves'!$H$20),2))),
IF(LEFT(D42,1)="C",IF(E57&lt;1.7,0,IF(E57&gt;=4.4,1,ROUND(IF(E57&gt;2.4,E57*'Reference Curves'!$H$9+'Reference Curves'!$H$10,E57*'Reference Curves'!$G$9+'Reference Curves'!$G$10),2))),
IF(LEFT(D42,1)="E",IF(E57&lt;1.7,0,IF(E57&gt;=6.5,1,ROUND(IF(E57&gt;2.4,E57*'Reference Curves'!$H$14+'Reference Curves'!$H$15,E57*'Reference Curves'!$G$14+'Reference Curves'!$G$15),2)))))))</f>
        <v/>
      </c>
      <c r="G57" s="472"/>
      <c r="H57" s="473"/>
      <c r="I57" s="446"/>
      <c r="J57" s="462"/>
      <c r="K57" s="9"/>
    </row>
    <row r="58" spans="1:11" ht="15.75" x14ac:dyDescent="0.25">
      <c r="A58" s="468"/>
      <c r="B58" s="219" t="s">
        <v>229</v>
      </c>
      <c r="C58" s="96" t="s">
        <v>230</v>
      </c>
      <c r="D58" s="13"/>
      <c r="E58" s="32"/>
      <c r="F58" s="122" t="str">
        <f>IF(E58="","",IF(E58&gt;=180,0, IF(E58=100,1, ROUND(IF(E58&gt;100,E58*'Reference Curves'!$H$25+'Reference Curves'!$H$26, IF(E56&gt;1.2,IF(E58 &lt;=20,0, E58*'Reference Curves'!$G$25+'Reference Curves'!$G$26),1)),2))))</f>
        <v/>
      </c>
      <c r="G58" s="269" t="str">
        <f>IFERROR(AVERAGE(F58),"")</f>
        <v/>
      </c>
      <c r="H58" s="472"/>
      <c r="I58" s="447"/>
      <c r="J58" s="462"/>
      <c r="K58" s="9"/>
    </row>
    <row r="59" spans="1:11" ht="15.75" x14ac:dyDescent="0.25">
      <c r="A59" s="474" t="s">
        <v>16</v>
      </c>
      <c r="B59" s="270" t="s">
        <v>231</v>
      </c>
      <c r="C59" s="220" t="s">
        <v>232</v>
      </c>
      <c r="D59" s="221"/>
      <c r="E59" s="46"/>
      <c r="F59" s="238" t="str">
        <f>IF(E59="","",IF(F43="Alaska Range",ROUND(IF(E59&lt;=0.05,0, IF(E59&gt;=6.3,1,IF(E59&lt;=1.5,'Reference Curves'!$K$5*E59+'Reference Curves'!$K$6, 'Reference Curves'!$L$5*E59+'Reference Curves'!$L$6))),2),
IF(F43="Brooks Range",ROUND(IF(E59&gt;=4.2,1,IF(E59&lt;0.03,0, IF(E59&lt;=1.2,'Reference Curves'!$M$5*E59+'Reference Curves'!$M$6, 'Reference Curves'!$N$5*E59+'Reference Curves'!$N$6))),2),
IF(OR(F43="Interior Bottomlands", F43="Yukon Flats"),ROUND(IF(E59&gt;=54.5,1,IF(E59&lt;=3.7,'Reference Curves'!$K$11*E59+'Reference Curves'!$K$12, IF(E59&lt;4.7,  'Reference Curves'!$L$11*E59+'Reference Curves'!$L$12,  'Reference Curves'!$M$11*E59+'Reference Curves'!$M$12))),2),
IF(OR(F43="Interior Forested Lowlands/Uplands",F43="Interior Highlands"),ROUND(IF(E59=0,0,IF(E59&gt;=24.1,1,IF(E59&lt;=1.3,'Reference Curves'!$N$11*E59+'Reference Curves'!$N$12, 'Reference Curves'!$O$11*E59+'Reference Curves'!$O$12))),2))))))</f>
        <v/>
      </c>
      <c r="G59" s="265" t="str">
        <f>IFERROR(AVERAGE(F59:F59),"")</f>
        <v/>
      </c>
      <c r="H59" s="476" t="str">
        <f>IFERROR(ROUND(AVERAGE(G59:G69),2),"")</f>
        <v/>
      </c>
      <c r="I59" s="479" t="str">
        <f>IF(H59="","",IF(H59&gt;0.69,"Functioning",IF(H59&gt;0.29,"Functioning At Risk",IF(H59&gt;-1,"Not Functioning"))))</f>
        <v/>
      </c>
      <c r="J59" s="462"/>
    </row>
    <row r="60" spans="1:11" ht="16.149999999999999" customHeight="1" x14ac:dyDescent="0.25">
      <c r="A60" s="475"/>
      <c r="B60" s="475" t="s">
        <v>99</v>
      </c>
      <c r="C60" s="16" t="s">
        <v>37</v>
      </c>
      <c r="D60" s="100"/>
      <c r="E60" s="234"/>
      <c r="F60" s="123" t="str">
        <f>IF(E60="","",IF(OR(E60="Ex/Ex",E60="Ex/VH",E60="Ex/H",E60="Ex/M",E60="VH/Ex",E60="VH/VH", E60="H/Ex",E60="H/VH"),0,
IF(OR(E60="M/Ex"),0.1,
IF(OR(E60="VH/H",E60="VH/M",E60="H/H",E60="H/M", E60="M/VH"),0.2,
IF(OR(E60="Ex/VL",E60="Ex/L", E60="M/H"),0.3,
IF(OR(E60="VH/L",E60="H/L"),0.4,
IF(OR(E60="VH/VL",E60="H/VL",E60="M/M"),0.5,
IF(OR(E60="M/L",E60="L/Ex"),0.6,
IF(OR(E60="M/VL",E60="L/VH", E60="L/H",E60="L/M",E60="L/L",E60="L/VL", LEFT(E60,2)="VL"),1)))))))))</f>
        <v/>
      </c>
      <c r="G60" s="476" t="str">
        <f>IFERROR(IF(E62&gt;=50,0,AVERAGE(F60:F62)),"")</f>
        <v/>
      </c>
      <c r="H60" s="477"/>
      <c r="I60" s="480"/>
      <c r="J60" s="462"/>
    </row>
    <row r="61" spans="1:11" ht="16.149999999999999" customHeight="1" x14ac:dyDescent="0.25">
      <c r="A61" s="475"/>
      <c r="B61" s="475"/>
      <c r="C61" s="98" t="s">
        <v>48</v>
      </c>
      <c r="D61" s="230"/>
      <c r="E61" s="32"/>
      <c r="F61" s="123" t="str">
        <f>IF(E61="","",ROUND(IF(E61&gt;=75,0,IF(E61&lt;=5,1,IF(E61&gt;10,E61*'Reference Curves'!K$17+'Reference Curves'!K$18,'Reference Curves'!$L$17*E61+'Reference Curves'!$L$18))),2))</f>
        <v/>
      </c>
      <c r="G61" s="477"/>
      <c r="H61" s="477"/>
      <c r="I61" s="480"/>
      <c r="J61" s="462"/>
    </row>
    <row r="62" spans="1:11" ht="16.149999999999999" customHeight="1" x14ac:dyDescent="0.35">
      <c r="A62" s="475"/>
      <c r="B62" s="482"/>
      <c r="C62" s="99" t="s">
        <v>233</v>
      </c>
      <c r="D62" s="231"/>
      <c r="E62" s="33"/>
      <c r="F62" s="124" t="str">
        <f>IF(E62="","",IF(E62&gt;=30,0,ROUND(E62*'Reference Curves'!$K$22+'Reference Curves'!$K$23,2)))</f>
        <v/>
      </c>
      <c r="G62" s="478"/>
      <c r="H62" s="477"/>
      <c r="I62" s="480"/>
      <c r="J62" s="462"/>
      <c r="K62" s="24"/>
    </row>
    <row r="63" spans="1:11" ht="16.149999999999999" customHeight="1" x14ac:dyDescent="0.25">
      <c r="A63" s="475"/>
      <c r="B63" s="268" t="s">
        <v>234</v>
      </c>
      <c r="C63" s="17" t="s">
        <v>235</v>
      </c>
      <c r="D63" s="100"/>
      <c r="E63" s="33"/>
      <c r="F63" s="123" t="str">
        <f>IF(E63="","",IF(OR(D44="Cobble",D44="Boulders",D44="Bedrock"),ROUND(IF(E63&lt;=0,1,IF(E63&gt;=13.7,0, IF(E63&gt;5,E63*'Reference Curves'!$M$29+'Reference Curves'!$M$30,  E63*'Reference Curves'!$N$29+'Reference Curves'!$N$30))),2),
IF(D44="Gravel",ROUND(IF(E63&lt;=3,1,IF(E63&gt;=54,0, IF(E63&gt;15,E63*'Reference Curves'!$K$29+'Reference Curves'!$K$30,  E63*'Reference Curves'!$L$29+'Reference Curves'!$L$30))),2))))</f>
        <v/>
      </c>
      <c r="G63" s="265" t="str">
        <f>IFERROR(AVERAGE(F63:F63),"")</f>
        <v/>
      </c>
      <c r="H63" s="477"/>
      <c r="I63" s="480"/>
      <c r="J63" s="462"/>
      <c r="K63" s="37"/>
    </row>
    <row r="64" spans="1:11" ht="19.5" customHeight="1" x14ac:dyDescent="0.25">
      <c r="A64" s="475"/>
      <c r="B64" s="474" t="s">
        <v>39</v>
      </c>
      <c r="C64" s="14" t="s">
        <v>236</v>
      </c>
      <c r="D64" s="18"/>
      <c r="E64" s="35"/>
      <c r="F64" s="125" t="str">
        <f>IF(E64="","",IF(D42="Bc",IF(E64&gt;=12,0,IF(E64&lt;=3.4,1,ROUND('Reference Curves'!$K$39*E64+'Reference Curves'!$K$40,2))),
IF(OR(D42="B",D42="Ba"),IF(E64&gt;=6,0,IF(E64&lt;=2,1,ROUND(IF(E64&gt;3.9,'Reference Curves'!$K$35*E64+'Reference Curves'!$K$36,'Reference Curves'!$L$35*E64+'Reference Curves'!$L$36),2))),
IF(LEFT(D42,1)="C",IF(OR(E64&gt;=9.3,E64&lt;=3),0,IF(AND(E64&gt;=4,E64&lt;=6),1,ROUND(IF(E64&lt;4,'Reference Curves'!$K$49*E64+'Reference Curves'!$K$50,'Reference Curves'!$L$49*E64+'Reference Curves'!$L$50),2))),
IF(D42="E",IF(OR(E64&gt;=8.3,E64&lt;=1.8),0,IF(AND(E64&gt;=3.5,E64&lt;=5),1,ROUND(IF(E64&lt;3.5,'Reference Curves'!$K$44*E64+'Reference Curves'!$K$45,'Reference Curves'!$L$44*E64+'Reference Curves'!$L$45),2)))      )))))</f>
        <v/>
      </c>
      <c r="G64" s="483" t="str">
        <f>IFERROR(AVERAGE(F64:F66),"")</f>
        <v/>
      </c>
      <c r="H64" s="477"/>
      <c r="I64" s="480"/>
      <c r="J64" s="462"/>
      <c r="K64" s="37"/>
    </row>
    <row r="65" spans="1:11" ht="19.899999999999999" customHeight="1" x14ac:dyDescent="0.25">
      <c r="A65" s="475"/>
      <c r="B65" s="475"/>
      <c r="C65" s="16" t="s">
        <v>237</v>
      </c>
      <c r="D65" s="100"/>
      <c r="E65" s="34"/>
      <c r="F65" s="126" t="str">
        <f>IF(E65="","",ROUND(IF(E65&lt;=1,0, IF(OR(D42="B", D42="Ba"), IF(E65&gt;=2.8,1,IF(E65&gt;=1.8,'Reference Curves'!$L$56*E65+'Reference Curves'!$L$57,'Reference Curves'!$K$56*E65+'Reference Curves'!$K$57)),IF(E65&gt;=3.2,1,IF(E65&gt;=2.2,'Reference Curves'!$N$56*E65+'Reference Curves'!$N$57,'Reference Curves'!$M$56*E65+'Reference Curves'!$M$57)))),2))</f>
        <v/>
      </c>
      <c r="G65" s="484"/>
      <c r="H65" s="477"/>
      <c r="I65" s="480"/>
      <c r="J65" s="462"/>
      <c r="K65" s="9"/>
    </row>
    <row r="66" spans="1:11" ht="15.75" x14ac:dyDescent="0.25">
      <c r="A66" s="475"/>
      <c r="B66" s="475"/>
      <c r="C66" s="16" t="s">
        <v>79</v>
      </c>
      <c r="D66" s="100"/>
      <c r="E66" s="34"/>
      <c r="F66" s="266" t="str">
        <f>IF(E66="","",IF(D43&gt;=3,IF(OR(E66&lt;=0,E66&gt;=100),0,IF(AND(E66&gt;=68,E66&lt;=85),1,IF(E66&lt;68,IF(E66&lt;62,ROUND(E66*'Reference Curves'!$K$69+'Reference Curves'!$K$70,2),ROUND(E66*'Reference Curves'!$L$69+'Reference Curves'!$L$70,2)),
IF(E66&gt;87,ROUND(E66*'Reference Curves'!$M$69+'Reference Curves'!$M$70,2),ROUND(E66*'Reference Curves'!$N$69+'Reference Curves'!$N$70,2))))),
IF(D43&lt;&gt;0,IF(OR(E66&lt;=0,E66&gt;=100),0,IF(AND(E66&lt;=60,E66&gt;=50),1,IF(E66&lt;50,IF(E66&lt;39,ROUND(E66*'Reference Curves'!$K$63+'Reference Curves'!$K$64,2),ROUND(E66*'Reference Curves'!$L$63+'Reference Curves'!$L$64,2)),
IF(E66&gt;69,ROUND(E66*'Reference Curves'!$M$63+'Reference Curves'!$M$64,2),ROUND(E66*'Reference Curves'!$N$63+'Reference Curves'!$N$64,2))))))))</f>
        <v/>
      </c>
      <c r="G66" s="484"/>
      <c r="H66" s="477"/>
      <c r="I66" s="480"/>
      <c r="J66" s="462"/>
      <c r="K66" s="9"/>
    </row>
    <row r="67" spans="1:11" ht="15.75" x14ac:dyDescent="0.25">
      <c r="A67" s="475"/>
      <c r="B67" s="474" t="s">
        <v>38</v>
      </c>
      <c r="C67" s="14" t="s">
        <v>238</v>
      </c>
      <c r="D67" s="41"/>
      <c r="E67" s="15"/>
      <c r="F67" s="127" t="str">
        <f>IF( E67="","",
IF( F42="Unconfined Alluvial", IF( E67&gt;=100,1,
ROUND('Reference Curves'!$K$76*E67+'Reference Curves'!$K$77,2) ),
IF( OR(F42="Confined Alluvial", F42="Colluvial/V-Shaped"), ( IF(E67&gt;=100,1,
IF(E67&gt;=60, ROUND('Reference Curves'!$M$76*E67+'Reference Curves'!$M$77,2), ROUND('Reference Curves'!$L$76*E67+'Reference Curves'!$L$77,2) ) ) ) ) ) )</f>
        <v/>
      </c>
      <c r="G67" s="476" t="str">
        <f>IFERROR(AVERAGE(F67:F69),"")</f>
        <v/>
      </c>
      <c r="H67" s="477"/>
      <c r="I67" s="480"/>
      <c r="J67" s="462"/>
      <c r="K67" s="9"/>
    </row>
    <row r="68" spans="1:11" ht="21" customHeight="1" x14ac:dyDescent="0.25">
      <c r="A68" s="475"/>
      <c r="B68" s="475"/>
      <c r="C68" s="16" t="s">
        <v>202</v>
      </c>
      <c r="D68" s="57"/>
      <c r="E68" s="65"/>
      <c r="F68" s="126" t="str">
        <f>IF(E68="","",IF(OR(F43="Alaska Range",F43="Brooks Range"),ROUND(IF(E68&gt;=1.57,1,IF(E68&lt;=0.06,'Reference Curves'!$K$83*E68+'Reference Curves'!$K$84, IF(E68&lt;0.83, 'Reference Curves'!$L$83*E68+'Reference Curves'!$L$84, 'Reference Curves'!$M$83*E68+'Reference Curves'!$M$84))),2),
IF(F43="Interior Highlands",ROUND(IF(E68&gt;=1.67,1,IF(E68&lt;=0.94,'Reference Curves'!$N$83*E68+'Reference Curves'!$N$84, IF(E68&lt;1.21, 'Reference Curves'!$O$83*E68+'Reference Curves'!$O$84, 'Reference Curves'!$P$83*E68+'Reference Curves'!$P$84))),2),
IF(OR(F43="Interior Bottomlands",F43="Yukon Flats"),ROUND(IF(E68&gt;=1.82,1,IF(E68&lt;=1.19,'Reference Curves'!$K$89*E68+'Reference Curves'!$K$90, IF(E68&lt;1.37, 'Reference Curves'!$L$89*E68+'Reference Curves'!$L$90, 'Reference Curves'!$M$89*E68+'Reference Curves'!$M$90))),2),
IF(F43="Interior Forested Lowlands/Uplands",ROUND(IF(E68&gt;=1.87,1,IF(E68&lt;=1.24,'Reference Curves'!$N$89*E68+'Reference Curves'!$N$90, IF(E68&lt;1.45, 'Reference Curves'!$O$89*E68+'Reference Curves'!$O$90, 'Reference Curves'!$P$89*E68+'Reference Curves'!$P$90))),2))))))</f>
        <v/>
      </c>
      <c r="G68" s="477"/>
      <c r="H68" s="477"/>
      <c r="I68" s="480"/>
      <c r="J68" s="462"/>
    </row>
    <row r="69" spans="1:11" ht="16.149999999999999" customHeight="1" x14ac:dyDescent="0.25">
      <c r="A69" s="475"/>
      <c r="B69" s="475"/>
      <c r="C69" s="16" t="s">
        <v>239</v>
      </c>
      <c r="D69" s="57"/>
      <c r="E69" s="65"/>
      <c r="F69" s="266" t="str">
        <f>IF(E69="","",IF(E69&lt;83.5,0,IF(E69&gt;=100,1,ROUND(E69*'Reference Curves'!$K$94+'Reference Curves'!$K$95,2))))</f>
        <v/>
      </c>
      <c r="G69" s="478"/>
      <c r="H69" s="478"/>
      <c r="I69" s="481"/>
      <c r="J69" s="462"/>
    </row>
    <row r="70" spans="1:11" ht="16.149999999999999" customHeight="1" x14ac:dyDescent="0.25">
      <c r="A70" s="485" t="s">
        <v>41</v>
      </c>
      <c r="B70" s="223" t="s">
        <v>115</v>
      </c>
      <c r="C70" s="224" t="s">
        <v>340</v>
      </c>
      <c r="D70" s="225"/>
      <c r="E70" s="28"/>
      <c r="F70" s="232" t="str">
        <f>IF(E70="","", IF(E70&lt;=1.1,1, IF(E70 &gt;1.315,0, ROUND(E70*'Reference Curves'!R$3+'Reference Curves'!R$4,2))))</f>
        <v/>
      </c>
      <c r="G70" s="267" t="str">
        <f>IFERROR(AVERAGE(F70:F70),"")</f>
        <v/>
      </c>
      <c r="H70" s="488" t="str">
        <f>IFERROR(AVERAGE(G70:G72),"")</f>
        <v/>
      </c>
      <c r="I70" s="436" t="str">
        <f>IF(H70="","",IF(H70&gt;0.69,"Functioning",IF(H70&gt;0.29,"Functioning At Risk",IF(H70&gt;-1,"Not Functioning"))))</f>
        <v/>
      </c>
      <c r="J70" s="462"/>
    </row>
    <row r="71" spans="1:11" ht="16.149999999999999" customHeight="1" x14ac:dyDescent="0.35">
      <c r="A71" s="486"/>
      <c r="B71" s="223" t="s">
        <v>240</v>
      </c>
      <c r="C71" s="224" t="s">
        <v>341</v>
      </c>
      <c r="D71" s="225"/>
      <c r="E71" s="46"/>
      <c r="F71" s="240" t="str">
        <f>IF(E71="","",ROUND( IF(E71&lt;=3,1, IF(E71&gt;=100,0,IF(E71&gt;10, E71*'Reference Curves'!$R$9+'Reference Curves'!$R$10,E71*'Reference Curves'!$S$9+'Reference Curves'!$S$10))),2))</f>
        <v/>
      </c>
      <c r="G71" s="232" t="str">
        <f>IFERROR(AVERAGE(F71),"")</f>
        <v/>
      </c>
      <c r="H71" s="489"/>
      <c r="I71" s="436"/>
      <c r="J71" s="462"/>
      <c r="K71" s="24"/>
    </row>
    <row r="72" spans="1:11" ht="16.149999999999999" customHeight="1" x14ac:dyDescent="0.25">
      <c r="A72" s="487"/>
      <c r="B72" s="223" t="s">
        <v>241</v>
      </c>
      <c r="C72" s="226" t="s">
        <v>355</v>
      </c>
      <c r="D72" s="227"/>
      <c r="E72" s="46"/>
      <c r="F72" s="232" t="str">
        <f>IF(E72="","", IF(E72&gt;=75,1, IF(E72 &lt;19,0, ROUND(E72*'Reference Curves'!R$14+'Reference Curves'!R$15,2))))</f>
        <v/>
      </c>
      <c r="G72" s="232" t="str">
        <f>IFERROR(AVERAGE(F72),"")</f>
        <v/>
      </c>
      <c r="H72" s="490"/>
      <c r="I72" s="436"/>
      <c r="J72" s="462"/>
      <c r="K72" s="37"/>
    </row>
    <row r="73" spans="1:11" ht="18" customHeight="1" x14ac:dyDescent="0.25">
      <c r="A73" s="437" t="s">
        <v>42</v>
      </c>
      <c r="B73" s="228" t="s">
        <v>80</v>
      </c>
      <c r="C73" s="229" t="s">
        <v>366</v>
      </c>
      <c r="D73" s="26"/>
      <c r="E73" s="28"/>
      <c r="F73" s="128" t="str">
        <f>IF(E73="","",ROUND( IF(E73&gt;=81,0, IF(E73&lt;=36,1,IF(E73&gt;62, E73*'Reference Curves'!$V$4+'Reference Curves'!$V$5,IF(E73&gt;43, E73*'Reference Curves'!$W$4+'Reference Curves'!$W$5,E73*'Reference Curves'!$X$4+'Reference Curves'!$X$5)))),2))</f>
        <v/>
      </c>
      <c r="G73" s="104" t="str">
        <f>IFERROR(AVERAGE(F73),"")</f>
        <v/>
      </c>
      <c r="H73" s="440" t="str">
        <f>IFERROR(ROUND(AVERAGE(G73:G76),2),"")</f>
        <v/>
      </c>
      <c r="I73" s="436" t="str">
        <f>IF(H73="","",IF(H73&gt;0.69,"Functioning",IF(H73&gt;0.29,"Functioning At Risk",IF(H73&gt;-1,"Not Functioning"))))</f>
        <v/>
      </c>
      <c r="J73" s="462"/>
      <c r="K73" s="37"/>
    </row>
    <row r="74" spans="1:11" ht="19.899999999999999" customHeight="1" x14ac:dyDescent="0.25">
      <c r="A74" s="438"/>
      <c r="B74" s="437" t="s">
        <v>45</v>
      </c>
      <c r="C74" s="229" t="s">
        <v>242</v>
      </c>
      <c r="D74" s="26"/>
      <c r="E74" s="35"/>
      <c r="F74" s="104" t="str">
        <f>IF(E74="","",IF(F44="Anadromous", IF(E74&lt;=0,0,IF(E74&gt;=100,1,ROUND(IF(E74&lt;80,E74*'Reference Curves'!$V$11+'Reference Curves'!$V$12,E74*'Reference Curves'!$W$11+'Reference Curves'!$W$12),2))),
IF(F44="Non-anadromous", IF(E74&lt;=0,0,IF(E74&gt;=100,1,ROUND(IF(E74&lt;60,E74*'Reference Curves'!$X$11+'Reference Curves'!$X$12,E74*'Reference Curves'!$Y$11+'Reference Curves'!$Y$12),2))))))</f>
        <v/>
      </c>
      <c r="G74" s="441" t="str">
        <f>IFERROR(AVERAGE(F74:F76),"")</f>
        <v/>
      </c>
      <c r="H74" s="440"/>
      <c r="I74" s="436"/>
      <c r="J74" s="462"/>
      <c r="K74" s="9"/>
    </row>
    <row r="75" spans="1:11" ht="19.899999999999999" customHeight="1" x14ac:dyDescent="0.25">
      <c r="A75" s="438"/>
      <c r="B75" s="438"/>
      <c r="C75" s="294" t="s">
        <v>322</v>
      </c>
      <c r="D75" s="295"/>
      <c r="E75" s="34"/>
      <c r="F75" s="104" t="str">
        <f>IF(E75="","", IF(E75&lt;=0,0,IF(E75&gt;=0.9,1,ROUND(E75*'Reference Curves'!$V$16+'Reference Curves'!$V$17,2))))</f>
        <v/>
      </c>
      <c r="G75" s="491"/>
      <c r="H75" s="440"/>
      <c r="I75" s="436"/>
      <c r="J75" s="462"/>
      <c r="K75" s="9"/>
    </row>
    <row r="76" spans="1:11" ht="15.75" x14ac:dyDescent="0.25">
      <c r="A76" s="439"/>
      <c r="B76" s="439"/>
      <c r="C76" s="101" t="s">
        <v>243</v>
      </c>
      <c r="D76" s="103"/>
      <c r="E76" s="36"/>
      <c r="F76" s="128" t="str">
        <f>IF(E76="","", IF(E76&lt;=0,0,IF(E76&gt;=0.9,1,ROUND(E76*'Reference Curves'!$V$16+'Reference Curves'!$V$17,2))))</f>
        <v/>
      </c>
      <c r="G76" s="443"/>
      <c r="H76" s="440"/>
      <c r="I76" s="436"/>
      <c r="J76" s="463"/>
      <c r="K76" s="9"/>
    </row>
    <row r="77" spans="1:11" x14ac:dyDescent="0.25">
      <c r="J77" s="3"/>
      <c r="K77" s="9"/>
    </row>
    <row r="78" spans="1:11" x14ac:dyDescent="0.25">
      <c r="K78" s="9"/>
    </row>
    <row r="79" spans="1:11" ht="21" x14ac:dyDescent="0.25">
      <c r="A79" s="495" t="s">
        <v>167</v>
      </c>
      <c r="B79" s="496"/>
      <c r="C79" s="496"/>
      <c r="D79" s="496"/>
      <c r="E79" s="496"/>
      <c r="F79" s="496"/>
      <c r="G79" s="496"/>
      <c r="H79" s="496"/>
      <c r="I79" s="496"/>
      <c r="J79" s="497"/>
      <c r="K79" s="9"/>
    </row>
    <row r="80" spans="1:11" ht="15.75" x14ac:dyDescent="0.25">
      <c r="A80" s="115" t="s">
        <v>59</v>
      </c>
      <c r="B80" s="130" t="str">
        <f>IF('Project Assessment'!A12="","",'Project Assessment'!A12)</f>
        <v/>
      </c>
      <c r="C80" s="115" t="s">
        <v>168</v>
      </c>
      <c r="D80" s="130" t="str">
        <f>IF('Existing Conditions'!D80="","",'Existing Conditions'!D80)</f>
        <v/>
      </c>
      <c r="E80" s="250" t="s">
        <v>73</v>
      </c>
      <c r="F80" s="505" t="str">
        <f>IF('Existing Conditions'!F80="","",'Existing Conditions'!F80)</f>
        <v/>
      </c>
      <c r="G80" s="506" t="str">
        <f>IF('Existing Conditions'!G80="","",'Existing Conditions'!G80)</f>
        <v/>
      </c>
      <c r="H80" s="493" t="s">
        <v>102</v>
      </c>
      <c r="I80" s="494"/>
      <c r="J80" s="130">
        <f>'Existing Conditions'!J80</f>
        <v>0</v>
      </c>
      <c r="K80" s="9"/>
    </row>
    <row r="81" spans="1:14" ht="15.75" x14ac:dyDescent="0.25">
      <c r="A81" s="134" t="s">
        <v>212</v>
      </c>
      <c r="B81" s="130" t="str">
        <f>IF('Project Assessment'!B12="","",'Project Assessment'!B12)</f>
        <v/>
      </c>
      <c r="C81" s="250" t="s">
        <v>359</v>
      </c>
      <c r="D81" s="130" t="str">
        <f>IF('Existing Conditions'!D81="","",'Existing Conditions'!D81)</f>
        <v/>
      </c>
      <c r="E81" s="250" t="s">
        <v>156</v>
      </c>
      <c r="F81" s="505" t="str">
        <f>IF('Existing Conditions'!F81="","",'Existing Conditions'!F81)</f>
        <v/>
      </c>
      <c r="G81" s="506" t="str">
        <f>IF('Existing Conditions'!G81="","",'Existing Conditions'!G81)</f>
        <v/>
      </c>
      <c r="H81" s="493" t="s">
        <v>103</v>
      </c>
      <c r="I81" s="494"/>
      <c r="J81" s="130">
        <f>'Existing Conditions'!J81</f>
        <v>0</v>
      </c>
      <c r="K81" s="9"/>
      <c r="N81" s="8"/>
    </row>
    <row r="82" spans="1:14" ht="15.75" x14ac:dyDescent="0.25">
      <c r="A82" s="119" t="s">
        <v>157</v>
      </c>
      <c r="B82" s="130" t="str">
        <f>IF('Project Assessment'!C12="","",'Project Assessment'!C12)</f>
        <v/>
      </c>
      <c r="C82" s="239" t="s">
        <v>360</v>
      </c>
      <c r="D82" s="130" t="str">
        <f>IF('Existing Conditions'!D82="","",'Existing Conditions'!D82)</f>
        <v/>
      </c>
      <c r="E82" s="250" t="s">
        <v>220</v>
      </c>
      <c r="F82" s="505" t="str">
        <f>IF('Existing Conditions'!F82="","",'Existing Conditions'!F82)</f>
        <v/>
      </c>
      <c r="G82" s="506" t="str">
        <f>IF('Existing Conditions'!G82="","",'Existing Conditions'!G82)</f>
        <v/>
      </c>
      <c r="H82" s="493" t="s">
        <v>104</v>
      </c>
      <c r="I82" s="494"/>
      <c r="J82" s="130">
        <f>'Existing Conditions'!J82</f>
        <v>0</v>
      </c>
      <c r="K82" s="9"/>
      <c r="N82" s="8"/>
    </row>
    <row r="83" spans="1:14" ht="15.75" customHeight="1" x14ac:dyDescent="0.25">
      <c r="A83" s="499"/>
      <c r="B83" s="500"/>
      <c r="C83" s="233" t="s">
        <v>155</v>
      </c>
      <c r="D83" s="130" t="str">
        <f>IF('Existing Conditions'!D83="","",'Existing Conditions'!D83)</f>
        <v/>
      </c>
      <c r="E83" s="502"/>
      <c r="F83" s="503"/>
      <c r="G83" s="504"/>
      <c r="H83" s="493" t="s">
        <v>105</v>
      </c>
      <c r="I83" s="494"/>
      <c r="J83" s="130">
        <f>'Existing Conditions'!J83</f>
        <v>0</v>
      </c>
      <c r="K83" s="9"/>
      <c r="N83" s="8"/>
    </row>
    <row r="84" spans="1:14" ht="7.5" customHeight="1" x14ac:dyDescent="0.25">
      <c r="B84" s="50"/>
      <c r="C84" s="50"/>
      <c r="D84" s="50"/>
      <c r="E84" s="50"/>
      <c r="F84" s="50"/>
      <c r="G84" s="50"/>
      <c r="H84" s="50"/>
      <c r="I84" s="48"/>
      <c r="J84" s="9"/>
      <c r="K84" s="9"/>
      <c r="N84" s="8"/>
    </row>
    <row r="85" spans="1:14" ht="21" x14ac:dyDescent="0.35">
      <c r="A85" s="492" t="str">
        <f>_xlfn.CONCAT("PROPOSED CONDITION ASSESSMENT for Reach ",B80)</f>
        <v xml:space="preserve">PROPOSED CONDITION ASSESSMENT for Reach </v>
      </c>
      <c r="B85" s="492"/>
      <c r="C85" s="492"/>
      <c r="D85" s="492"/>
      <c r="E85" s="492"/>
      <c r="F85" s="492"/>
      <c r="G85" s="492" t="s">
        <v>10</v>
      </c>
      <c r="H85" s="492"/>
      <c r="I85" s="492"/>
      <c r="J85" s="492"/>
      <c r="K85" s="9"/>
      <c r="N85" s="8"/>
    </row>
    <row r="86" spans="1:14" ht="15.75" x14ac:dyDescent="0.25">
      <c r="A86" s="30" t="s">
        <v>1</v>
      </c>
      <c r="B86" s="30" t="s">
        <v>2</v>
      </c>
      <c r="C86" s="448" t="s">
        <v>316</v>
      </c>
      <c r="D86" s="449"/>
      <c r="E86" s="30" t="s">
        <v>8</v>
      </c>
      <c r="F86" s="29" t="s">
        <v>9</v>
      </c>
      <c r="G86" s="30" t="s">
        <v>11</v>
      </c>
      <c r="H86" s="30" t="s">
        <v>12</v>
      </c>
      <c r="I86" s="49" t="s">
        <v>12</v>
      </c>
      <c r="J86" s="271" t="s">
        <v>130</v>
      </c>
      <c r="K86" s="9"/>
      <c r="N86" s="8"/>
    </row>
    <row r="87" spans="1:14" ht="15.75" x14ac:dyDescent="0.25">
      <c r="A87" s="450" t="s">
        <v>223</v>
      </c>
      <c r="B87" s="453" t="s">
        <v>224</v>
      </c>
      <c r="C87" s="212" t="s">
        <v>114</v>
      </c>
      <c r="D87" s="215"/>
      <c r="E87" s="35"/>
      <c r="F87" s="218" t="str">
        <f>IF(E87="","",IF(E87&gt;=86,0,IF(E87&lt;=9,1,ROUND(IF(E87&gt;22,E87*'Reference Curves'!B$4+'Reference Curves'!B$5, IF(E87&gt;16, E87*'Reference Curves'!C$4+'Reference Curves'!C$5,E87*'Reference Curves'!$D$4+'Reference Curves'!$D$5)),2))))</f>
        <v/>
      </c>
      <c r="G87" s="456" t="str">
        <f>IFERROR(AVERAGE(F87:F89),"")</f>
        <v/>
      </c>
      <c r="H87" s="458" t="str">
        <f>IFERROR(ROUND(AVERAGE(G87:G93),2),"")</f>
        <v/>
      </c>
      <c r="I87" s="445" t="str">
        <f>IF(H87="","",IF(H87&gt;0.69,"Functioning",IF(H87&gt;0.29,"Functioning At Risk",IF(H87&gt;-1,"Not Functioning"))))</f>
        <v/>
      </c>
      <c r="J87" s="461" t="str">
        <f>IF(AND(H87="",H94="",H97="",H108="",H111=""),"",ROUND((IF(H87="",0,H87)*0.2)+(IF(H94="",0,H94)*0.2)+(IF(H97="",0,H97)*0.2)+(IF(H108="",0,H108)*0.2)+(IF(H111="",0,H111)*0.2),2))</f>
        <v/>
      </c>
      <c r="K87" s="9"/>
      <c r="N87" s="8"/>
    </row>
    <row r="88" spans="1:14" ht="15.75" x14ac:dyDescent="0.25">
      <c r="A88" s="451"/>
      <c r="B88" s="454"/>
      <c r="C88" s="213" t="s">
        <v>221</v>
      </c>
      <c r="D88" s="216"/>
      <c r="E88" s="34"/>
      <c r="F88" s="235" t="str">
        <f>IF(E88="","",IF(E88&gt;=33.5,0,IF(E88=0,1,ROUND(E88*'Reference Curves'!B$9+'Reference Curves'!B$10,2))))</f>
        <v/>
      </c>
      <c r="G88" s="457"/>
      <c r="H88" s="459"/>
      <c r="I88" s="446"/>
      <c r="J88" s="462"/>
      <c r="K88" s="9"/>
      <c r="N88" s="8"/>
    </row>
    <row r="89" spans="1:14" ht="15.75" x14ac:dyDescent="0.25">
      <c r="A89" s="451"/>
      <c r="B89" s="455"/>
      <c r="C89" s="214" t="s">
        <v>222</v>
      </c>
      <c r="D89" s="216"/>
      <c r="E89" s="36"/>
      <c r="F89" s="235" t="str">
        <f>IF(E89="","",IF(E89&gt;=61,0,IF(E89=0,1, ROUND(IF(E89&gt;35,E89*'Reference Curves'!B$15+'Reference Curves'!B$16,  E89*'Reference Curves'!C$15+'Reference Curves'!C$16),2))))</f>
        <v/>
      </c>
      <c r="G89" s="457"/>
      <c r="H89" s="459"/>
      <c r="I89" s="446"/>
      <c r="J89" s="462"/>
      <c r="K89" s="9"/>
      <c r="N89" s="8"/>
    </row>
    <row r="90" spans="1:14" ht="15.75" x14ac:dyDescent="0.25">
      <c r="A90" s="451"/>
      <c r="B90" s="464" t="s">
        <v>63</v>
      </c>
      <c r="C90" s="212" t="s">
        <v>114</v>
      </c>
      <c r="D90" s="215"/>
      <c r="E90" s="34"/>
      <c r="F90" s="218" t="str">
        <f>IF(E90="","",IF(E90&gt;=86,0,IF(E90&lt;=9,1,ROUND(IF(E90&gt;22,E90*'Reference Curves'!B$4+'Reference Curves'!B$5, IF(E90&gt;16, E90*'Reference Curves'!C$4+'Reference Curves'!C$5,E90*'Reference Curves'!$D$4+'Reference Curves'!$D$5)),2))))</f>
        <v/>
      </c>
      <c r="G90" s="456" t="str">
        <f>IFERROR(AVERAGE(F90:F93),"")</f>
        <v/>
      </c>
      <c r="H90" s="459"/>
      <c r="I90" s="446"/>
      <c r="J90" s="462"/>
      <c r="K90" s="9"/>
      <c r="N90" s="8"/>
    </row>
    <row r="91" spans="1:14" ht="15.75" x14ac:dyDescent="0.25">
      <c r="A91" s="451"/>
      <c r="B91" s="464"/>
      <c r="C91" s="213" t="s">
        <v>221</v>
      </c>
      <c r="D91" s="216"/>
      <c r="E91" s="34"/>
      <c r="F91" s="235" t="str">
        <f>IF(E91="","",IF(E91&gt;=33.5,0,IF(E91=0,1,ROUND(E91*'Reference Curves'!B$9+'Reference Curves'!B$10,2))))</f>
        <v/>
      </c>
      <c r="G91" s="457"/>
      <c r="H91" s="459"/>
      <c r="I91" s="446"/>
      <c r="J91" s="462"/>
      <c r="K91" s="9"/>
      <c r="N91" s="8"/>
    </row>
    <row r="92" spans="1:14" ht="15.75" customHeight="1" x14ac:dyDescent="0.25">
      <c r="A92" s="451"/>
      <c r="B92" s="464"/>
      <c r="C92" s="213" t="s">
        <v>222</v>
      </c>
      <c r="D92" s="216"/>
      <c r="E92" s="34"/>
      <c r="F92" s="235" t="str">
        <f>IF(E92="","",IF(E92&gt;=61,0,IF(E92=0,1, ROUND(IF(E92&gt;35,E92*'Reference Curves'!B$15+'Reference Curves'!B$16,  E92*'Reference Curves'!C$15+'Reference Curves'!C$16),2))))</f>
        <v/>
      </c>
      <c r="G92" s="457"/>
      <c r="H92" s="459"/>
      <c r="I92" s="446"/>
      <c r="J92" s="462"/>
      <c r="K92" s="9"/>
      <c r="N92" s="8"/>
    </row>
    <row r="93" spans="1:14" ht="15.75" x14ac:dyDescent="0.25">
      <c r="A93" s="452"/>
      <c r="B93" s="465"/>
      <c r="C93" s="214" t="s">
        <v>225</v>
      </c>
      <c r="D93" s="217"/>
      <c r="E93" s="34"/>
      <c r="F93" s="236" t="str">
        <f>IF(E93="","",   IF(E93&gt;3.35,0, IF(E93&lt;0, "", ROUND('Reference Curves'!$B$20*E93+'Reference Curves'!$B$21,2))))</f>
        <v/>
      </c>
      <c r="G93" s="457"/>
      <c r="H93" s="460"/>
      <c r="I93" s="447"/>
      <c r="J93" s="462"/>
      <c r="K93" s="9"/>
      <c r="N93" s="8"/>
    </row>
    <row r="94" spans="1:14" ht="15.75" x14ac:dyDescent="0.25">
      <c r="A94" s="466" t="s">
        <v>226</v>
      </c>
      <c r="B94" s="469" t="s">
        <v>3</v>
      </c>
      <c r="C94" s="95" t="s">
        <v>227</v>
      </c>
      <c r="D94" s="13"/>
      <c r="E94" s="28"/>
      <c r="F94" s="121" t="str">
        <f>IF(E94="","", IF(E94&gt;1.71,0,IF(E94&lt;=1,1, ROUND(E94*'Reference Curves'!G$3+'Reference Curves'!G$4,2))))</f>
        <v/>
      </c>
      <c r="G94" s="471" t="str">
        <f>IFERROR(AVERAGE(F94:F95),"")</f>
        <v/>
      </c>
      <c r="H94" s="471" t="str">
        <f>IFERROR(ROUND(AVERAGE(G94:G96),2),"")</f>
        <v/>
      </c>
      <c r="I94" s="445" t="str">
        <f>IF(H94="","",IF(H94&gt;0.69,"Functioning",IF(H94&gt;0.29,"Functioning At Risk",IF(H94&gt;-1,"Not Functioning"))))</f>
        <v/>
      </c>
      <c r="J94" s="462"/>
      <c r="K94" s="9"/>
      <c r="N94" s="8"/>
    </row>
    <row r="95" spans="1:14" ht="15.75" x14ac:dyDescent="0.25">
      <c r="A95" s="467"/>
      <c r="B95" s="470"/>
      <c r="C95" s="97" t="s">
        <v>228</v>
      </c>
      <c r="D95" s="102"/>
      <c r="E95" s="33"/>
      <c r="F95" s="237" t="str">
        <f>IF(E95="","",IF(LEFT(D80,1)="B",IF(E95&lt;=1,0,IF(E95&gt;=2.2,1,ROUND(IF(E95&lt;1.4,E95*'Reference Curves'!$G$19+'Reference Curves'!$G$20,E95*'Reference Curves'!$H$19+'Reference Curves'!$H$20),2))),
IF(LEFT(D80,1)="C",IF(E95&lt;1.7,0,IF(E95&gt;=4.4,1,ROUND(IF(E95&gt;2.4,E95*'Reference Curves'!$H$9+'Reference Curves'!$H$10,E95*'Reference Curves'!$G$9+'Reference Curves'!$G$10),2))),
IF(LEFT(D80,1)="E",IF(E95&lt;1.7,0,IF(E95&gt;=6.5,1,ROUND(IF(E95&gt;2.4,E95*'Reference Curves'!$H$14+'Reference Curves'!$H$15,E95*'Reference Curves'!$G$14+'Reference Curves'!$G$15),2)))))))</f>
        <v/>
      </c>
      <c r="G95" s="472"/>
      <c r="H95" s="473"/>
      <c r="I95" s="446"/>
      <c r="J95" s="462"/>
      <c r="K95" s="9"/>
      <c r="N95" s="8"/>
    </row>
    <row r="96" spans="1:14" ht="15.75" x14ac:dyDescent="0.25">
      <c r="A96" s="468"/>
      <c r="B96" s="219" t="s">
        <v>229</v>
      </c>
      <c r="C96" s="96" t="s">
        <v>230</v>
      </c>
      <c r="D96" s="13"/>
      <c r="E96" s="32"/>
      <c r="F96" s="122" t="str">
        <f>IF(E96="","",IF(E96&gt;=180,0, IF(E96=100,1, ROUND(IF(E96&gt;100,E96*'Reference Curves'!$H$25+'Reference Curves'!$H$26, IF(E94&gt;1.2,IF(E96 &lt;=20,0, E96*'Reference Curves'!$G$25+'Reference Curves'!$G$26),1)),2))))</f>
        <v/>
      </c>
      <c r="G96" s="269" t="str">
        <f>IFERROR(AVERAGE(F96),"")</f>
        <v/>
      </c>
      <c r="H96" s="472"/>
      <c r="I96" s="447"/>
      <c r="J96" s="462"/>
      <c r="K96" s="9"/>
      <c r="N96" s="8"/>
    </row>
    <row r="97" spans="1:14" ht="15.75" x14ac:dyDescent="0.25">
      <c r="A97" s="474" t="s">
        <v>16</v>
      </c>
      <c r="B97" s="270" t="s">
        <v>231</v>
      </c>
      <c r="C97" s="220" t="s">
        <v>232</v>
      </c>
      <c r="D97" s="221"/>
      <c r="E97" s="46"/>
      <c r="F97" s="238" t="str">
        <f>IF(E97="","",IF(F81="Alaska Range",ROUND(IF(E97&lt;=0.05,0, IF(E97&gt;=6.3,1,IF(E97&lt;=1.5,'Reference Curves'!$K$5*E97+'Reference Curves'!$K$6, 'Reference Curves'!$L$5*E97+'Reference Curves'!$L$6))),2),
IF(F81="Brooks Range",ROUND(IF(E97&gt;=4.2,1,IF(E97&lt;0.03,0, IF(E97&lt;=1.2,'Reference Curves'!$M$5*E97+'Reference Curves'!$M$6, 'Reference Curves'!$N$5*E97+'Reference Curves'!$N$6))),2),
IF(OR(F81="Interior Bottomlands", F81="Yukon Flats"),ROUND(IF(E97&gt;=54.5,1,IF(E97&lt;=3.7,'Reference Curves'!$K$11*E97+'Reference Curves'!$K$12, IF(E97&lt;4.7,  'Reference Curves'!$L$11*E97+'Reference Curves'!$L$12,  'Reference Curves'!$M$11*E97+'Reference Curves'!$M$12))),2),
IF(OR(F81="Interior Forested Lowlands/Uplands",F81="Interior Highlands"),ROUND(IF(E97=0,0,IF(E97&gt;=24.1,1,IF(E97&lt;=1.3,'Reference Curves'!$N$11*E97+'Reference Curves'!$N$12, 'Reference Curves'!$O$11*E97+'Reference Curves'!$O$12))),2))))))</f>
        <v/>
      </c>
      <c r="G97" s="265" t="str">
        <f>IFERROR(AVERAGE(F97:F97),"")</f>
        <v/>
      </c>
      <c r="H97" s="476" t="str">
        <f>IFERROR(ROUND(AVERAGE(G97:G107),2),"")</f>
        <v/>
      </c>
      <c r="I97" s="479" t="str">
        <f>IF(H97="","",IF(H97&gt;0.69,"Functioning",IF(H97&gt;0.29,"Functioning At Risk",IF(H97&gt;-1,"Not Functioning"))))</f>
        <v/>
      </c>
      <c r="J97" s="462"/>
      <c r="K97" s="9"/>
      <c r="N97" s="8"/>
    </row>
    <row r="98" spans="1:14" ht="15.6" customHeight="1" x14ac:dyDescent="0.25">
      <c r="A98" s="475"/>
      <c r="B98" s="475" t="s">
        <v>99</v>
      </c>
      <c r="C98" s="16" t="s">
        <v>37</v>
      </c>
      <c r="D98" s="100"/>
      <c r="E98" s="234"/>
      <c r="F98" s="123" t="str">
        <f>IF(E98="","",IF(OR(E98="Ex/Ex",E98="Ex/VH",E98="Ex/H",E98="Ex/M",E98="VH/Ex",E98="VH/VH", E98="H/Ex",E98="H/VH"),0,
IF(OR(E98="M/Ex"),0.1,
IF(OR(E98="VH/H",E98="VH/M",E98="H/H",E98="H/M", E98="M/VH"),0.2,
IF(OR(E98="Ex/VL",E98="Ex/L", E98="M/H"),0.3,
IF(OR(E98="VH/L",E98="H/L"),0.4,
IF(OR(E98="VH/VL",E98="H/VL",E98="M/M"),0.5,
IF(OR(E98="M/L",E98="L/Ex"),0.6,
IF(OR(E98="M/VL",E98="L/VH", E98="L/H",E98="L/M",E98="L/L",E98="L/VL", LEFT(E98,2)="VL"),1)))))))))</f>
        <v/>
      </c>
      <c r="G98" s="476" t="str">
        <f>IFERROR(IF(E100&gt;=50,0,AVERAGE(F98:F100)),"")</f>
        <v/>
      </c>
      <c r="H98" s="477"/>
      <c r="I98" s="480"/>
      <c r="J98" s="462"/>
      <c r="K98" s="9"/>
      <c r="N98" s="8"/>
    </row>
    <row r="99" spans="1:14" ht="15.75" x14ac:dyDescent="0.25">
      <c r="A99" s="475"/>
      <c r="B99" s="475"/>
      <c r="C99" s="98" t="s">
        <v>48</v>
      </c>
      <c r="D99" s="230"/>
      <c r="E99" s="32"/>
      <c r="F99" s="123" t="str">
        <f>IF(E99="","",ROUND(IF(E99&gt;=75,0,IF(E99&lt;=5,1,IF(E99&gt;10,E99*'Reference Curves'!K$17+'Reference Curves'!K$18,'Reference Curves'!$L$17*E99+'Reference Curves'!$L$18))),2))</f>
        <v/>
      </c>
      <c r="G99" s="477"/>
      <c r="H99" s="477"/>
      <c r="I99" s="480"/>
      <c r="J99" s="462"/>
      <c r="K99" s="9"/>
      <c r="N99" s="8"/>
    </row>
    <row r="100" spans="1:14" ht="15.75" x14ac:dyDescent="0.25">
      <c r="A100" s="475"/>
      <c r="B100" s="482"/>
      <c r="C100" s="99" t="s">
        <v>233</v>
      </c>
      <c r="D100" s="231"/>
      <c r="E100" s="33"/>
      <c r="F100" s="124" t="str">
        <f>IF(E100="","",IF(E100&gt;=30,0,ROUND(E100*'Reference Curves'!$K$22+'Reference Curves'!$K$23,2)))</f>
        <v/>
      </c>
      <c r="G100" s="478"/>
      <c r="H100" s="477"/>
      <c r="I100" s="480"/>
      <c r="J100" s="462"/>
      <c r="K100" s="9"/>
      <c r="N100" s="8"/>
    </row>
    <row r="101" spans="1:14" ht="15.75" x14ac:dyDescent="0.25">
      <c r="A101" s="475"/>
      <c r="B101" s="268" t="s">
        <v>234</v>
      </c>
      <c r="C101" s="17" t="s">
        <v>235</v>
      </c>
      <c r="D101" s="100"/>
      <c r="E101" s="33"/>
      <c r="F101" s="123" t="str">
        <f>IF(E101="","",IF(OR(D82="Cobble",D82="Boulders",D82="Bedrock"),ROUND(IF(E101&lt;=0,1,IF(E101&gt;=13.7,0, IF(E101&gt;5,E101*'Reference Curves'!$M$29+'Reference Curves'!$M$30,  E101*'Reference Curves'!$N$29+'Reference Curves'!$N$30))),2),
IF(D82="Gravel",ROUND(IF(E101&lt;=3,1,IF(E101&gt;=54,0, IF(E101&gt;15,E101*'Reference Curves'!$K$29+'Reference Curves'!$K$30,  E101*'Reference Curves'!$L$29+'Reference Curves'!$L$30))),2))))</f>
        <v/>
      </c>
      <c r="G101" s="265" t="str">
        <f>IFERROR(AVERAGE(F101:F101),"")</f>
        <v/>
      </c>
      <c r="H101" s="477"/>
      <c r="I101" s="480"/>
      <c r="J101" s="462"/>
      <c r="K101" s="9"/>
      <c r="N101" s="8"/>
    </row>
    <row r="102" spans="1:14" ht="15.75" x14ac:dyDescent="0.25">
      <c r="A102" s="475"/>
      <c r="B102" s="474" t="s">
        <v>39</v>
      </c>
      <c r="C102" s="14" t="s">
        <v>236</v>
      </c>
      <c r="D102" s="18"/>
      <c r="E102" s="35"/>
      <c r="F102" s="125" t="str">
        <f>IF(E102="","",IF(D80="Bc",IF(E102&gt;=12,0,IF(E102&lt;=3.4,1,ROUND('Reference Curves'!$K$39*E102+'Reference Curves'!$K$40,2))),
IF(OR(D80="B",D80="Ba"),IF(E102&gt;=6,0,IF(E102&lt;=2,1,ROUND(IF(E102&gt;3.9,'Reference Curves'!$K$35*E102+'Reference Curves'!$K$36,'Reference Curves'!$L$35*E102+'Reference Curves'!$L$36),2))),
IF(LEFT(D80,1)="C",IF(OR(E102&gt;=9.3,E102&lt;=3),0,IF(AND(E102&gt;=4,E102&lt;=6),1,ROUND(IF(E102&lt;4,'Reference Curves'!$K$49*E102+'Reference Curves'!$K$50,'Reference Curves'!$L$49*E102+'Reference Curves'!$L$50),2))),
IF(D80="E",IF(OR(E102&gt;=8.3,E102&lt;=1.8),0,IF(AND(E102&gt;=3.5,E102&lt;=5),1,ROUND(IF(E102&lt;3.5,'Reference Curves'!$K$44*E102+'Reference Curves'!$K$45,'Reference Curves'!$L$44*E102+'Reference Curves'!$L$45),2)))      )))))</f>
        <v/>
      </c>
      <c r="G102" s="483" t="str">
        <f>IFERROR(AVERAGE(F102:F104),"")</f>
        <v/>
      </c>
      <c r="H102" s="477"/>
      <c r="I102" s="480"/>
      <c r="J102" s="462"/>
      <c r="K102" s="9"/>
      <c r="N102" s="8"/>
    </row>
    <row r="103" spans="1:14" ht="15.75" x14ac:dyDescent="0.25">
      <c r="A103" s="475"/>
      <c r="B103" s="475"/>
      <c r="C103" s="16" t="s">
        <v>237</v>
      </c>
      <c r="D103" s="100"/>
      <c r="E103" s="34"/>
      <c r="F103" s="126" t="str">
        <f>IF(E103="","",ROUND(IF(E103&lt;=1,0, IF(OR(D80="B", D80="Ba"), IF(E103&gt;=2.8,1,IF(E103&gt;=1.8,'Reference Curves'!$L$56*E103+'Reference Curves'!$L$57,'Reference Curves'!$K$56*E103+'Reference Curves'!$K$57)),IF(E103&gt;=3.2,1,IF(E103&gt;=2.2,'Reference Curves'!$N$56*E103+'Reference Curves'!$N$57,'Reference Curves'!$M$56*E103+'Reference Curves'!$M$57)))),2))</f>
        <v/>
      </c>
      <c r="G103" s="484"/>
      <c r="H103" s="477"/>
      <c r="I103" s="480"/>
      <c r="J103" s="462"/>
      <c r="K103" s="9"/>
      <c r="N103" s="8"/>
    </row>
    <row r="104" spans="1:14" ht="15.75" x14ac:dyDescent="0.25">
      <c r="A104" s="475"/>
      <c r="B104" s="475"/>
      <c r="C104" s="16" t="s">
        <v>79</v>
      </c>
      <c r="D104" s="100"/>
      <c r="E104" s="34"/>
      <c r="F104" s="266" t="str">
        <f>IF(E104="","",IF(D81&gt;=3,IF(OR(E104&lt;=0,E104&gt;=100),0,IF(AND(E104&gt;=68,E104&lt;=85),1,IF(E104&lt;68,IF(E104&lt;62,ROUND(E104*'Reference Curves'!$K$69+'Reference Curves'!$K$70,2),ROUND(E104*'Reference Curves'!$L$69+'Reference Curves'!$L$70,2)),
IF(E104&gt;87,ROUND(E104*'Reference Curves'!$M$69+'Reference Curves'!$M$70,2),ROUND(E104*'Reference Curves'!$N$69+'Reference Curves'!$N$70,2))))),
IF(D81&lt;&gt;0,IF(OR(E104&lt;=0,E104&gt;=100),0,IF(AND(E104&lt;=60,E104&gt;=50),1,IF(E104&lt;50,IF(E104&lt;39,ROUND(E104*'Reference Curves'!$K$63+'Reference Curves'!$K$64,2),ROUND(E104*'Reference Curves'!$L$63+'Reference Curves'!$L$64,2)),
IF(E104&gt;69,ROUND(E104*'Reference Curves'!$M$63+'Reference Curves'!$M$64,2),ROUND(E104*'Reference Curves'!$N$63+'Reference Curves'!$N$64,2))))))))</f>
        <v/>
      </c>
      <c r="G104" s="484"/>
      <c r="H104" s="477"/>
      <c r="I104" s="480"/>
      <c r="J104" s="462"/>
      <c r="K104" s="9"/>
      <c r="N104" s="8"/>
    </row>
    <row r="105" spans="1:14" ht="15.75" x14ac:dyDescent="0.25">
      <c r="A105" s="475"/>
      <c r="B105" s="474" t="s">
        <v>38</v>
      </c>
      <c r="C105" s="14" t="s">
        <v>238</v>
      </c>
      <c r="D105" s="41"/>
      <c r="E105" s="15"/>
      <c r="F105" s="127" t="str">
        <f>IF( E105="","",
IF( F80="Unconfined Alluvial", IF( E105&gt;=100,1,
ROUND('Reference Curves'!$K$76*E105+'Reference Curves'!$K$77,2) ),
IF( OR(F80="Confined Alluvial", F80="Colluvial/V-Shaped"), ( IF(E105&gt;=100,1,
IF(E105&gt;=60, ROUND('Reference Curves'!$M$76*E105+'Reference Curves'!$M$77,2), ROUND('Reference Curves'!$L$76*E105+'Reference Curves'!$L$77,2) ) ) ) ) ) )</f>
        <v/>
      </c>
      <c r="G105" s="476" t="str">
        <f>IFERROR(AVERAGE(F105:F107),"")</f>
        <v/>
      </c>
      <c r="H105" s="477"/>
      <c r="I105" s="480"/>
      <c r="J105" s="462"/>
      <c r="K105" s="9"/>
      <c r="N105" s="8"/>
    </row>
    <row r="106" spans="1:14" ht="15.6" customHeight="1" x14ac:dyDescent="0.25">
      <c r="A106" s="475"/>
      <c r="B106" s="475"/>
      <c r="C106" s="16" t="s">
        <v>202</v>
      </c>
      <c r="D106" s="57"/>
      <c r="E106" s="65"/>
      <c r="F106" s="126" t="str">
        <f>IF(E106="","",IF(OR(F81="Alaska Range",F81="Brooks Range"),ROUND(IF(E106&gt;=1.57,1,IF(E106&lt;=0.06,'Reference Curves'!$K$83*E106+'Reference Curves'!$K$84, IF(E106&lt;0.83, 'Reference Curves'!$L$83*E106+'Reference Curves'!$L$84, 'Reference Curves'!$M$83*E106+'Reference Curves'!$M$84))),2),
IF(F81="Interior Highlands",ROUND(IF(E106&gt;=1.67,1,IF(E106&lt;=0.94,'Reference Curves'!$N$83*E106+'Reference Curves'!$N$84, IF(E106&lt;1.21, 'Reference Curves'!$O$83*E106+'Reference Curves'!$O$84, 'Reference Curves'!$P$83*E106+'Reference Curves'!$P$84))),2),
IF(OR(F81="Interior Bottomlands",F81="Yukon Flats"),ROUND(IF(E106&gt;=1.82,1,IF(E106&lt;=1.19,'Reference Curves'!$K$89*E106+'Reference Curves'!$K$90, IF(E106&lt;1.37, 'Reference Curves'!$L$89*E106+'Reference Curves'!$L$90, 'Reference Curves'!$M$89*E106+'Reference Curves'!$M$90))),2),
IF(F81="Interior Forested Lowlands/Uplands",ROUND(IF(E106&gt;=1.87,1,IF(E106&lt;=1.24,'Reference Curves'!$N$89*E106+'Reference Curves'!$N$90, IF(E106&lt;1.45, 'Reference Curves'!$O$89*E106+'Reference Curves'!$O$90, 'Reference Curves'!$P$89*E106+'Reference Curves'!$P$90))),2))))))</f>
        <v/>
      </c>
      <c r="G106" s="477"/>
      <c r="H106" s="477"/>
      <c r="I106" s="480"/>
      <c r="J106" s="462"/>
      <c r="K106" s="9"/>
      <c r="N106" s="8"/>
    </row>
    <row r="107" spans="1:14" ht="15.75" x14ac:dyDescent="0.25">
      <c r="A107" s="475"/>
      <c r="B107" s="475"/>
      <c r="C107" s="16" t="s">
        <v>239</v>
      </c>
      <c r="D107" s="57"/>
      <c r="E107" s="65"/>
      <c r="F107" s="266" t="str">
        <f>IF(E107="","",IF(E107&lt;83.5,0,IF(E107&gt;=100,1,ROUND(E107*'Reference Curves'!$K$94+'Reference Curves'!$K$95,2))))</f>
        <v/>
      </c>
      <c r="G107" s="478"/>
      <c r="H107" s="478"/>
      <c r="I107" s="481"/>
      <c r="J107" s="462"/>
      <c r="K107" s="9"/>
      <c r="N107" s="8"/>
    </row>
    <row r="108" spans="1:14" ht="15.75" x14ac:dyDescent="0.25">
      <c r="A108" s="485" t="s">
        <v>41</v>
      </c>
      <c r="B108" s="223" t="s">
        <v>115</v>
      </c>
      <c r="C108" s="224" t="s">
        <v>340</v>
      </c>
      <c r="D108" s="225"/>
      <c r="E108" s="28"/>
      <c r="F108" s="232" t="str">
        <f>IF(E108="","", IF(E108&lt;=1.1,1, IF(E108 &gt;1.315,0, ROUND(E108*'Reference Curves'!R$3+'Reference Curves'!R$4,2))))</f>
        <v/>
      </c>
      <c r="G108" s="267" t="str">
        <f>IFERROR(AVERAGE(F108:F108),"")</f>
        <v/>
      </c>
      <c r="H108" s="488" t="str">
        <f>IFERROR(AVERAGE(G108:G110),"")</f>
        <v/>
      </c>
      <c r="I108" s="436" t="str">
        <f>IF(H108="","",IF(H108&gt;0.69,"Functioning",IF(H108&gt;0.29,"Functioning At Risk",IF(H108&gt;-1,"Not Functioning"))))</f>
        <v/>
      </c>
      <c r="J108" s="462"/>
      <c r="K108" s="9"/>
      <c r="N108" s="8"/>
    </row>
    <row r="109" spans="1:14" ht="15.75" x14ac:dyDescent="0.25">
      <c r="A109" s="486"/>
      <c r="B109" s="223" t="s">
        <v>240</v>
      </c>
      <c r="C109" s="224" t="s">
        <v>341</v>
      </c>
      <c r="D109" s="225"/>
      <c r="E109" s="46"/>
      <c r="F109" s="240" t="str">
        <f>IF(E109="","",ROUND( IF(E109&lt;=3,1, IF(E109&gt;=100,0,IF(E109&gt;10, E109*'Reference Curves'!$R$9+'Reference Curves'!$R$10,E109*'Reference Curves'!$S$9+'Reference Curves'!$S$10))),2))</f>
        <v/>
      </c>
      <c r="G109" s="232" t="str">
        <f>IFERROR(AVERAGE(F109),"")</f>
        <v/>
      </c>
      <c r="H109" s="489"/>
      <c r="I109" s="436"/>
      <c r="J109" s="462"/>
      <c r="K109" s="9"/>
      <c r="N109" s="8"/>
    </row>
    <row r="110" spans="1:14" ht="15.75" x14ac:dyDescent="0.25">
      <c r="A110" s="487"/>
      <c r="B110" s="223" t="s">
        <v>241</v>
      </c>
      <c r="C110" s="226" t="s">
        <v>355</v>
      </c>
      <c r="D110" s="227"/>
      <c r="E110" s="46"/>
      <c r="F110" s="232" t="str">
        <f>IF(E110="","", IF(E110&gt;=75,1, IF(E110 &lt;19,0, ROUND(E110*'Reference Curves'!R$14+'Reference Curves'!R$15,2))))</f>
        <v/>
      </c>
      <c r="G110" s="232" t="str">
        <f>IFERROR(AVERAGE(F110),"")</f>
        <v/>
      </c>
      <c r="H110" s="490"/>
      <c r="I110" s="436"/>
      <c r="J110" s="462"/>
      <c r="K110" s="9"/>
      <c r="N110" s="8"/>
    </row>
    <row r="111" spans="1:14" ht="15.75" x14ac:dyDescent="0.25">
      <c r="A111" s="437" t="s">
        <v>42</v>
      </c>
      <c r="B111" s="228" t="s">
        <v>80</v>
      </c>
      <c r="C111" s="229" t="s">
        <v>366</v>
      </c>
      <c r="D111" s="26"/>
      <c r="E111" s="28"/>
      <c r="F111" s="128" t="str">
        <f>IF(E111="","",ROUND( IF(E111&gt;=81,0, IF(E111&lt;=36,1,IF(E111&gt;62, E111*'Reference Curves'!$V$4+'Reference Curves'!$V$5,IF(E111&gt;43, E111*'Reference Curves'!$W$4+'Reference Curves'!$W$5,E111*'Reference Curves'!$X$4+'Reference Curves'!$X$5)))),2))</f>
        <v/>
      </c>
      <c r="G111" s="104" t="str">
        <f>IFERROR(AVERAGE(F111),"")</f>
        <v/>
      </c>
      <c r="H111" s="440" t="str">
        <f>IFERROR(ROUND(AVERAGE(G111:G114),2),"")</f>
        <v/>
      </c>
      <c r="I111" s="436" t="str">
        <f>IF(H111="","",IF(H111&gt;0.69,"Functioning",IF(H111&gt;0.29,"Functioning At Risk",IF(H111&gt;-1,"Not Functioning"))))</f>
        <v/>
      </c>
      <c r="J111" s="462"/>
      <c r="K111" s="9"/>
      <c r="N111" s="8"/>
    </row>
    <row r="112" spans="1:14" ht="15.75" x14ac:dyDescent="0.25">
      <c r="A112" s="438"/>
      <c r="B112" s="437" t="s">
        <v>45</v>
      </c>
      <c r="C112" s="229" t="s">
        <v>242</v>
      </c>
      <c r="D112" s="26"/>
      <c r="E112" s="35"/>
      <c r="F112" s="104" t="str">
        <f>IF(E112="","",IF(F82="Anadromous", IF(E112&lt;=0,0,IF(E112&gt;=100,1,ROUND(IF(E112&lt;80,E112*'Reference Curves'!$V$11+'Reference Curves'!$V$12,E112*'Reference Curves'!$W$11+'Reference Curves'!$W$12),2))),
IF(F82="Non-anadromous", IF(E112&lt;=0,0,IF(E112&gt;=100,1,ROUND(IF(E112&lt;60,E112*'Reference Curves'!$X$11+'Reference Curves'!$X$12,E112*'Reference Curves'!$Y$11+'Reference Curves'!$Y$12),2))))))</f>
        <v/>
      </c>
      <c r="G112" s="441" t="str">
        <f>IFERROR(AVERAGE(F112:F114),"")</f>
        <v/>
      </c>
      <c r="H112" s="440"/>
      <c r="I112" s="436"/>
      <c r="J112" s="462"/>
      <c r="K112" s="9"/>
      <c r="N112" s="8"/>
    </row>
    <row r="113" spans="1:14" ht="15.75" x14ac:dyDescent="0.25">
      <c r="A113" s="438"/>
      <c r="B113" s="438"/>
      <c r="C113" s="294" t="s">
        <v>322</v>
      </c>
      <c r="D113" s="295"/>
      <c r="E113" s="34"/>
      <c r="F113" s="104" t="str">
        <f>IF(E113="","", IF(E113&lt;=0,0,IF(E113&gt;=0.9,1,ROUND(E113*'Reference Curves'!$V$16+'Reference Curves'!$V$17,2))))</f>
        <v/>
      </c>
      <c r="G113" s="491"/>
      <c r="H113" s="440"/>
      <c r="I113" s="436"/>
      <c r="J113" s="462"/>
      <c r="K113" s="9"/>
      <c r="N113" s="8"/>
    </row>
    <row r="114" spans="1:14" ht="15.75" x14ac:dyDescent="0.25">
      <c r="A114" s="439"/>
      <c r="B114" s="439"/>
      <c r="C114" s="101" t="s">
        <v>243</v>
      </c>
      <c r="D114" s="103"/>
      <c r="E114" s="36"/>
      <c r="F114" s="128" t="str">
        <f>IF(E114="","", IF(E114&lt;=0,0,IF(E114&gt;=0.9,1,ROUND(E114*'Reference Curves'!$V$16+'Reference Curves'!$V$17,2))))</f>
        <v/>
      </c>
      <c r="G114" s="443"/>
      <c r="H114" s="440"/>
      <c r="I114" s="436"/>
      <c r="J114" s="463"/>
      <c r="K114" s="9"/>
      <c r="N114" s="8"/>
    </row>
    <row r="115" spans="1:14" x14ac:dyDescent="0.25">
      <c r="J115" s="3"/>
      <c r="K115" s="9"/>
      <c r="N115" s="8"/>
    </row>
    <row r="116" spans="1:14" ht="15.6" customHeight="1" x14ac:dyDescent="0.25">
      <c r="J116" s="3"/>
      <c r="K116" s="9"/>
      <c r="N116" s="8"/>
    </row>
    <row r="117" spans="1:14" ht="21" x14ac:dyDescent="0.25">
      <c r="A117" s="495" t="s">
        <v>167</v>
      </c>
      <c r="B117" s="496"/>
      <c r="C117" s="496"/>
      <c r="D117" s="496"/>
      <c r="E117" s="496"/>
      <c r="F117" s="496"/>
      <c r="G117" s="496"/>
      <c r="H117" s="496"/>
      <c r="I117" s="496"/>
      <c r="J117" s="497"/>
      <c r="K117" s="9"/>
      <c r="N117" s="8"/>
    </row>
    <row r="118" spans="1:14" ht="15.75" x14ac:dyDescent="0.25">
      <c r="A118" s="115" t="s">
        <v>59</v>
      </c>
      <c r="B118" s="130" t="str">
        <f>IF('Project Assessment'!A13="","",'Project Assessment'!A13)</f>
        <v/>
      </c>
      <c r="C118" s="115" t="s">
        <v>168</v>
      </c>
      <c r="D118" s="130" t="str">
        <f>IF('Existing Conditions'!D118="","",'Existing Conditions'!D118)</f>
        <v/>
      </c>
      <c r="E118" s="250" t="s">
        <v>73</v>
      </c>
      <c r="F118" s="505" t="str">
        <f>IF('Existing Conditions'!F118="","",'Existing Conditions'!F118)</f>
        <v/>
      </c>
      <c r="G118" s="506" t="str">
        <f>IF('Existing Conditions'!G118="","",'Existing Conditions'!G118)</f>
        <v/>
      </c>
      <c r="H118" s="493" t="s">
        <v>102</v>
      </c>
      <c r="I118" s="494"/>
      <c r="J118" s="130">
        <f>'Existing Conditions'!J118</f>
        <v>0</v>
      </c>
      <c r="K118" s="9"/>
      <c r="N118" s="8"/>
    </row>
    <row r="119" spans="1:14" ht="15.75" x14ac:dyDescent="0.25">
      <c r="A119" s="134" t="s">
        <v>212</v>
      </c>
      <c r="B119" s="130" t="str">
        <f>IF('Project Assessment'!B13="","",'Project Assessment'!B13)</f>
        <v/>
      </c>
      <c r="C119" s="250" t="s">
        <v>359</v>
      </c>
      <c r="D119" s="130" t="str">
        <f>IF('Existing Conditions'!D119="","",'Existing Conditions'!D119)</f>
        <v/>
      </c>
      <c r="E119" s="250" t="s">
        <v>156</v>
      </c>
      <c r="F119" s="505" t="str">
        <f>IF('Existing Conditions'!F119="","",'Existing Conditions'!F119)</f>
        <v/>
      </c>
      <c r="G119" s="506" t="str">
        <f>IF('Existing Conditions'!G119="","",'Existing Conditions'!G119)</f>
        <v/>
      </c>
      <c r="H119" s="493" t="s">
        <v>103</v>
      </c>
      <c r="I119" s="494"/>
      <c r="J119" s="130">
        <f>'Existing Conditions'!J119</f>
        <v>0</v>
      </c>
      <c r="K119" s="9"/>
      <c r="N119" s="8"/>
    </row>
    <row r="120" spans="1:14" ht="15.75" x14ac:dyDescent="0.25">
      <c r="A120" s="119" t="s">
        <v>157</v>
      </c>
      <c r="B120" s="130" t="str">
        <f>IF('Project Assessment'!C13="","",'Project Assessment'!C13)</f>
        <v/>
      </c>
      <c r="C120" s="239" t="s">
        <v>360</v>
      </c>
      <c r="D120" s="130" t="str">
        <f>IF('Existing Conditions'!D120="","",'Existing Conditions'!D120)</f>
        <v/>
      </c>
      <c r="E120" s="250" t="s">
        <v>220</v>
      </c>
      <c r="F120" s="505" t="str">
        <f>IF('Existing Conditions'!F120="","",'Existing Conditions'!F120)</f>
        <v/>
      </c>
      <c r="G120" s="506" t="str">
        <f>IF('Existing Conditions'!G120="","",'Existing Conditions'!G120)</f>
        <v/>
      </c>
      <c r="H120" s="493" t="s">
        <v>104</v>
      </c>
      <c r="I120" s="494"/>
      <c r="J120" s="130">
        <f>'Existing Conditions'!J120</f>
        <v>0</v>
      </c>
      <c r="K120" s="9"/>
      <c r="N120" s="8"/>
    </row>
    <row r="121" spans="1:14" ht="15.75" x14ac:dyDescent="0.25">
      <c r="A121" s="499"/>
      <c r="B121" s="500"/>
      <c r="C121" s="233" t="s">
        <v>155</v>
      </c>
      <c r="D121" s="130" t="str">
        <f>IF('Existing Conditions'!D121="","",'Existing Conditions'!D121)</f>
        <v/>
      </c>
      <c r="E121" s="502"/>
      <c r="F121" s="503"/>
      <c r="G121" s="504"/>
      <c r="H121" s="493" t="s">
        <v>105</v>
      </c>
      <c r="I121" s="494"/>
      <c r="J121" s="130">
        <f>'Existing Conditions'!J121</f>
        <v>0</v>
      </c>
      <c r="K121" s="9"/>
      <c r="N121" s="8"/>
    </row>
    <row r="122" spans="1:14" ht="7.5" customHeight="1" x14ac:dyDescent="0.25">
      <c r="B122" s="50"/>
      <c r="C122" s="50"/>
      <c r="D122" s="50"/>
      <c r="E122" s="50"/>
      <c r="F122" s="50"/>
      <c r="G122" s="50"/>
      <c r="H122" s="50"/>
      <c r="I122" s="48"/>
      <c r="J122" s="9"/>
      <c r="K122" s="9"/>
      <c r="N122" s="8"/>
    </row>
    <row r="123" spans="1:14" ht="21" x14ac:dyDescent="0.35">
      <c r="A123" s="492" t="str">
        <f>_xlfn.CONCAT("PROPOSED CONDITION ASSESSMENT for Reach ",B118)</f>
        <v xml:space="preserve">PROPOSED CONDITION ASSESSMENT for Reach </v>
      </c>
      <c r="B123" s="492"/>
      <c r="C123" s="492"/>
      <c r="D123" s="492"/>
      <c r="E123" s="492"/>
      <c r="F123" s="492"/>
      <c r="G123" s="492" t="s">
        <v>10</v>
      </c>
      <c r="H123" s="492"/>
      <c r="I123" s="492"/>
      <c r="J123" s="492"/>
      <c r="K123" s="9"/>
      <c r="N123" s="8"/>
    </row>
    <row r="124" spans="1:14" ht="15.75" x14ac:dyDescent="0.25">
      <c r="A124" s="30" t="s">
        <v>1</v>
      </c>
      <c r="B124" s="30" t="s">
        <v>2</v>
      </c>
      <c r="C124" s="448" t="s">
        <v>316</v>
      </c>
      <c r="D124" s="449"/>
      <c r="E124" s="30" t="s">
        <v>8</v>
      </c>
      <c r="F124" s="29" t="s">
        <v>9</v>
      </c>
      <c r="G124" s="30" t="s">
        <v>11</v>
      </c>
      <c r="H124" s="30" t="s">
        <v>12</v>
      </c>
      <c r="I124" s="49" t="s">
        <v>12</v>
      </c>
      <c r="J124" s="271" t="s">
        <v>130</v>
      </c>
      <c r="K124" s="9"/>
      <c r="N124" s="8"/>
    </row>
    <row r="125" spans="1:14" ht="15.6" customHeight="1" x14ac:dyDescent="0.25">
      <c r="A125" s="450" t="s">
        <v>223</v>
      </c>
      <c r="B125" s="453" t="s">
        <v>224</v>
      </c>
      <c r="C125" s="212" t="s">
        <v>114</v>
      </c>
      <c r="D125" s="215"/>
      <c r="E125" s="35"/>
      <c r="F125" s="218" t="str">
        <f>IF(E125="","",IF(E125&gt;=86,0,IF(E125&lt;=9,1,ROUND(IF(E125&gt;22,E125*'Reference Curves'!B$4+'Reference Curves'!B$5, IF(E125&gt;16, E125*'Reference Curves'!C$4+'Reference Curves'!C$5,E125*'Reference Curves'!$D$4+'Reference Curves'!$D$5)),2))))</f>
        <v/>
      </c>
      <c r="G125" s="456" t="str">
        <f>IFERROR(AVERAGE(F125:F127),"")</f>
        <v/>
      </c>
      <c r="H125" s="458" t="str">
        <f>IFERROR(ROUND(AVERAGE(G125:G131),2),"")</f>
        <v/>
      </c>
      <c r="I125" s="445" t="str">
        <f>IF(H125="","",IF(H125&gt;0.69,"Functioning",IF(H125&gt;0.29,"Functioning At Risk",IF(H125&gt;-1,"Not Functioning"))))</f>
        <v/>
      </c>
      <c r="J125" s="461" t="str">
        <f>IF(AND(H125="",H132="",H135="",H146="",H149=""),"",ROUND((IF(H125="",0,H125)*0.2)+(IF(H132="",0,H132)*0.2)+(IF(H135="",0,H135)*0.2)+(IF(H146="",0,H146)*0.2)+(IF(H149="",0,H149)*0.2),2))</f>
        <v/>
      </c>
      <c r="K125" s="9"/>
      <c r="N125" s="8"/>
    </row>
    <row r="126" spans="1:14" ht="15.75" x14ac:dyDescent="0.25">
      <c r="A126" s="451"/>
      <c r="B126" s="454"/>
      <c r="C126" s="213" t="s">
        <v>221</v>
      </c>
      <c r="D126" s="216"/>
      <c r="E126" s="34"/>
      <c r="F126" s="235" t="str">
        <f>IF(E126="","",IF(E126&gt;=33.5,0,IF(E126=0,1,ROUND(E126*'Reference Curves'!B$9+'Reference Curves'!B$10,2))))</f>
        <v/>
      </c>
      <c r="G126" s="457"/>
      <c r="H126" s="459"/>
      <c r="I126" s="446"/>
      <c r="J126" s="462"/>
      <c r="K126" s="9"/>
      <c r="N126" s="8"/>
    </row>
    <row r="127" spans="1:14" ht="15.75" x14ac:dyDescent="0.25">
      <c r="A127" s="451"/>
      <c r="B127" s="455"/>
      <c r="C127" s="214" t="s">
        <v>222</v>
      </c>
      <c r="D127" s="216"/>
      <c r="E127" s="36"/>
      <c r="F127" s="235" t="str">
        <f>IF(E127="","",IF(E127&gt;=61,0,IF(E127=0,1, ROUND(IF(E127&gt;35,E127*'Reference Curves'!B$15+'Reference Curves'!B$16,  E127*'Reference Curves'!C$15+'Reference Curves'!C$16),2))))</f>
        <v/>
      </c>
      <c r="G127" s="457"/>
      <c r="H127" s="459"/>
      <c r="I127" s="446"/>
      <c r="J127" s="462"/>
      <c r="K127" s="9"/>
      <c r="N127" s="8"/>
    </row>
    <row r="128" spans="1:14" ht="15.75" x14ac:dyDescent="0.25">
      <c r="A128" s="451"/>
      <c r="B128" s="464" t="s">
        <v>63</v>
      </c>
      <c r="C128" s="212" t="s">
        <v>114</v>
      </c>
      <c r="D128" s="215"/>
      <c r="E128" s="34"/>
      <c r="F128" s="218" t="str">
        <f>IF(E128="","",IF(E128&gt;=86,0,IF(E128&lt;=9,1,ROUND(IF(E128&gt;22,E128*'Reference Curves'!B$4+'Reference Curves'!B$5, IF(E128&gt;16, E128*'Reference Curves'!C$4+'Reference Curves'!C$5,E128*'Reference Curves'!$D$4+'Reference Curves'!$D$5)),2))))</f>
        <v/>
      </c>
      <c r="G128" s="456" t="str">
        <f>IFERROR(AVERAGE(F128:F131),"")</f>
        <v/>
      </c>
      <c r="H128" s="459"/>
      <c r="I128" s="446"/>
      <c r="J128" s="462"/>
      <c r="K128" s="9"/>
      <c r="N128" s="8"/>
    </row>
    <row r="129" spans="1:14" ht="15.75" x14ac:dyDescent="0.25">
      <c r="A129" s="451"/>
      <c r="B129" s="464"/>
      <c r="C129" s="213" t="s">
        <v>221</v>
      </c>
      <c r="D129" s="216"/>
      <c r="E129" s="34"/>
      <c r="F129" s="235" t="str">
        <f>IF(E129="","",IF(E129&gt;=33.5,0,IF(E129=0,1,ROUND(E129*'Reference Curves'!B$9+'Reference Curves'!B$10,2))))</f>
        <v/>
      </c>
      <c r="G129" s="457"/>
      <c r="H129" s="459"/>
      <c r="I129" s="446"/>
      <c r="J129" s="462"/>
      <c r="K129" s="9"/>
      <c r="N129" s="8"/>
    </row>
    <row r="130" spans="1:14" ht="15.75" x14ac:dyDescent="0.25">
      <c r="A130" s="451"/>
      <c r="B130" s="464"/>
      <c r="C130" s="213" t="s">
        <v>222</v>
      </c>
      <c r="D130" s="216"/>
      <c r="E130" s="34"/>
      <c r="F130" s="235" t="str">
        <f>IF(E130="","",IF(E130&gt;=61,0,IF(E130=0,1, ROUND(IF(E130&gt;35,E130*'Reference Curves'!B$15+'Reference Curves'!B$16,  E130*'Reference Curves'!C$15+'Reference Curves'!C$16),2))))</f>
        <v/>
      </c>
      <c r="G130" s="457"/>
      <c r="H130" s="459"/>
      <c r="I130" s="446"/>
      <c r="J130" s="462"/>
      <c r="K130" s="9"/>
      <c r="N130" s="8"/>
    </row>
    <row r="131" spans="1:14" ht="15.75" x14ac:dyDescent="0.25">
      <c r="A131" s="452"/>
      <c r="B131" s="465"/>
      <c r="C131" s="214" t="s">
        <v>225</v>
      </c>
      <c r="D131" s="217"/>
      <c r="E131" s="34"/>
      <c r="F131" s="236" t="str">
        <f>IF(E131="","",   IF(E131&gt;3.35,0, IF(E131&lt;0, "", ROUND('Reference Curves'!$B$20*E131+'Reference Curves'!$B$21,2))))</f>
        <v/>
      </c>
      <c r="G131" s="457"/>
      <c r="H131" s="460"/>
      <c r="I131" s="447"/>
      <c r="J131" s="462"/>
      <c r="K131" s="9"/>
      <c r="N131" s="8"/>
    </row>
    <row r="132" spans="1:14" ht="15.75" x14ac:dyDescent="0.25">
      <c r="A132" s="466" t="s">
        <v>226</v>
      </c>
      <c r="B132" s="469" t="s">
        <v>3</v>
      </c>
      <c r="C132" s="95" t="s">
        <v>227</v>
      </c>
      <c r="D132" s="13"/>
      <c r="E132" s="28"/>
      <c r="F132" s="121" t="str">
        <f>IF(E132="","", IF(E132&gt;1.71,0,IF(E132&lt;=1,1, ROUND(E132*'Reference Curves'!G$3+'Reference Curves'!G$4,2))))</f>
        <v/>
      </c>
      <c r="G132" s="471" t="str">
        <f>IFERROR(AVERAGE(F132:F133),"")</f>
        <v/>
      </c>
      <c r="H132" s="471" t="str">
        <f>IFERROR(ROUND(AVERAGE(G132:G134),2),"")</f>
        <v/>
      </c>
      <c r="I132" s="445" t="str">
        <f>IF(H132="","",IF(H132&gt;0.69,"Functioning",IF(H132&gt;0.29,"Functioning At Risk",IF(H132&gt;-1,"Not Functioning"))))</f>
        <v/>
      </c>
      <c r="J132" s="462"/>
      <c r="K132" s="9"/>
      <c r="N132" s="8"/>
    </row>
    <row r="133" spans="1:14" ht="15.75" x14ac:dyDescent="0.25">
      <c r="A133" s="467"/>
      <c r="B133" s="470"/>
      <c r="C133" s="97" t="s">
        <v>228</v>
      </c>
      <c r="D133" s="102"/>
      <c r="E133" s="33"/>
      <c r="F133" s="237" t="str">
        <f>IF(E133="","",IF(LEFT(D118,1)="B",IF(E133&lt;=1,0,IF(E133&gt;=2.2,1,ROUND(IF(E133&lt;1.4,E133*'Reference Curves'!$G$19+'Reference Curves'!$G$20,E133*'Reference Curves'!$H$19+'Reference Curves'!$H$20),2))),
IF(LEFT(D118,1)="C",IF(E133&lt;1.7,0,IF(E133&gt;=4.4,1,ROUND(IF(E133&gt;2.4,E133*'Reference Curves'!$H$9+'Reference Curves'!$H$10,E133*'Reference Curves'!$G$9+'Reference Curves'!$G$10),2))),
IF(LEFT(D118,1)="E",IF(E133&lt;1.7,0,IF(E133&gt;=6.5,1,ROUND(IF(E133&gt;2.4,E133*'Reference Curves'!$H$14+'Reference Curves'!$H$15,E133*'Reference Curves'!$G$14+'Reference Curves'!$G$15),2)))))))</f>
        <v/>
      </c>
      <c r="G133" s="472"/>
      <c r="H133" s="473"/>
      <c r="I133" s="446"/>
      <c r="J133" s="462"/>
      <c r="K133" s="9"/>
      <c r="N133" s="8"/>
    </row>
    <row r="134" spans="1:14" ht="15.6" customHeight="1" x14ac:dyDescent="0.25">
      <c r="A134" s="468"/>
      <c r="B134" s="219" t="s">
        <v>229</v>
      </c>
      <c r="C134" s="96" t="s">
        <v>230</v>
      </c>
      <c r="D134" s="13"/>
      <c r="E134" s="32"/>
      <c r="F134" s="122" t="str">
        <f>IF(E134="","",IF(E134&gt;=180,0, IF(E134=100,1, ROUND(IF(E134&gt;100,E134*'Reference Curves'!$H$25+'Reference Curves'!$H$26, IF(E132&gt;1.2,IF(E134 &lt;=20,0, E134*'Reference Curves'!$G$25+'Reference Curves'!$G$26),1)),2))))</f>
        <v/>
      </c>
      <c r="G134" s="269" t="str">
        <f>IFERROR(AVERAGE(F134),"")</f>
        <v/>
      </c>
      <c r="H134" s="472"/>
      <c r="I134" s="447"/>
      <c r="J134" s="462"/>
      <c r="K134" s="9"/>
      <c r="N134" s="8"/>
    </row>
    <row r="135" spans="1:14" ht="15.75" x14ac:dyDescent="0.25">
      <c r="A135" s="474" t="s">
        <v>16</v>
      </c>
      <c r="B135" s="270" t="s">
        <v>231</v>
      </c>
      <c r="C135" s="220" t="s">
        <v>232</v>
      </c>
      <c r="D135" s="221"/>
      <c r="E135" s="46"/>
      <c r="F135" s="238" t="str">
        <f>IF(E135="","",IF(F119="Alaska Range",ROUND(IF(E135&lt;=0.05,0, IF(E135&gt;=6.3,1,IF(E135&lt;=1.5,'Reference Curves'!$K$5*E135+'Reference Curves'!$K$6, 'Reference Curves'!$L$5*E135+'Reference Curves'!$L$6))),2),
IF(F119="Brooks Range",ROUND(IF(E135&gt;=4.2,1,IF(E135&lt;0.03,0, IF(E135&lt;=1.2,'Reference Curves'!$M$5*E135+'Reference Curves'!$M$6, 'Reference Curves'!$N$5*E135+'Reference Curves'!$N$6))),2),
IF(OR(F119="Interior Bottomlands", F119="Yukon Flats"),ROUND(IF(E135&gt;=54.5,1,IF(E135&lt;=3.7,'Reference Curves'!$K$11*E135+'Reference Curves'!$K$12, IF(E135&lt;4.7,  'Reference Curves'!$L$11*E135+'Reference Curves'!$L$12,  'Reference Curves'!$M$11*E135+'Reference Curves'!$M$12))),2),
IF(OR(F119="Interior Forested Lowlands/Uplands",F119="Interior Highlands"),ROUND(IF(E135=0,0,IF(E135&gt;=24.1,1,IF(E135&lt;=1.3,'Reference Curves'!$N$11*E135+'Reference Curves'!$N$12, 'Reference Curves'!$O$11*E135+'Reference Curves'!$O$12))),2))))))</f>
        <v/>
      </c>
      <c r="G135" s="265" t="str">
        <f>IFERROR(AVERAGE(F135:F135),"")</f>
        <v/>
      </c>
      <c r="H135" s="476" t="str">
        <f>IFERROR(ROUND(AVERAGE(G135:G145),2),"")</f>
        <v/>
      </c>
      <c r="I135" s="479" t="str">
        <f>IF(H135="","",IF(H135&gt;0.69,"Functioning",IF(H135&gt;0.29,"Functioning At Risk",IF(H135&gt;-1,"Not Functioning"))))</f>
        <v/>
      </c>
      <c r="J135" s="462"/>
      <c r="K135" s="9"/>
      <c r="N135" s="8"/>
    </row>
    <row r="136" spans="1:14" ht="15.75" x14ac:dyDescent="0.25">
      <c r="A136" s="475"/>
      <c r="B136" s="475" t="s">
        <v>99</v>
      </c>
      <c r="C136" s="16" t="s">
        <v>37</v>
      </c>
      <c r="D136" s="100"/>
      <c r="E136" s="234"/>
      <c r="F136" s="123" t="str">
        <f>IF(E136="","",IF(OR(E136="Ex/Ex",E136="Ex/VH",E136="Ex/H",E136="Ex/M",E136="VH/Ex",E136="VH/VH", E136="H/Ex",E136="H/VH"),0,
IF(OR(E136="M/Ex"),0.1,
IF(OR(E136="VH/H",E136="VH/M",E136="H/H",E136="H/M", E136="M/VH"),0.2,
IF(OR(E136="Ex/VL",E136="Ex/L", E136="M/H"),0.3,
IF(OR(E136="VH/L",E136="H/L"),0.4,
IF(OR(E136="VH/VL",E136="H/VL",E136="M/M"),0.5,
IF(OR(E136="M/L",E136="L/Ex"),0.6,
IF(OR(E136="M/VL",E136="L/VH", E136="L/H",E136="L/M",E136="L/L",E136="L/VL", LEFT(E136,2)="VL"),1)))))))))</f>
        <v/>
      </c>
      <c r="G136" s="476" t="str">
        <f>IFERROR(IF(E138&gt;=50,0,AVERAGE(F136:F138)),"")</f>
        <v/>
      </c>
      <c r="H136" s="477"/>
      <c r="I136" s="480"/>
      <c r="J136" s="462"/>
      <c r="K136" s="9"/>
      <c r="N136" s="8"/>
    </row>
    <row r="137" spans="1:14" ht="15.75" x14ac:dyDescent="0.25">
      <c r="A137" s="475"/>
      <c r="B137" s="475"/>
      <c r="C137" s="98" t="s">
        <v>48</v>
      </c>
      <c r="D137" s="230"/>
      <c r="E137" s="32"/>
      <c r="F137" s="123" t="str">
        <f>IF(E137="","",ROUND(IF(E137&gt;=75,0,IF(E137&lt;=5,1,IF(E137&gt;10,E137*'Reference Curves'!K$17+'Reference Curves'!K$18,'Reference Curves'!$L$17*E137+'Reference Curves'!$L$18))),2))</f>
        <v/>
      </c>
      <c r="G137" s="477"/>
      <c r="H137" s="477"/>
      <c r="I137" s="480"/>
      <c r="J137" s="462"/>
      <c r="K137" s="9"/>
      <c r="N137" s="8"/>
    </row>
    <row r="138" spans="1:14" ht="15.75" x14ac:dyDescent="0.25">
      <c r="A138" s="475"/>
      <c r="B138" s="482"/>
      <c r="C138" s="99" t="s">
        <v>233</v>
      </c>
      <c r="D138" s="231"/>
      <c r="E138" s="33"/>
      <c r="F138" s="124" t="str">
        <f>IF(E138="","",IF(E138&gt;=30,0,ROUND(E138*'Reference Curves'!$K$22+'Reference Curves'!$K$23,2)))</f>
        <v/>
      </c>
      <c r="G138" s="478"/>
      <c r="H138" s="477"/>
      <c r="I138" s="480"/>
      <c r="J138" s="462"/>
      <c r="K138" s="9"/>
      <c r="N138" s="8"/>
    </row>
    <row r="139" spans="1:14" ht="15.75" x14ac:dyDescent="0.25">
      <c r="A139" s="475"/>
      <c r="B139" s="268" t="s">
        <v>234</v>
      </c>
      <c r="C139" s="17" t="s">
        <v>235</v>
      </c>
      <c r="D139" s="100"/>
      <c r="E139" s="33"/>
      <c r="F139" s="123" t="str">
        <f>IF(E139="","",IF(OR(D120="Cobble",D120="Boulders",D120="Bedrock"),ROUND(IF(E139&lt;=0,1,IF(E139&gt;=13.7,0, IF(E139&gt;5,E139*'Reference Curves'!$M$29+'Reference Curves'!$M$30,  E139*'Reference Curves'!$N$29+'Reference Curves'!$N$30))),2),
IF(D120="Gravel",ROUND(IF(E139&lt;=3,1,IF(E139&gt;=54,0, IF(E139&gt;15,E139*'Reference Curves'!$K$29+'Reference Curves'!$K$30,  E139*'Reference Curves'!$L$29+'Reference Curves'!$L$30))),2))))</f>
        <v/>
      </c>
      <c r="G139" s="265" t="str">
        <f>IFERROR(AVERAGE(F139:F139),"")</f>
        <v/>
      </c>
      <c r="H139" s="477"/>
      <c r="I139" s="480"/>
      <c r="J139" s="462"/>
      <c r="K139" s="9"/>
      <c r="N139" s="8"/>
    </row>
    <row r="140" spans="1:14" ht="15.75" x14ac:dyDescent="0.25">
      <c r="A140" s="475"/>
      <c r="B140" s="474" t="s">
        <v>39</v>
      </c>
      <c r="C140" s="14" t="s">
        <v>236</v>
      </c>
      <c r="D140" s="18"/>
      <c r="E140" s="35"/>
      <c r="F140" s="125" t="str">
        <f>IF(E140="","",IF(D118="Bc",IF(E140&gt;=12,0,IF(E140&lt;=3.4,1,ROUND('Reference Curves'!$K$39*E140+'Reference Curves'!$K$40,2))),
IF(OR(D118="B",D118="Ba"),IF(E140&gt;=6,0,IF(E140&lt;=2,1,ROUND(IF(E140&gt;3.9,'Reference Curves'!$K$35*E140+'Reference Curves'!$K$36,'Reference Curves'!$L$35*E140+'Reference Curves'!$L$36),2))),
IF(LEFT(D118,1)="C",IF(OR(E140&gt;=9.3,E140&lt;=3),0,IF(AND(E140&gt;=4,E140&lt;=6),1,ROUND(IF(E140&lt;4,'Reference Curves'!$K$49*E140+'Reference Curves'!$K$50,'Reference Curves'!$L$49*E140+'Reference Curves'!$L$50),2))),
IF(D118="E",IF(OR(E140&gt;=8.3,E140&lt;=1.8),0,IF(AND(E140&gt;=3.5,E140&lt;=5),1,ROUND(IF(E140&lt;3.5,'Reference Curves'!$K$44*E140+'Reference Curves'!$K$45,'Reference Curves'!$L$44*E140+'Reference Curves'!$L$45),2)))      )))))</f>
        <v/>
      </c>
      <c r="G140" s="483" t="str">
        <f>IFERROR(AVERAGE(F140:F142),"")</f>
        <v/>
      </c>
      <c r="H140" s="477"/>
      <c r="I140" s="480"/>
      <c r="J140" s="462"/>
      <c r="K140" s="9"/>
      <c r="N140" s="8"/>
    </row>
    <row r="141" spans="1:14" ht="15.75" x14ac:dyDescent="0.25">
      <c r="A141" s="475"/>
      <c r="B141" s="475"/>
      <c r="C141" s="16" t="s">
        <v>237</v>
      </c>
      <c r="D141" s="100"/>
      <c r="E141" s="34"/>
      <c r="F141" s="126" t="str">
        <f>IF(E141="","",ROUND(IF(E141&lt;=1,0, IF(OR(D118="B", D118="Ba"), IF(E141&gt;=2.8,1,IF(E141&gt;=1.8,'Reference Curves'!$L$56*E141+'Reference Curves'!$L$57,'Reference Curves'!$K$56*E141+'Reference Curves'!$K$57)),IF(E141&gt;=3.2,1,IF(E141&gt;=2.2,'Reference Curves'!$N$56*E141+'Reference Curves'!$N$57,'Reference Curves'!$M$56*E141+'Reference Curves'!$M$57)))),2))</f>
        <v/>
      </c>
      <c r="G141" s="484"/>
      <c r="H141" s="477"/>
      <c r="I141" s="480"/>
      <c r="J141" s="462"/>
      <c r="K141" s="9"/>
      <c r="N141" s="8"/>
    </row>
    <row r="142" spans="1:14" ht="15.75" x14ac:dyDescent="0.25">
      <c r="A142" s="475"/>
      <c r="B142" s="475"/>
      <c r="C142" s="16" t="s">
        <v>79</v>
      </c>
      <c r="D142" s="100"/>
      <c r="E142" s="34"/>
      <c r="F142" s="266" t="str">
        <f>IF(E142="","",IF(D119&gt;=3,IF(OR(E142&lt;=0,E142&gt;=100),0,IF(AND(E142&gt;=68,E142&lt;=85),1,IF(E142&lt;68,IF(E142&lt;62,ROUND(E142*'Reference Curves'!$K$69+'Reference Curves'!$K$70,2),ROUND(E142*'Reference Curves'!$L$69+'Reference Curves'!$L$70,2)),
IF(E142&gt;87,ROUND(E142*'Reference Curves'!$M$69+'Reference Curves'!$M$70,2),ROUND(E142*'Reference Curves'!$N$69+'Reference Curves'!$N$70,2))))),
IF(D119&lt;&gt;0,IF(OR(E142&lt;=0,E142&gt;=100),0,IF(AND(E142&lt;=60,E142&gt;=50),1,IF(E142&lt;50,IF(E142&lt;39,ROUND(E142*'Reference Curves'!$K$63+'Reference Curves'!$K$64,2),ROUND(E142*'Reference Curves'!$L$63+'Reference Curves'!$L$64,2)),
IF(E142&gt;69,ROUND(E142*'Reference Curves'!$M$63+'Reference Curves'!$M$64,2),ROUND(E142*'Reference Curves'!$N$63+'Reference Curves'!$N$64,2))))))))</f>
        <v/>
      </c>
      <c r="G142" s="484"/>
      <c r="H142" s="477"/>
      <c r="I142" s="480"/>
      <c r="J142" s="462"/>
      <c r="K142" s="9"/>
      <c r="N142" s="8"/>
    </row>
    <row r="143" spans="1:14" ht="15.6" customHeight="1" x14ac:dyDescent="0.25">
      <c r="A143" s="475"/>
      <c r="B143" s="474" t="s">
        <v>38</v>
      </c>
      <c r="C143" s="14" t="s">
        <v>238</v>
      </c>
      <c r="D143" s="41"/>
      <c r="E143" s="15"/>
      <c r="F143" s="127" t="str">
        <f>IF( E143="","",
IF( F118="Unconfined Alluvial", IF( E143&gt;=100,1,
ROUND('Reference Curves'!$K$76*E143+'Reference Curves'!$K$77,2) ),
IF( OR(F118="Confined Alluvial", F118="Colluvial/V-Shaped"), ( IF(E143&gt;=100,1,
IF(E143&gt;=60, ROUND('Reference Curves'!$M$76*E143+'Reference Curves'!$M$77,2), ROUND('Reference Curves'!$L$76*E143+'Reference Curves'!$L$77,2) ) ) ) ) ) )</f>
        <v/>
      </c>
      <c r="G143" s="476" t="str">
        <f>IFERROR(AVERAGE(F143:F145),"")</f>
        <v/>
      </c>
      <c r="H143" s="477"/>
      <c r="I143" s="480"/>
      <c r="J143" s="462"/>
      <c r="K143" s="9"/>
      <c r="N143" s="8"/>
    </row>
    <row r="144" spans="1:14" ht="15.75" x14ac:dyDescent="0.25">
      <c r="A144" s="475"/>
      <c r="B144" s="475"/>
      <c r="C144" s="16" t="s">
        <v>202</v>
      </c>
      <c r="D144" s="57"/>
      <c r="E144" s="65"/>
      <c r="F144" s="126" t="str">
        <f>IF(E144="","",IF(OR(F119="Alaska Range",F119="Brooks Range"),ROUND(IF(E144&gt;=1.57,1,IF(E144&lt;=0.06,'Reference Curves'!$K$83*E144+'Reference Curves'!$K$84, IF(E144&lt;0.83, 'Reference Curves'!$L$83*E144+'Reference Curves'!$L$84, 'Reference Curves'!$M$83*E144+'Reference Curves'!$M$84))),2),
IF(F119="Interior Highlands",ROUND(IF(E144&gt;=1.67,1,IF(E144&lt;=0.94,'Reference Curves'!$N$83*E144+'Reference Curves'!$N$84, IF(E144&lt;1.21, 'Reference Curves'!$O$83*E144+'Reference Curves'!$O$84, 'Reference Curves'!$P$83*E144+'Reference Curves'!$P$84))),2),
IF(OR(F119="Interior Bottomlands",F119="Yukon Flats"),ROUND(IF(E144&gt;=1.82,1,IF(E144&lt;=1.19,'Reference Curves'!$K$89*E144+'Reference Curves'!$K$90, IF(E144&lt;1.37, 'Reference Curves'!$L$89*E144+'Reference Curves'!$L$90, 'Reference Curves'!$M$89*E144+'Reference Curves'!$M$90))),2),
IF(F119="Interior Forested Lowlands/Uplands",ROUND(IF(E144&gt;=1.87,1,IF(E144&lt;=1.24,'Reference Curves'!$N$89*E144+'Reference Curves'!$N$90, IF(E144&lt;1.45, 'Reference Curves'!$O$89*E144+'Reference Curves'!$O$90, 'Reference Curves'!$P$89*E144+'Reference Curves'!$P$90))),2))))))</f>
        <v/>
      </c>
      <c r="G144" s="477"/>
      <c r="H144" s="477"/>
      <c r="I144" s="480"/>
      <c r="J144" s="462"/>
      <c r="K144" s="9"/>
      <c r="N144" s="8"/>
    </row>
    <row r="145" spans="1:14" ht="15.75" x14ac:dyDescent="0.25">
      <c r="A145" s="475"/>
      <c r="B145" s="475"/>
      <c r="C145" s="16" t="s">
        <v>239</v>
      </c>
      <c r="D145" s="57"/>
      <c r="E145" s="65"/>
      <c r="F145" s="266" t="str">
        <f>IF(E145="","",IF(E145&lt;83.5,0,IF(E145&gt;=100,1,ROUND(E145*'Reference Curves'!$K$94+'Reference Curves'!$K$95,2))))</f>
        <v/>
      </c>
      <c r="G145" s="478"/>
      <c r="H145" s="478"/>
      <c r="I145" s="481"/>
      <c r="J145" s="462"/>
      <c r="K145" s="9"/>
      <c r="N145" s="8"/>
    </row>
    <row r="146" spans="1:14" ht="15.75" x14ac:dyDescent="0.25">
      <c r="A146" s="485" t="s">
        <v>41</v>
      </c>
      <c r="B146" s="223" t="s">
        <v>115</v>
      </c>
      <c r="C146" s="224" t="s">
        <v>340</v>
      </c>
      <c r="D146" s="225"/>
      <c r="E146" s="28"/>
      <c r="F146" s="232" t="str">
        <f>IF(E146="","", IF(E146&lt;=1.1,1, IF(E146 &gt;1.315,0, ROUND(E146*'Reference Curves'!R$3+'Reference Curves'!R$4,2))))</f>
        <v/>
      </c>
      <c r="G146" s="267" t="str">
        <f>IFERROR(AVERAGE(F146:F146),"")</f>
        <v/>
      </c>
      <c r="H146" s="488" t="str">
        <f>IFERROR(AVERAGE(G146:G148),"")</f>
        <v/>
      </c>
      <c r="I146" s="436" t="str">
        <f>IF(H146="","",IF(H146&gt;0.69,"Functioning",IF(H146&gt;0.29,"Functioning At Risk",IF(H146&gt;-1,"Not Functioning"))))</f>
        <v/>
      </c>
      <c r="J146" s="462"/>
      <c r="K146" s="9"/>
      <c r="N146" s="8"/>
    </row>
    <row r="147" spans="1:14" ht="15.75" x14ac:dyDescent="0.25">
      <c r="A147" s="486"/>
      <c r="B147" s="223" t="s">
        <v>240</v>
      </c>
      <c r="C147" s="224" t="s">
        <v>341</v>
      </c>
      <c r="D147" s="225"/>
      <c r="E147" s="46"/>
      <c r="F147" s="240" t="str">
        <f>IF(E147="","",ROUND( IF(E147&lt;=3,1, IF(E147&gt;=100,0,IF(E147&gt;10, E147*'Reference Curves'!$R$9+'Reference Curves'!$R$10,E147*'Reference Curves'!$S$9+'Reference Curves'!$S$10))),2))</f>
        <v/>
      </c>
      <c r="G147" s="232" t="str">
        <f>IFERROR(AVERAGE(F147),"")</f>
        <v/>
      </c>
      <c r="H147" s="489"/>
      <c r="I147" s="436"/>
      <c r="J147" s="462"/>
      <c r="K147" s="9"/>
      <c r="N147" s="8"/>
    </row>
    <row r="148" spans="1:14" ht="15.75" x14ac:dyDescent="0.25">
      <c r="A148" s="487"/>
      <c r="B148" s="223" t="s">
        <v>241</v>
      </c>
      <c r="C148" s="226" t="s">
        <v>355</v>
      </c>
      <c r="D148" s="227"/>
      <c r="E148" s="46"/>
      <c r="F148" s="232" t="str">
        <f>IF(E148="","", IF(E148&gt;=75,1, IF(E148 &lt;19,0, ROUND(E148*'Reference Curves'!R$14+'Reference Curves'!R$15,2))))</f>
        <v/>
      </c>
      <c r="G148" s="232" t="str">
        <f>IFERROR(AVERAGE(F148),"")</f>
        <v/>
      </c>
      <c r="H148" s="490"/>
      <c r="I148" s="436"/>
      <c r="J148" s="462"/>
      <c r="K148" s="9"/>
      <c r="N148" s="8"/>
    </row>
    <row r="149" spans="1:14" ht="15.75" x14ac:dyDescent="0.25">
      <c r="A149" s="437" t="s">
        <v>42</v>
      </c>
      <c r="B149" s="228" t="s">
        <v>80</v>
      </c>
      <c r="C149" s="229" t="s">
        <v>366</v>
      </c>
      <c r="D149" s="26"/>
      <c r="E149" s="28"/>
      <c r="F149" s="128" t="str">
        <f>IF(E149="","",ROUND( IF(E149&gt;=81,0, IF(E149&lt;=36,1,IF(E149&gt;62, E149*'Reference Curves'!$V$4+'Reference Curves'!$V$5,IF(E149&gt;43, E149*'Reference Curves'!$W$4+'Reference Curves'!$W$5,E149*'Reference Curves'!$X$4+'Reference Curves'!$X$5)))),2))</f>
        <v/>
      </c>
      <c r="G149" s="104" t="str">
        <f>IFERROR(AVERAGE(F149),"")</f>
        <v/>
      </c>
      <c r="H149" s="440" t="str">
        <f>IFERROR(ROUND(AVERAGE(G149:G152),2),"")</f>
        <v/>
      </c>
      <c r="I149" s="436" t="str">
        <f>IF(H149="","",IF(H149&gt;0.69,"Functioning",IF(H149&gt;0.29,"Functioning At Risk",IF(H149&gt;-1,"Not Functioning"))))</f>
        <v/>
      </c>
      <c r="J149" s="462"/>
    </row>
    <row r="150" spans="1:14" ht="15.75" x14ac:dyDescent="0.25">
      <c r="A150" s="438"/>
      <c r="B150" s="437" t="s">
        <v>45</v>
      </c>
      <c r="C150" s="229" t="s">
        <v>242</v>
      </c>
      <c r="D150" s="26"/>
      <c r="E150" s="35"/>
      <c r="F150" s="104" t="str">
        <f>IF(E150="","",IF(F120="Anadromous", IF(E150&lt;=0,0,IF(E150&gt;=100,1,ROUND(IF(E150&lt;80,E150*'Reference Curves'!$V$11+'Reference Curves'!$V$12,E150*'Reference Curves'!$W$11+'Reference Curves'!$W$12),2))),
IF(F120="Non-anadromous", IF(E150&lt;=0,0,IF(E150&gt;=100,1,ROUND(IF(E150&lt;60,E150*'Reference Curves'!$X$11+'Reference Curves'!$X$12,E150*'Reference Curves'!$Y$11+'Reference Curves'!$Y$12),2))))))</f>
        <v/>
      </c>
      <c r="G150" s="441" t="str">
        <f>IFERROR(AVERAGE(F150:F152),"")</f>
        <v/>
      </c>
      <c r="H150" s="440"/>
      <c r="I150" s="436"/>
      <c r="J150" s="462"/>
    </row>
    <row r="151" spans="1:14" ht="15.75" x14ac:dyDescent="0.25">
      <c r="A151" s="438"/>
      <c r="B151" s="438"/>
      <c r="C151" s="294" t="s">
        <v>322</v>
      </c>
      <c r="D151" s="295"/>
      <c r="E151" s="34"/>
      <c r="F151" s="104" t="str">
        <f>IF(E151="","", IF(E151&lt;=0,0,IF(E151&gt;=0.9,1,ROUND(E151*'Reference Curves'!$V$16+'Reference Curves'!$V$17,2))))</f>
        <v/>
      </c>
      <c r="G151" s="491"/>
      <c r="H151" s="440"/>
      <c r="I151" s="436"/>
      <c r="J151" s="462"/>
    </row>
    <row r="152" spans="1:14" ht="15.75" x14ac:dyDescent="0.25">
      <c r="A152" s="439"/>
      <c r="B152" s="439"/>
      <c r="C152" s="101" t="s">
        <v>243</v>
      </c>
      <c r="D152" s="103"/>
      <c r="E152" s="36"/>
      <c r="F152" s="128" t="str">
        <f>IF(E152="","", IF(E152&lt;=0,0,IF(E152&gt;=0.9,1,ROUND(E152*'Reference Curves'!$V$16+'Reference Curves'!$V$17,2))))</f>
        <v/>
      </c>
      <c r="G152" s="443"/>
      <c r="H152" s="440"/>
      <c r="I152" s="436"/>
      <c r="J152" s="463"/>
    </row>
    <row r="153" spans="1:14" x14ac:dyDescent="0.25">
      <c r="J153" s="3"/>
    </row>
    <row r="155" spans="1:14" ht="21" x14ac:dyDescent="0.25">
      <c r="A155" s="495" t="s">
        <v>167</v>
      </c>
      <c r="B155" s="496"/>
      <c r="C155" s="496"/>
      <c r="D155" s="496"/>
      <c r="E155" s="496"/>
      <c r="F155" s="496"/>
      <c r="G155" s="496"/>
      <c r="H155" s="496"/>
      <c r="I155" s="496"/>
      <c r="J155" s="497"/>
    </row>
    <row r="156" spans="1:14" ht="15.75" x14ac:dyDescent="0.25">
      <c r="A156" s="115" t="s">
        <v>59</v>
      </c>
      <c r="B156" s="130" t="str">
        <f>IF('Project Assessment'!A14="","",'Project Assessment'!A14)</f>
        <v/>
      </c>
      <c r="C156" s="115" t="s">
        <v>168</v>
      </c>
      <c r="D156" s="130" t="str">
        <f>IF('Existing Conditions'!D156="","",'Existing Conditions'!D156)</f>
        <v/>
      </c>
      <c r="E156" s="250" t="s">
        <v>73</v>
      </c>
      <c r="F156" s="505" t="str">
        <f>IF('Existing Conditions'!F156="","",'Existing Conditions'!F156)</f>
        <v/>
      </c>
      <c r="G156" s="506" t="str">
        <f>IF('Existing Conditions'!G156="","",'Existing Conditions'!G156)</f>
        <v/>
      </c>
      <c r="H156" s="493" t="s">
        <v>102</v>
      </c>
      <c r="I156" s="494"/>
      <c r="J156" s="130">
        <f>'Existing Conditions'!J156</f>
        <v>0</v>
      </c>
    </row>
    <row r="157" spans="1:14" ht="15.75" x14ac:dyDescent="0.25">
      <c r="A157" s="134" t="s">
        <v>212</v>
      </c>
      <c r="B157" s="130" t="str">
        <f>IF('Project Assessment'!B14="","",'Project Assessment'!B14)</f>
        <v/>
      </c>
      <c r="C157" s="250" t="s">
        <v>359</v>
      </c>
      <c r="D157" s="130" t="str">
        <f>IF('Existing Conditions'!D157="","",'Existing Conditions'!D157)</f>
        <v/>
      </c>
      <c r="E157" s="250" t="s">
        <v>156</v>
      </c>
      <c r="F157" s="505" t="str">
        <f>IF('Existing Conditions'!F157="","",'Existing Conditions'!F157)</f>
        <v/>
      </c>
      <c r="G157" s="506" t="str">
        <f>IF('Existing Conditions'!G157="","",'Existing Conditions'!G157)</f>
        <v/>
      </c>
      <c r="H157" s="493" t="s">
        <v>103</v>
      </c>
      <c r="I157" s="494"/>
      <c r="J157" s="130">
        <f>'Existing Conditions'!J157</f>
        <v>0</v>
      </c>
    </row>
    <row r="158" spans="1:14" ht="15.75" x14ac:dyDescent="0.25">
      <c r="A158" s="119" t="s">
        <v>157</v>
      </c>
      <c r="B158" s="130" t="str">
        <f>IF('Project Assessment'!C14="","",'Project Assessment'!C14)</f>
        <v/>
      </c>
      <c r="C158" s="239" t="s">
        <v>360</v>
      </c>
      <c r="D158" s="130" t="str">
        <f>IF('Existing Conditions'!D158="","",'Existing Conditions'!D158)</f>
        <v/>
      </c>
      <c r="E158" s="250" t="s">
        <v>220</v>
      </c>
      <c r="F158" s="505" t="str">
        <f>IF('Existing Conditions'!F158="","",'Existing Conditions'!F158)</f>
        <v/>
      </c>
      <c r="G158" s="506" t="str">
        <f>IF('Existing Conditions'!G158="","",'Existing Conditions'!G158)</f>
        <v/>
      </c>
      <c r="H158" s="493" t="s">
        <v>104</v>
      </c>
      <c r="I158" s="494"/>
      <c r="J158" s="130">
        <f>'Existing Conditions'!J158</f>
        <v>0</v>
      </c>
    </row>
    <row r="159" spans="1:14" ht="15.75" x14ac:dyDescent="0.25">
      <c r="A159" s="499"/>
      <c r="B159" s="500"/>
      <c r="C159" s="233" t="s">
        <v>155</v>
      </c>
      <c r="D159" s="130" t="str">
        <f>IF('Existing Conditions'!D159="","",'Existing Conditions'!D159)</f>
        <v/>
      </c>
      <c r="E159" s="502"/>
      <c r="F159" s="503"/>
      <c r="G159" s="504"/>
      <c r="H159" s="493" t="s">
        <v>105</v>
      </c>
      <c r="I159" s="494"/>
      <c r="J159" s="130">
        <f>'Existing Conditions'!J159</f>
        <v>0</v>
      </c>
    </row>
    <row r="160" spans="1:14" ht="7.5" customHeight="1" x14ac:dyDescent="0.25">
      <c r="B160" s="50"/>
      <c r="C160" s="50"/>
      <c r="D160" s="50"/>
      <c r="E160" s="50"/>
      <c r="F160" s="50"/>
      <c r="G160" s="50"/>
      <c r="H160" s="50"/>
      <c r="I160" s="48"/>
      <c r="J160" s="9"/>
    </row>
    <row r="161" spans="1:10" ht="21" x14ac:dyDescent="0.35">
      <c r="A161" s="492" t="str">
        <f>_xlfn.CONCAT("PROPOSED CONDITION ASSESSMENT for Reach ",B156)</f>
        <v xml:space="preserve">PROPOSED CONDITION ASSESSMENT for Reach </v>
      </c>
      <c r="B161" s="492"/>
      <c r="C161" s="492"/>
      <c r="D161" s="492"/>
      <c r="E161" s="492"/>
      <c r="F161" s="492"/>
      <c r="G161" s="492" t="s">
        <v>10</v>
      </c>
      <c r="H161" s="492"/>
      <c r="I161" s="492"/>
      <c r="J161" s="492"/>
    </row>
    <row r="162" spans="1:10" ht="15.75" x14ac:dyDescent="0.25">
      <c r="A162" s="30" t="s">
        <v>1</v>
      </c>
      <c r="B162" s="30" t="s">
        <v>2</v>
      </c>
      <c r="C162" s="448" t="s">
        <v>316</v>
      </c>
      <c r="D162" s="449"/>
      <c r="E162" s="30" t="s">
        <v>8</v>
      </c>
      <c r="F162" s="29" t="s">
        <v>9</v>
      </c>
      <c r="G162" s="30" t="s">
        <v>11</v>
      </c>
      <c r="H162" s="30" t="s">
        <v>12</v>
      </c>
      <c r="I162" s="49" t="s">
        <v>12</v>
      </c>
      <c r="J162" s="271" t="s">
        <v>130</v>
      </c>
    </row>
    <row r="163" spans="1:10" ht="15.75" x14ac:dyDescent="0.25">
      <c r="A163" s="450" t="s">
        <v>223</v>
      </c>
      <c r="B163" s="453" t="s">
        <v>224</v>
      </c>
      <c r="C163" s="212" t="s">
        <v>114</v>
      </c>
      <c r="D163" s="215"/>
      <c r="E163" s="35"/>
      <c r="F163" s="218" t="str">
        <f>IF(E163="","",IF(E163&gt;=86,0,IF(E163&lt;=9,1,ROUND(IF(E163&gt;22,E163*'Reference Curves'!B$4+'Reference Curves'!B$5, IF(E163&gt;16, E163*'Reference Curves'!C$4+'Reference Curves'!C$5,E163*'Reference Curves'!$D$4+'Reference Curves'!$D$5)),2))))</f>
        <v/>
      </c>
      <c r="G163" s="456" t="str">
        <f>IFERROR(AVERAGE(F163:F165),"")</f>
        <v/>
      </c>
      <c r="H163" s="458" t="str">
        <f>IFERROR(ROUND(AVERAGE(G163:G169),2),"")</f>
        <v/>
      </c>
      <c r="I163" s="445" t="str">
        <f>IF(H163="","",IF(H163&gt;0.69,"Functioning",IF(H163&gt;0.29,"Functioning At Risk",IF(H163&gt;-1,"Not Functioning"))))</f>
        <v/>
      </c>
      <c r="J163" s="461" t="str">
        <f>IF(AND(H163="",H170="",H173="",H184="",H187=""),"",ROUND((IF(H163="",0,H163)*0.2)+(IF(H170="",0,H170)*0.2)+(IF(H173="",0,H173)*0.2)+(IF(H184="",0,H184)*0.2)+(IF(H187="",0,H187)*0.2),2))</f>
        <v/>
      </c>
    </row>
    <row r="164" spans="1:10" ht="15.75" x14ac:dyDescent="0.25">
      <c r="A164" s="451"/>
      <c r="B164" s="454"/>
      <c r="C164" s="213" t="s">
        <v>221</v>
      </c>
      <c r="D164" s="216"/>
      <c r="E164" s="34"/>
      <c r="F164" s="235" t="str">
        <f>IF(E164="","",IF(E164&gt;=33.5,0,IF(E164=0,1,ROUND(E164*'Reference Curves'!B$9+'Reference Curves'!B$10,2))))</f>
        <v/>
      </c>
      <c r="G164" s="457"/>
      <c r="H164" s="459"/>
      <c r="I164" s="446"/>
      <c r="J164" s="462"/>
    </row>
    <row r="165" spans="1:10" ht="15.75" x14ac:dyDescent="0.25">
      <c r="A165" s="451"/>
      <c r="B165" s="455"/>
      <c r="C165" s="214" t="s">
        <v>222</v>
      </c>
      <c r="D165" s="216"/>
      <c r="E165" s="36"/>
      <c r="F165" s="235" t="str">
        <f>IF(E165="","",IF(E165&gt;=61,0,IF(E165=0,1, ROUND(IF(E165&gt;35,E165*'Reference Curves'!B$15+'Reference Curves'!B$16,  E165*'Reference Curves'!C$15+'Reference Curves'!C$16),2))))</f>
        <v/>
      </c>
      <c r="G165" s="457"/>
      <c r="H165" s="459"/>
      <c r="I165" s="446"/>
      <c r="J165" s="462"/>
    </row>
    <row r="166" spans="1:10" ht="15.75" x14ac:dyDescent="0.25">
      <c r="A166" s="451"/>
      <c r="B166" s="464" t="s">
        <v>63</v>
      </c>
      <c r="C166" s="212" t="s">
        <v>114</v>
      </c>
      <c r="D166" s="215"/>
      <c r="E166" s="34"/>
      <c r="F166" s="218" t="str">
        <f>IF(E166="","",IF(E166&gt;=86,0,IF(E166&lt;=9,1,ROUND(IF(E166&gt;22,E166*'Reference Curves'!B$4+'Reference Curves'!B$5, IF(E166&gt;16, E166*'Reference Curves'!C$4+'Reference Curves'!C$5,E166*'Reference Curves'!$D$4+'Reference Curves'!$D$5)),2))))</f>
        <v/>
      </c>
      <c r="G166" s="456" t="str">
        <f>IFERROR(AVERAGE(F166:F169),"")</f>
        <v/>
      </c>
      <c r="H166" s="459"/>
      <c r="I166" s="446"/>
      <c r="J166" s="462"/>
    </row>
    <row r="167" spans="1:10" ht="15.75" x14ac:dyDescent="0.25">
      <c r="A167" s="451"/>
      <c r="B167" s="464"/>
      <c r="C167" s="213" t="s">
        <v>221</v>
      </c>
      <c r="D167" s="216"/>
      <c r="E167" s="34"/>
      <c r="F167" s="235" t="str">
        <f>IF(E167="","",IF(E167&gt;=33.5,0,IF(E167=0,1,ROUND(E167*'Reference Curves'!B$9+'Reference Curves'!B$10,2))))</f>
        <v/>
      </c>
      <c r="G167" s="457"/>
      <c r="H167" s="459"/>
      <c r="I167" s="446"/>
      <c r="J167" s="462"/>
    </row>
    <row r="168" spans="1:10" ht="15.75" x14ac:dyDescent="0.25">
      <c r="A168" s="451"/>
      <c r="B168" s="464"/>
      <c r="C168" s="213" t="s">
        <v>222</v>
      </c>
      <c r="D168" s="216"/>
      <c r="E168" s="34"/>
      <c r="F168" s="235" t="str">
        <f>IF(E168="","",IF(E168&gt;=61,0,IF(E168=0,1, ROUND(IF(E168&gt;35,E168*'Reference Curves'!B$15+'Reference Curves'!B$16,  E168*'Reference Curves'!C$15+'Reference Curves'!C$16),2))))</f>
        <v/>
      </c>
      <c r="G168" s="457"/>
      <c r="H168" s="459"/>
      <c r="I168" s="446"/>
      <c r="J168" s="462"/>
    </row>
    <row r="169" spans="1:10" ht="15.75" x14ac:dyDescent="0.25">
      <c r="A169" s="452"/>
      <c r="B169" s="465"/>
      <c r="C169" s="214" t="s">
        <v>225</v>
      </c>
      <c r="D169" s="217"/>
      <c r="E169" s="34"/>
      <c r="F169" s="236" t="str">
        <f>IF(E169="","",   IF(E169&gt;3.35,0, IF(E169&lt;0, "", ROUND('Reference Curves'!$B$20*E169+'Reference Curves'!$B$21,2))))</f>
        <v/>
      </c>
      <c r="G169" s="457"/>
      <c r="H169" s="460"/>
      <c r="I169" s="447"/>
      <c r="J169" s="462"/>
    </row>
    <row r="170" spans="1:10" ht="15.75" x14ac:dyDescent="0.25">
      <c r="A170" s="466" t="s">
        <v>226</v>
      </c>
      <c r="B170" s="469" t="s">
        <v>3</v>
      </c>
      <c r="C170" s="95" t="s">
        <v>227</v>
      </c>
      <c r="D170" s="13"/>
      <c r="E170" s="28"/>
      <c r="F170" s="121" t="str">
        <f>IF(E170="","", IF(E170&gt;1.71,0,IF(E170&lt;=1,1, ROUND(E170*'Reference Curves'!G$3+'Reference Curves'!G$4,2))))</f>
        <v/>
      </c>
      <c r="G170" s="471" t="str">
        <f>IFERROR(AVERAGE(F170:F171),"")</f>
        <v/>
      </c>
      <c r="H170" s="471" t="str">
        <f>IFERROR(ROUND(AVERAGE(G170:G172),2),"")</f>
        <v/>
      </c>
      <c r="I170" s="445" t="str">
        <f>IF(H170="","",IF(H170&gt;0.69,"Functioning",IF(H170&gt;0.29,"Functioning At Risk",IF(H170&gt;-1,"Not Functioning"))))</f>
        <v/>
      </c>
      <c r="J170" s="462"/>
    </row>
    <row r="171" spans="1:10" ht="15.75" x14ac:dyDescent="0.25">
      <c r="A171" s="467"/>
      <c r="B171" s="470"/>
      <c r="C171" s="97" t="s">
        <v>228</v>
      </c>
      <c r="D171" s="102"/>
      <c r="E171" s="33"/>
      <c r="F171" s="237" t="str">
        <f>IF(E171="","",IF(LEFT(D156,1)="B",IF(E171&lt;=1,0,IF(E171&gt;=2.2,1,ROUND(IF(E171&lt;1.4,E171*'Reference Curves'!$G$19+'Reference Curves'!$G$20,E171*'Reference Curves'!$H$19+'Reference Curves'!$H$20),2))),
IF(LEFT(D156,1)="C",IF(E171&lt;1.7,0,IF(E171&gt;=4.4,1,ROUND(IF(E171&gt;2.4,E171*'Reference Curves'!$H$9+'Reference Curves'!$H$10,E171*'Reference Curves'!$G$9+'Reference Curves'!$G$10),2))),
IF(LEFT(D156,1)="E",IF(E171&lt;1.7,0,IF(E171&gt;=6.5,1,ROUND(IF(E171&gt;2.4,E171*'Reference Curves'!$H$14+'Reference Curves'!$H$15,E171*'Reference Curves'!$G$14+'Reference Curves'!$G$15),2)))))))</f>
        <v/>
      </c>
      <c r="G171" s="472"/>
      <c r="H171" s="473"/>
      <c r="I171" s="446"/>
      <c r="J171" s="462"/>
    </row>
    <row r="172" spans="1:10" ht="15.75" x14ac:dyDescent="0.25">
      <c r="A172" s="468"/>
      <c r="B172" s="219" t="s">
        <v>229</v>
      </c>
      <c r="C172" s="96" t="s">
        <v>230</v>
      </c>
      <c r="D172" s="13"/>
      <c r="E172" s="32"/>
      <c r="F172" s="122" t="str">
        <f>IF(E172="","",IF(E172&gt;=180,0, IF(E172=100,1, ROUND(IF(E172&gt;100,E172*'Reference Curves'!$H$25+'Reference Curves'!$H$26, IF(E170&gt;1.2,IF(E172 &lt;=20,0, E172*'Reference Curves'!$G$25+'Reference Curves'!$G$26),1)),2))))</f>
        <v/>
      </c>
      <c r="G172" s="269" t="str">
        <f>IFERROR(AVERAGE(F172),"")</f>
        <v/>
      </c>
      <c r="H172" s="472"/>
      <c r="I172" s="447"/>
      <c r="J172" s="462"/>
    </row>
    <row r="173" spans="1:10" ht="15.75" x14ac:dyDescent="0.25">
      <c r="A173" s="474" t="s">
        <v>16</v>
      </c>
      <c r="B173" s="270" t="s">
        <v>231</v>
      </c>
      <c r="C173" s="220" t="s">
        <v>232</v>
      </c>
      <c r="D173" s="221"/>
      <c r="E173" s="46"/>
      <c r="F173" s="238" t="str">
        <f>IF(E173="","",IF(F157="Alaska Range",ROUND(IF(E173&lt;=0.05,0, IF(E173&gt;=6.3,1,IF(E173&lt;=1.5,'Reference Curves'!$K$5*E173+'Reference Curves'!$K$6, 'Reference Curves'!$L$5*E173+'Reference Curves'!$L$6))),2),
IF(F157="Brooks Range",ROUND(IF(E173&gt;=4.2,1,IF(E173&lt;0.03,0, IF(E173&lt;=1.2,'Reference Curves'!$M$5*E173+'Reference Curves'!$M$6, 'Reference Curves'!$N$5*E173+'Reference Curves'!$N$6))),2),
IF(OR(F157="Interior Bottomlands", F157="Yukon Flats"),ROUND(IF(E173&gt;=54.5,1,IF(E173&lt;=3.7,'Reference Curves'!$K$11*E173+'Reference Curves'!$K$12, IF(E173&lt;4.7,  'Reference Curves'!$L$11*E173+'Reference Curves'!$L$12,  'Reference Curves'!$M$11*E173+'Reference Curves'!$M$12))),2),
IF(OR(F157="Interior Forested Lowlands/Uplands",F157="Interior Highlands"),ROUND(IF(E173=0,0,IF(E173&gt;=24.1,1,IF(E173&lt;=1.3,'Reference Curves'!$N$11*E173+'Reference Curves'!$N$12, 'Reference Curves'!$O$11*E173+'Reference Curves'!$O$12))),2))))))</f>
        <v/>
      </c>
      <c r="G173" s="265" t="str">
        <f>IFERROR(AVERAGE(F173:F173),"")</f>
        <v/>
      </c>
      <c r="H173" s="476" t="str">
        <f>IFERROR(ROUND(AVERAGE(G173:G183),2),"")</f>
        <v/>
      </c>
      <c r="I173" s="479" t="str">
        <f>IF(H173="","",IF(H173&gt;0.69,"Functioning",IF(H173&gt;0.29,"Functioning At Risk",IF(H173&gt;-1,"Not Functioning"))))</f>
        <v/>
      </c>
      <c r="J173" s="462"/>
    </row>
    <row r="174" spans="1:10" ht="15.75" x14ac:dyDescent="0.25">
      <c r="A174" s="475"/>
      <c r="B174" s="475" t="s">
        <v>99</v>
      </c>
      <c r="C174" s="16" t="s">
        <v>37</v>
      </c>
      <c r="D174" s="100"/>
      <c r="E174" s="234"/>
      <c r="F174" s="123" t="str">
        <f>IF(E174="","",IF(OR(E174="Ex/Ex",E174="Ex/VH",E174="Ex/H",E174="Ex/M",E174="VH/Ex",E174="VH/VH", E174="H/Ex",E174="H/VH"),0,
IF(OR(E174="M/Ex"),0.1,
IF(OR(E174="VH/H",E174="VH/M",E174="H/H",E174="H/M", E174="M/VH"),0.2,
IF(OR(E174="Ex/VL",E174="Ex/L", E174="M/H"),0.3,
IF(OR(E174="VH/L",E174="H/L"),0.4,
IF(OR(E174="VH/VL",E174="H/VL",E174="M/M"),0.5,
IF(OR(E174="M/L",E174="L/Ex"),0.6,
IF(OR(E174="M/VL",E174="L/VH", E174="L/H",E174="L/M",E174="L/L",E174="L/VL", LEFT(E174,2)="VL"),1)))))))))</f>
        <v/>
      </c>
      <c r="G174" s="476" t="str">
        <f>IFERROR(IF(E176&gt;=50,0,AVERAGE(F174:F176)),"")</f>
        <v/>
      </c>
      <c r="H174" s="477"/>
      <c r="I174" s="480"/>
      <c r="J174" s="462"/>
    </row>
    <row r="175" spans="1:10" ht="15.75" x14ac:dyDescent="0.25">
      <c r="A175" s="475"/>
      <c r="B175" s="475"/>
      <c r="C175" s="98" t="s">
        <v>48</v>
      </c>
      <c r="D175" s="230"/>
      <c r="E175" s="32"/>
      <c r="F175" s="123" t="str">
        <f>IF(E175="","",ROUND(IF(E175&gt;=75,0,IF(E175&lt;=5,1,IF(E175&gt;10,E175*'Reference Curves'!K$17+'Reference Curves'!K$18,'Reference Curves'!$L$17*E175+'Reference Curves'!$L$18))),2))</f>
        <v/>
      </c>
      <c r="G175" s="477"/>
      <c r="H175" s="477"/>
      <c r="I175" s="480"/>
      <c r="J175" s="462"/>
    </row>
    <row r="176" spans="1:10" ht="15.75" x14ac:dyDescent="0.25">
      <c r="A176" s="475"/>
      <c r="B176" s="482"/>
      <c r="C176" s="99" t="s">
        <v>233</v>
      </c>
      <c r="D176" s="231"/>
      <c r="E176" s="33"/>
      <c r="F176" s="124" t="str">
        <f>IF(E176="","",IF(E176&gt;=30,0,ROUND(E176*'Reference Curves'!$K$22+'Reference Curves'!$K$23,2)))</f>
        <v/>
      </c>
      <c r="G176" s="478"/>
      <c r="H176" s="477"/>
      <c r="I176" s="480"/>
      <c r="J176" s="462"/>
    </row>
    <row r="177" spans="1:10" ht="15.75" x14ac:dyDescent="0.25">
      <c r="A177" s="475"/>
      <c r="B177" s="268" t="s">
        <v>234</v>
      </c>
      <c r="C177" s="17" t="s">
        <v>235</v>
      </c>
      <c r="D177" s="100"/>
      <c r="E177" s="33"/>
      <c r="F177" s="123" t="str">
        <f>IF(E177="","",IF(OR(D158="Cobble",D158="Boulders",D158="Bedrock"),ROUND(IF(E177&lt;=0,1,IF(E177&gt;=13.7,0, IF(E177&gt;5,E177*'Reference Curves'!$M$29+'Reference Curves'!$M$30,  E177*'Reference Curves'!$N$29+'Reference Curves'!$N$30))),2),
IF(D158="Gravel",ROUND(IF(E177&lt;=3,1,IF(E177&gt;=54,0, IF(E177&gt;15,E177*'Reference Curves'!$K$29+'Reference Curves'!$K$30,  E177*'Reference Curves'!$L$29+'Reference Curves'!$L$30))),2))))</f>
        <v/>
      </c>
      <c r="G177" s="265" t="str">
        <f>IFERROR(AVERAGE(F177:F177),"")</f>
        <v/>
      </c>
      <c r="H177" s="477"/>
      <c r="I177" s="480"/>
      <c r="J177" s="462"/>
    </row>
    <row r="178" spans="1:10" ht="15.75" x14ac:dyDescent="0.25">
      <c r="A178" s="475"/>
      <c r="B178" s="474" t="s">
        <v>39</v>
      </c>
      <c r="C178" s="14" t="s">
        <v>236</v>
      </c>
      <c r="D178" s="18"/>
      <c r="E178" s="35"/>
      <c r="F178" s="125" t="str">
        <f>IF(E178="","",IF(D156="Bc",IF(E178&gt;=12,0,IF(E178&lt;=3.4,1,ROUND('Reference Curves'!$K$39*E178+'Reference Curves'!$K$40,2))),
IF(OR(D156="B",D156="Ba"),IF(E178&gt;=6,0,IF(E178&lt;=2,1,ROUND(IF(E178&gt;3.9,'Reference Curves'!$K$35*E178+'Reference Curves'!$K$36,'Reference Curves'!$L$35*E178+'Reference Curves'!$L$36),2))),
IF(LEFT(D156,1)="C",IF(OR(E178&gt;=9.3,E178&lt;=3),0,IF(AND(E178&gt;=4,E178&lt;=6),1,ROUND(IF(E178&lt;4,'Reference Curves'!$K$49*E178+'Reference Curves'!$K$50,'Reference Curves'!$L$49*E178+'Reference Curves'!$L$50),2))),
IF(D156="E",IF(OR(E178&gt;=8.3,E178&lt;=1.8),0,IF(AND(E178&gt;=3.5,E178&lt;=5),1,ROUND(IF(E178&lt;3.5,'Reference Curves'!$K$44*E178+'Reference Curves'!$K$45,'Reference Curves'!$L$44*E178+'Reference Curves'!$L$45),2)))      )))))</f>
        <v/>
      </c>
      <c r="G178" s="483" t="str">
        <f>IFERROR(AVERAGE(F178:F180),"")</f>
        <v/>
      </c>
      <c r="H178" s="477"/>
      <c r="I178" s="480"/>
      <c r="J178" s="462"/>
    </row>
    <row r="179" spans="1:10" ht="15.75" x14ac:dyDescent="0.25">
      <c r="A179" s="475"/>
      <c r="B179" s="475"/>
      <c r="C179" s="16" t="s">
        <v>237</v>
      </c>
      <c r="D179" s="100"/>
      <c r="E179" s="34"/>
      <c r="F179" s="126" t="str">
        <f>IF(E179="","",ROUND(IF(E179&lt;=1,0, IF(OR(D156="B", D156="Ba"), IF(E179&gt;=2.8,1,IF(E179&gt;=1.8,'Reference Curves'!$L$56*E179+'Reference Curves'!$L$57,'Reference Curves'!$K$56*E179+'Reference Curves'!$K$57)),IF(E179&gt;=3.2,1,IF(E179&gt;=2.2,'Reference Curves'!$N$56*E179+'Reference Curves'!$N$57,'Reference Curves'!$M$56*E179+'Reference Curves'!$M$57)))),2))</f>
        <v/>
      </c>
      <c r="G179" s="484"/>
      <c r="H179" s="477"/>
      <c r="I179" s="480"/>
      <c r="J179" s="462"/>
    </row>
    <row r="180" spans="1:10" ht="15.75" x14ac:dyDescent="0.25">
      <c r="A180" s="475"/>
      <c r="B180" s="475"/>
      <c r="C180" s="16" t="s">
        <v>79</v>
      </c>
      <c r="D180" s="100"/>
      <c r="E180" s="34"/>
      <c r="F180" s="266" t="str">
        <f>IF(E180="","",IF(D157&gt;=3,IF(OR(E180&lt;=0,E180&gt;=100),0,IF(AND(E180&gt;=68,E180&lt;=85),1,IF(E180&lt;68,IF(E180&lt;62,ROUND(E180*'Reference Curves'!$K$69+'Reference Curves'!$K$70,2),ROUND(E180*'Reference Curves'!$L$69+'Reference Curves'!$L$70,2)),
IF(E180&gt;87,ROUND(E180*'Reference Curves'!$M$69+'Reference Curves'!$M$70,2),ROUND(E180*'Reference Curves'!$N$69+'Reference Curves'!$N$70,2))))),
IF(D157&lt;&gt;0,IF(OR(E180&lt;=0,E180&gt;=100),0,IF(AND(E180&lt;=60,E180&gt;=50),1,IF(E180&lt;50,IF(E180&lt;39,ROUND(E180*'Reference Curves'!$K$63+'Reference Curves'!$K$64,2),ROUND(E180*'Reference Curves'!$L$63+'Reference Curves'!$L$64,2)),
IF(E180&gt;69,ROUND(E180*'Reference Curves'!$M$63+'Reference Curves'!$M$64,2),ROUND(E180*'Reference Curves'!$N$63+'Reference Curves'!$N$64,2))))))))</f>
        <v/>
      </c>
      <c r="G180" s="484"/>
      <c r="H180" s="477"/>
      <c r="I180" s="480"/>
      <c r="J180" s="462"/>
    </row>
    <row r="181" spans="1:10" ht="15.75" x14ac:dyDescent="0.25">
      <c r="A181" s="475"/>
      <c r="B181" s="474" t="s">
        <v>38</v>
      </c>
      <c r="C181" s="14" t="s">
        <v>238</v>
      </c>
      <c r="D181" s="41"/>
      <c r="E181" s="15"/>
      <c r="F181" s="127" t="str">
        <f>IF( E181="","",
IF( F156="Unconfined Alluvial", IF( E181&gt;=100,1,
ROUND('Reference Curves'!$K$76*E181+'Reference Curves'!$K$77,2) ),
IF( OR(F156="Confined Alluvial", F156="Colluvial/V-Shaped"), ( IF(E181&gt;=100,1,
IF(E181&gt;=60, ROUND('Reference Curves'!$M$76*E181+'Reference Curves'!$M$77,2), ROUND('Reference Curves'!$L$76*E181+'Reference Curves'!$L$77,2) ) ) ) ) ) )</f>
        <v/>
      </c>
      <c r="G181" s="476" t="str">
        <f>IFERROR(AVERAGE(F181:F183),"")</f>
        <v/>
      </c>
      <c r="H181" s="477"/>
      <c r="I181" s="480"/>
      <c r="J181" s="462"/>
    </row>
    <row r="182" spans="1:10" ht="15.75" x14ac:dyDescent="0.25">
      <c r="A182" s="475"/>
      <c r="B182" s="475"/>
      <c r="C182" s="16" t="s">
        <v>202</v>
      </c>
      <c r="D182" s="57"/>
      <c r="E182" s="65"/>
      <c r="F182" s="126" t="str">
        <f>IF(E182="","",IF(OR(F157="Alaska Range",F157="Brooks Range"),ROUND(IF(E182&gt;=1.57,1,IF(E182&lt;=0.06,'Reference Curves'!$K$83*E182+'Reference Curves'!$K$84, IF(E182&lt;0.83, 'Reference Curves'!$L$83*E182+'Reference Curves'!$L$84, 'Reference Curves'!$M$83*E182+'Reference Curves'!$M$84))),2),
IF(F157="Interior Highlands",ROUND(IF(E182&gt;=1.67,1,IF(E182&lt;=0.94,'Reference Curves'!$N$83*E182+'Reference Curves'!$N$84, IF(E182&lt;1.21, 'Reference Curves'!$O$83*E182+'Reference Curves'!$O$84, 'Reference Curves'!$P$83*E182+'Reference Curves'!$P$84))),2),
IF(OR(F157="Interior Bottomlands",F157="Yukon Flats"),ROUND(IF(E182&gt;=1.82,1,IF(E182&lt;=1.19,'Reference Curves'!$K$89*E182+'Reference Curves'!$K$90, IF(E182&lt;1.37, 'Reference Curves'!$L$89*E182+'Reference Curves'!$L$90, 'Reference Curves'!$M$89*E182+'Reference Curves'!$M$90))),2),
IF(F157="Interior Forested Lowlands/Uplands",ROUND(IF(E182&gt;=1.87,1,IF(E182&lt;=1.24,'Reference Curves'!$N$89*E182+'Reference Curves'!$N$90, IF(E182&lt;1.45, 'Reference Curves'!$O$89*E182+'Reference Curves'!$O$90, 'Reference Curves'!$P$89*E182+'Reference Curves'!$P$90))),2))))))</f>
        <v/>
      </c>
      <c r="G182" s="477"/>
      <c r="H182" s="477"/>
      <c r="I182" s="480"/>
      <c r="J182" s="462"/>
    </row>
    <row r="183" spans="1:10" ht="15.75" x14ac:dyDescent="0.25">
      <c r="A183" s="475"/>
      <c r="B183" s="475"/>
      <c r="C183" s="16" t="s">
        <v>239</v>
      </c>
      <c r="D183" s="57"/>
      <c r="E183" s="65"/>
      <c r="F183" s="266" t="str">
        <f>IF(E183="","",IF(E183&lt;83.5,0,IF(E183&gt;=100,1,ROUND(E183*'Reference Curves'!$K$94+'Reference Curves'!$K$95,2))))</f>
        <v/>
      </c>
      <c r="G183" s="478"/>
      <c r="H183" s="478"/>
      <c r="I183" s="481"/>
      <c r="J183" s="462"/>
    </row>
    <row r="184" spans="1:10" ht="15.75" x14ac:dyDescent="0.25">
      <c r="A184" s="485" t="s">
        <v>41</v>
      </c>
      <c r="B184" s="223" t="s">
        <v>115</v>
      </c>
      <c r="C184" s="224" t="s">
        <v>340</v>
      </c>
      <c r="D184" s="225"/>
      <c r="E184" s="28"/>
      <c r="F184" s="232" t="str">
        <f>IF(E184="","", IF(E184&lt;=1.1,1, IF(E184 &gt;1.315,0, ROUND(E184*'Reference Curves'!R$3+'Reference Curves'!R$4,2))))</f>
        <v/>
      </c>
      <c r="G184" s="267" t="str">
        <f>IFERROR(AVERAGE(F184:F184),"")</f>
        <v/>
      </c>
      <c r="H184" s="488" t="str">
        <f>IFERROR(AVERAGE(G184:G186),"")</f>
        <v/>
      </c>
      <c r="I184" s="436" t="str">
        <f>IF(H184="","",IF(H184&gt;0.69,"Functioning",IF(H184&gt;0.29,"Functioning At Risk",IF(H184&gt;-1,"Not Functioning"))))</f>
        <v/>
      </c>
      <c r="J184" s="462"/>
    </row>
    <row r="185" spans="1:10" ht="15.75" x14ac:dyDescent="0.25">
      <c r="A185" s="486"/>
      <c r="B185" s="223" t="s">
        <v>240</v>
      </c>
      <c r="C185" s="224" t="s">
        <v>341</v>
      </c>
      <c r="D185" s="225"/>
      <c r="E185" s="46"/>
      <c r="F185" s="240" t="str">
        <f>IF(E185="","",ROUND( IF(E185&lt;=3,1, IF(E185&gt;=100,0,IF(E185&gt;10, E185*'Reference Curves'!$R$9+'Reference Curves'!$R$10,E185*'Reference Curves'!$S$9+'Reference Curves'!$S$10))),2))</f>
        <v/>
      </c>
      <c r="G185" s="232" t="str">
        <f>IFERROR(AVERAGE(F185),"")</f>
        <v/>
      </c>
      <c r="H185" s="489"/>
      <c r="I185" s="436"/>
      <c r="J185" s="462"/>
    </row>
    <row r="186" spans="1:10" ht="15.75" x14ac:dyDescent="0.25">
      <c r="A186" s="487"/>
      <c r="B186" s="223" t="s">
        <v>241</v>
      </c>
      <c r="C186" s="226" t="s">
        <v>355</v>
      </c>
      <c r="D186" s="227"/>
      <c r="E186" s="46"/>
      <c r="F186" s="232" t="str">
        <f>IF(E186="","", IF(E186&gt;=75,1, IF(E186 &lt;19,0, ROUND(E186*'Reference Curves'!R$14+'Reference Curves'!R$15,2))))</f>
        <v/>
      </c>
      <c r="G186" s="232" t="str">
        <f>IFERROR(AVERAGE(F186),"")</f>
        <v/>
      </c>
      <c r="H186" s="490"/>
      <c r="I186" s="436"/>
      <c r="J186" s="462"/>
    </row>
    <row r="187" spans="1:10" ht="15.75" x14ac:dyDescent="0.25">
      <c r="A187" s="437" t="s">
        <v>42</v>
      </c>
      <c r="B187" s="228" t="s">
        <v>80</v>
      </c>
      <c r="C187" s="229" t="s">
        <v>366</v>
      </c>
      <c r="D187" s="26"/>
      <c r="E187" s="28"/>
      <c r="F187" s="128" t="str">
        <f>IF(E187="","",ROUND( IF(E187&gt;=81,0, IF(E187&lt;=36,1,IF(E187&gt;62, E187*'Reference Curves'!$V$4+'Reference Curves'!$V$5,IF(E187&gt;43, E187*'Reference Curves'!$W$4+'Reference Curves'!$W$5,E187*'Reference Curves'!$X$4+'Reference Curves'!$X$5)))),2))</f>
        <v/>
      </c>
      <c r="G187" s="104" t="str">
        <f>IFERROR(AVERAGE(F187),"")</f>
        <v/>
      </c>
      <c r="H187" s="440" t="str">
        <f>IFERROR(ROUND(AVERAGE(G187:G190),2),"")</f>
        <v/>
      </c>
      <c r="I187" s="436" t="str">
        <f>IF(H187="","",IF(H187&gt;0.69,"Functioning",IF(H187&gt;0.29,"Functioning At Risk",IF(H187&gt;-1,"Not Functioning"))))</f>
        <v/>
      </c>
      <c r="J187" s="462"/>
    </row>
    <row r="188" spans="1:10" ht="15.75" x14ac:dyDescent="0.25">
      <c r="A188" s="438"/>
      <c r="B188" s="437" t="s">
        <v>45</v>
      </c>
      <c r="C188" s="229" t="s">
        <v>242</v>
      </c>
      <c r="D188" s="26"/>
      <c r="E188" s="35"/>
      <c r="F188" s="104" t="str">
        <f>IF(E188="","",IF(F158="Anadromous", IF(E188&lt;=0,0,IF(E188&gt;=100,1,ROUND(IF(E188&lt;80,E188*'Reference Curves'!$V$11+'Reference Curves'!$V$12,E188*'Reference Curves'!$W$11+'Reference Curves'!$W$12),2))),
IF(F158="Non-anadromous", IF(E188&lt;=0,0,IF(E188&gt;=100,1,ROUND(IF(E188&lt;60,E188*'Reference Curves'!$X$11+'Reference Curves'!$X$12,E188*'Reference Curves'!$Y$11+'Reference Curves'!$Y$12),2))))))</f>
        <v/>
      </c>
      <c r="G188" s="441" t="str">
        <f>IFERROR(AVERAGE(F188:F190),"")</f>
        <v/>
      </c>
      <c r="H188" s="440"/>
      <c r="I188" s="436"/>
      <c r="J188" s="462"/>
    </row>
    <row r="189" spans="1:10" ht="15.75" x14ac:dyDescent="0.25">
      <c r="A189" s="438"/>
      <c r="B189" s="438"/>
      <c r="C189" s="294" t="s">
        <v>322</v>
      </c>
      <c r="D189" s="295"/>
      <c r="E189" s="34"/>
      <c r="F189" s="104" t="str">
        <f>IF(E189="","", IF(E189&lt;=0,0,IF(E189&gt;=0.9,1,ROUND(E189*'Reference Curves'!$V$16+'Reference Curves'!$V$17,2))))</f>
        <v/>
      </c>
      <c r="G189" s="491"/>
      <c r="H189" s="440"/>
      <c r="I189" s="436"/>
      <c r="J189" s="462"/>
    </row>
    <row r="190" spans="1:10" ht="15.75" x14ac:dyDescent="0.25">
      <c r="A190" s="439"/>
      <c r="B190" s="439"/>
      <c r="C190" s="101" t="s">
        <v>243</v>
      </c>
      <c r="D190" s="103"/>
      <c r="E190" s="36"/>
      <c r="F190" s="128" t="str">
        <f>IF(E190="","", IF(E190&lt;=0,0,IF(E190&gt;=0.9,1,ROUND(E190*'Reference Curves'!$V$16+'Reference Curves'!$V$17,2))))</f>
        <v/>
      </c>
      <c r="G190" s="443"/>
      <c r="H190" s="440"/>
      <c r="I190" s="436"/>
      <c r="J190" s="463"/>
    </row>
    <row r="191" spans="1:10" ht="15.75" x14ac:dyDescent="0.25">
      <c r="A191" s="273"/>
      <c r="B191" s="273"/>
      <c r="C191" s="274"/>
      <c r="D191" s="274"/>
      <c r="E191" s="275"/>
      <c r="F191" s="276"/>
      <c r="G191" s="277"/>
      <c r="H191" s="277"/>
      <c r="I191" s="278"/>
      <c r="J191" s="272"/>
    </row>
    <row r="192" spans="1:10" x14ac:dyDescent="0.25">
      <c r="A192" s="3"/>
      <c r="B192" s="3"/>
      <c r="C192" s="3"/>
      <c r="D192" s="3"/>
      <c r="E192" s="3"/>
      <c r="F192" s="3"/>
      <c r="G192" s="3"/>
      <c r="H192" s="3"/>
      <c r="I192" s="279"/>
      <c r="J192" s="3"/>
    </row>
    <row r="193" spans="1:10" ht="21" x14ac:dyDescent="0.25">
      <c r="A193" s="495" t="s">
        <v>167</v>
      </c>
      <c r="B193" s="496"/>
      <c r="C193" s="496"/>
      <c r="D193" s="496"/>
      <c r="E193" s="496"/>
      <c r="F193" s="496"/>
      <c r="G193" s="496"/>
      <c r="H193" s="496"/>
      <c r="I193" s="496"/>
      <c r="J193" s="497"/>
    </row>
    <row r="194" spans="1:10" ht="15.75" x14ac:dyDescent="0.25">
      <c r="A194" s="115" t="s">
        <v>59</v>
      </c>
      <c r="B194" s="130" t="str">
        <f>IF('Project Assessment'!A15="","",'Project Assessment'!A15)</f>
        <v/>
      </c>
      <c r="C194" s="115" t="s">
        <v>168</v>
      </c>
      <c r="D194" s="130" t="str">
        <f>IF('Existing Conditions'!D194="","",'Existing Conditions'!D194)</f>
        <v/>
      </c>
      <c r="E194" s="250" t="s">
        <v>73</v>
      </c>
      <c r="F194" s="505" t="str">
        <f>IF('Existing Conditions'!F194="","",'Existing Conditions'!F194)</f>
        <v/>
      </c>
      <c r="G194" s="506" t="str">
        <f>IF('Existing Conditions'!G194="","",'Existing Conditions'!G194)</f>
        <v/>
      </c>
      <c r="H194" s="493" t="s">
        <v>102</v>
      </c>
      <c r="I194" s="494"/>
      <c r="J194" s="130">
        <f>'Existing Conditions'!J194</f>
        <v>0</v>
      </c>
    </row>
    <row r="195" spans="1:10" ht="15.75" x14ac:dyDescent="0.25">
      <c r="A195" s="134" t="s">
        <v>212</v>
      </c>
      <c r="B195" s="130" t="str">
        <f>IF('Project Assessment'!B15="","",'Project Assessment'!B15)</f>
        <v/>
      </c>
      <c r="C195" s="250" t="s">
        <v>359</v>
      </c>
      <c r="D195" s="130" t="str">
        <f>IF('Existing Conditions'!D195="","",'Existing Conditions'!D195)</f>
        <v/>
      </c>
      <c r="E195" s="250" t="s">
        <v>156</v>
      </c>
      <c r="F195" s="505" t="str">
        <f>IF('Existing Conditions'!F195="","",'Existing Conditions'!F195)</f>
        <v/>
      </c>
      <c r="G195" s="506" t="str">
        <f>IF('Existing Conditions'!G195="","",'Existing Conditions'!G195)</f>
        <v/>
      </c>
      <c r="H195" s="493" t="s">
        <v>103</v>
      </c>
      <c r="I195" s="494"/>
      <c r="J195" s="130">
        <f>'Existing Conditions'!J195</f>
        <v>0</v>
      </c>
    </row>
    <row r="196" spans="1:10" ht="15.75" x14ac:dyDescent="0.25">
      <c r="A196" s="119" t="s">
        <v>157</v>
      </c>
      <c r="B196" s="130" t="str">
        <f>IF('Project Assessment'!C15="","",'Project Assessment'!C15)</f>
        <v/>
      </c>
      <c r="C196" s="239" t="s">
        <v>360</v>
      </c>
      <c r="D196" s="130" t="str">
        <f>IF('Existing Conditions'!D196="","",'Existing Conditions'!D196)</f>
        <v/>
      </c>
      <c r="E196" s="250" t="s">
        <v>220</v>
      </c>
      <c r="F196" s="505" t="str">
        <f>IF('Existing Conditions'!F196="","",'Existing Conditions'!F196)</f>
        <v/>
      </c>
      <c r="G196" s="506" t="str">
        <f>IF('Existing Conditions'!G196="","",'Existing Conditions'!G196)</f>
        <v/>
      </c>
      <c r="H196" s="493" t="s">
        <v>104</v>
      </c>
      <c r="I196" s="494"/>
      <c r="J196" s="130">
        <f>'Existing Conditions'!J196</f>
        <v>0</v>
      </c>
    </row>
    <row r="197" spans="1:10" ht="15.75" x14ac:dyDescent="0.25">
      <c r="A197" s="499"/>
      <c r="B197" s="500"/>
      <c r="C197" s="233" t="s">
        <v>155</v>
      </c>
      <c r="D197" s="130" t="str">
        <f>IF('Existing Conditions'!D197="","",'Existing Conditions'!D197)</f>
        <v/>
      </c>
      <c r="E197" s="502"/>
      <c r="F197" s="503"/>
      <c r="G197" s="504"/>
      <c r="H197" s="493" t="s">
        <v>105</v>
      </c>
      <c r="I197" s="494"/>
      <c r="J197" s="130">
        <f>'Existing Conditions'!J197</f>
        <v>0</v>
      </c>
    </row>
    <row r="198" spans="1:10" ht="7.5" customHeight="1" x14ac:dyDescent="0.25">
      <c r="B198" s="50"/>
      <c r="C198" s="50"/>
      <c r="D198" s="50"/>
      <c r="E198" s="50"/>
      <c r="F198" s="50"/>
      <c r="G198" s="50"/>
      <c r="H198" s="50"/>
      <c r="I198" s="48"/>
      <c r="J198" s="9"/>
    </row>
    <row r="199" spans="1:10" ht="21" x14ac:dyDescent="0.35">
      <c r="A199" s="492" t="str">
        <f>_xlfn.CONCAT("PROPOSED CONDITION ASSESSMENT for Reach ",B194)</f>
        <v xml:space="preserve">PROPOSED CONDITION ASSESSMENT for Reach </v>
      </c>
      <c r="B199" s="492"/>
      <c r="C199" s="492"/>
      <c r="D199" s="492"/>
      <c r="E199" s="492"/>
      <c r="F199" s="492"/>
      <c r="G199" s="492" t="s">
        <v>10</v>
      </c>
      <c r="H199" s="492"/>
      <c r="I199" s="492"/>
      <c r="J199" s="492"/>
    </row>
    <row r="200" spans="1:10" ht="15.75" x14ac:dyDescent="0.25">
      <c r="A200" s="30" t="s">
        <v>1</v>
      </c>
      <c r="B200" s="30" t="s">
        <v>2</v>
      </c>
      <c r="C200" s="448" t="s">
        <v>316</v>
      </c>
      <c r="D200" s="501"/>
      <c r="E200" s="30" t="s">
        <v>8</v>
      </c>
      <c r="F200" s="29" t="s">
        <v>9</v>
      </c>
      <c r="G200" s="30" t="s">
        <v>11</v>
      </c>
      <c r="H200" s="30" t="s">
        <v>12</v>
      </c>
      <c r="I200" s="49" t="s">
        <v>12</v>
      </c>
      <c r="J200" s="271" t="s">
        <v>130</v>
      </c>
    </row>
    <row r="201" spans="1:10" ht="15.75" x14ac:dyDescent="0.25">
      <c r="A201" s="450" t="s">
        <v>223</v>
      </c>
      <c r="B201" s="453" t="s">
        <v>224</v>
      </c>
      <c r="C201" s="212" t="s">
        <v>114</v>
      </c>
      <c r="D201" s="215"/>
      <c r="E201" s="35"/>
      <c r="F201" s="218" t="str">
        <f>IF(E201="","",IF(E201&gt;=86,0,IF(E201&lt;=9,1,ROUND(IF(E201&gt;22,E201*'Reference Curves'!B$4+'Reference Curves'!B$5, IF(E201&gt;16, E201*'Reference Curves'!C$4+'Reference Curves'!C$5,E201*'Reference Curves'!$D$4+'Reference Curves'!$D$5)),2))))</f>
        <v/>
      </c>
      <c r="G201" s="456" t="str">
        <f>IFERROR(AVERAGE(F201:F203),"")</f>
        <v/>
      </c>
      <c r="H201" s="458" t="str">
        <f>IFERROR(ROUND(AVERAGE(G201:G207),2),"")</f>
        <v/>
      </c>
      <c r="I201" s="445" t="str">
        <f>IF(H201="","",IF(H201&gt;0.69,"Functioning",IF(H201&gt;0.29,"Functioning At Risk",IF(H201&gt;-1,"Not Functioning"))))</f>
        <v/>
      </c>
      <c r="J201" s="461" t="str">
        <f>IF(AND(H201="",H208="",H211="",H222="",H225=""),"",ROUND((IF(H201="",0,H201)*0.2)+(IF(H208="",0,H208)*0.2)+(IF(H211="",0,H211)*0.2)+(IF(H222="",0,H222)*0.2)+(IF(H225="",0,H225)*0.2),2))</f>
        <v/>
      </c>
    </row>
    <row r="202" spans="1:10" ht="15.75" x14ac:dyDescent="0.25">
      <c r="A202" s="451"/>
      <c r="B202" s="454"/>
      <c r="C202" s="213" t="s">
        <v>221</v>
      </c>
      <c r="D202" s="216"/>
      <c r="E202" s="34"/>
      <c r="F202" s="235" t="str">
        <f>IF(E202="","",IF(E202&gt;=33.5,0,IF(E202=0,1,ROUND(E202*'Reference Curves'!B$9+'Reference Curves'!B$10,2))))</f>
        <v/>
      </c>
      <c r="G202" s="457"/>
      <c r="H202" s="459"/>
      <c r="I202" s="446"/>
      <c r="J202" s="462"/>
    </row>
    <row r="203" spans="1:10" ht="15.75" x14ac:dyDescent="0.25">
      <c r="A203" s="451"/>
      <c r="B203" s="455"/>
      <c r="C203" s="214" t="s">
        <v>222</v>
      </c>
      <c r="D203" s="216"/>
      <c r="E203" s="36"/>
      <c r="F203" s="235" t="str">
        <f>IF(E203="","",IF(E203&gt;=61,0,IF(E203=0,1, ROUND(IF(E203&gt;35,E203*'Reference Curves'!B$15+'Reference Curves'!B$16,  E203*'Reference Curves'!C$15+'Reference Curves'!C$16),2))))</f>
        <v/>
      </c>
      <c r="G203" s="457"/>
      <c r="H203" s="459"/>
      <c r="I203" s="446"/>
      <c r="J203" s="462"/>
    </row>
    <row r="204" spans="1:10" ht="15.75" x14ac:dyDescent="0.25">
      <c r="A204" s="451"/>
      <c r="B204" s="464" t="s">
        <v>63</v>
      </c>
      <c r="C204" s="212" t="s">
        <v>114</v>
      </c>
      <c r="D204" s="215"/>
      <c r="E204" s="34"/>
      <c r="F204" s="218" t="str">
        <f>IF(E204="","",IF(E204&gt;=86,0,IF(E204&lt;=9,1,ROUND(IF(E204&gt;22,E204*'Reference Curves'!B$4+'Reference Curves'!B$5, IF(E204&gt;16, E204*'Reference Curves'!C$4+'Reference Curves'!C$5,E204*'Reference Curves'!$D$4+'Reference Curves'!$D$5)),2))))</f>
        <v/>
      </c>
      <c r="G204" s="456" t="str">
        <f>IFERROR(AVERAGE(F204:F207),"")</f>
        <v/>
      </c>
      <c r="H204" s="459"/>
      <c r="I204" s="446"/>
      <c r="J204" s="462"/>
    </row>
    <row r="205" spans="1:10" ht="15.75" x14ac:dyDescent="0.25">
      <c r="A205" s="451"/>
      <c r="B205" s="464"/>
      <c r="C205" s="213" t="s">
        <v>221</v>
      </c>
      <c r="D205" s="216"/>
      <c r="E205" s="34"/>
      <c r="F205" s="235" t="str">
        <f>IF(E205="","",IF(E205&gt;=33.5,0,IF(E205=0,1,ROUND(E205*'Reference Curves'!B$9+'Reference Curves'!B$10,2))))</f>
        <v/>
      </c>
      <c r="G205" s="457"/>
      <c r="H205" s="459"/>
      <c r="I205" s="446"/>
      <c r="J205" s="462"/>
    </row>
    <row r="206" spans="1:10" ht="15.75" x14ac:dyDescent="0.25">
      <c r="A206" s="451"/>
      <c r="B206" s="464"/>
      <c r="C206" s="213" t="s">
        <v>222</v>
      </c>
      <c r="D206" s="216"/>
      <c r="E206" s="34"/>
      <c r="F206" s="235" t="str">
        <f>IF(E206="","",IF(E206&gt;=61,0,IF(E206=0,1, ROUND(IF(E206&gt;35,E206*'Reference Curves'!B$15+'Reference Curves'!B$16,  E206*'Reference Curves'!C$15+'Reference Curves'!C$16),2))))</f>
        <v/>
      </c>
      <c r="G206" s="457"/>
      <c r="H206" s="459"/>
      <c r="I206" s="446"/>
      <c r="J206" s="462"/>
    </row>
    <row r="207" spans="1:10" ht="15.75" x14ac:dyDescent="0.25">
      <c r="A207" s="452"/>
      <c r="B207" s="465"/>
      <c r="C207" s="214" t="s">
        <v>225</v>
      </c>
      <c r="D207" s="217"/>
      <c r="E207" s="34"/>
      <c r="F207" s="236" t="str">
        <f>IF(E207="","",   IF(E207&gt;3.35,0, IF(E207&lt;0, "", ROUND('Reference Curves'!$B$20*E207+'Reference Curves'!$B$21,2))))</f>
        <v/>
      </c>
      <c r="G207" s="457"/>
      <c r="H207" s="460"/>
      <c r="I207" s="447"/>
      <c r="J207" s="462"/>
    </row>
    <row r="208" spans="1:10" ht="15.75" x14ac:dyDescent="0.25">
      <c r="A208" s="466" t="s">
        <v>226</v>
      </c>
      <c r="B208" s="469" t="s">
        <v>3</v>
      </c>
      <c r="C208" s="95" t="s">
        <v>227</v>
      </c>
      <c r="D208" s="13"/>
      <c r="E208" s="28"/>
      <c r="F208" s="121" t="str">
        <f>IF(E208="","", IF(E208&gt;1.71,0,IF(E208&lt;=1,1, ROUND(E208*'Reference Curves'!G$3+'Reference Curves'!G$4,2))))</f>
        <v/>
      </c>
      <c r="G208" s="471" t="str">
        <f>IFERROR(AVERAGE(F208:F209),"")</f>
        <v/>
      </c>
      <c r="H208" s="471" t="str">
        <f>IFERROR(ROUND(AVERAGE(G208:G210),2),"")</f>
        <v/>
      </c>
      <c r="I208" s="445" t="str">
        <f>IF(H208="","",IF(H208&gt;0.69,"Functioning",IF(H208&gt;0.29,"Functioning At Risk",IF(H208&gt;-1,"Not Functioning"))))</f>
        <v/>
      </c>
      <c r="J208" s="462"/>
    </row>
    <row r="209" spans="1:10" ht="15.75" x14ac:dyDescent="0.25">
      <c r="A209" s="467"/>
      <c r="B209" s="470"/>
      <c r="C209" s="97" t="s">
        <v>228</v>
      </c>
      <c r="D209" s="102"/>
      <c r="E209" s="33"/>
      <c r="F209" s="237" t="str">
        <f>IF(E209="","",IF(LEFT(D194,1)="B",IF(E209&lt;=1,0,IF(E209&gt;=2.2,1,ROUND(IF(E209&lt;1.4,E209*'Reference Curves'!$G$19+'Reference Curves'!$G$20,E209*'Reference Curves'!$H$19+'Reference Curves'!$H$20),2))),
IF(LEFT(D194,1)="C",IF(E209&lt;1.7,0,IF(E209&gt;=4.4,1,ROUND(IF(E209&gt;2.4,E209*'Reference Curves'!$H$9+'Reference Curves'!$H$10,E209*'Reference Curves'!$G$9+'Reference Curves'!$G$10),2))),
IF(LEFT(D194,1)="E",IF(E209&lt;1.7,0,IF(E209&gt;=6.5,1,ROUND(IF(E209&gt;2.4,E209*'Reference Curves'!$H$14+'Reference Curves'!$H$15,E209*'Reference Curves'!$G$14+'Reference Curves'!$G$15),2)))))))</f>
        <v/>
      </c>
      <c r="G209" s="472"/>
      <c r="H209" s="473"/>
      <c r="I209" s="446"/>
      <c r="J209" s="462"/>
    </row>
    <row r="210" spans="1:10" ht="15.75" x14ac:dyDescent="0.25">
      <c r="A210" s="468"/>
      <c r="B210" s="219" t="s">
        <v>229</v>
      </c>
      <c r="C210" s="96" t="s">
        <v>230</v>
      </c>
      <c r="D210" s="13"/>
      <c r="E210" s="32"/>
      <c r="F210" s="122" t="str">
        <f>IF(E210="","",IF(E210&gt;=180,0, IF(E210=100,1, ROUND(IF(E210&gt;100,E210*'Reference Curves'!$H$25+'Reference Curves'!$H$26, IF(E208&gt;1.2,IF(E210 &lt;=20,0, E210*'Reference Curves'!$G$25+'Reference Curves'!$G$26),1)),2))))</f>
        <v/>
      </c>
      <c r="G210" s="269" t="str">
        <f>IFERROR(AVERAGE(F210),"")</f>
        <v/>
      </c>
      <c r="H210" s="472"/>
      <c r="I210" s="447"/>
      <c r="J210" s="462"/>
    </row>
    <row r="211" spans="1:10" ht="15.75" x14ac:dyDescent="0.25">
      <c r="A211" s="474" t="s">
        <v>16</v>
      </c>
      <c r="B211" s="270" t="s">
        <v>231</v>
      </c>
      <c r="C211" s="220" t="s">
        <v>232</v>
      </c>
      <c r="D211" s="221"/>
      <c r="E211" s="46"/>
      <c r="F211" s="238" t="str">
        <f>IF(E211="","",IF(F195="Alaska Range",ROUND(IF(E211&lt;=0.05,0, IF(E211&gt;=6.3,1,IF(E211&lt;=1.5,'Reference Curves'!$K$5*E211+'Reference Curves'!$K$6, 'Reference Curves'!$L$5*E211+'Reference Curves'!$L$6))),2),
IF(F195="Brooks Range",ROUND(IF(E211&gt;=4.2,1,IF(E211&lt;0.03,0, IF(E211&lt;=1.2,'Reference Curves'!$M$5*E211+'Reference Curves'!$M$6, 'Reference Curves'!$N$5*E211+'Reference Curves'!$N$6))),2),
IF(OR(F195="Interior Bottomlands", F195="Yukon Flats"),ROUND(IF(E211&gt;=54.5,1,IF(E211&lt;=3.7,'Reference Curves'!$K$11*E211+'Reference Curves'!$K$12, IF(E211&lt;4.7,  'Reference Curves'!$L$11*E211+'Reference Curves'!$L$12,  'Reference Curves'!$M$11*E211+'Reference Curves'!$M$12))),2),
IF(OR(F195="Interior Forested Lowlands/Uplands",F195="Interior Highlands"),ROUND(IF(E211=0,0,IF(E211&gt;=24.1,1,IF(E211&lt;=1.3,'Reference Curves'!$N$11*E211+'Reference Curves'!$N$12, 'Reference Curves'!$O$11*E211+'Reference Curves'!$O$12))),2))))))</f>
        <v/>
      </c>
      <c r="G211" s="265" t="str">
        <f>IFERROR(AVERAGE(F211:F211),"")</f>
        <v/>
      </c>
      <c r="H211" s="476" t="str">
        <f>IFERROR(ROUND(AVERAGE(G211:G221),2),"")</f>
        <v/>
      </c>
      <c r="I211" s="479" t="str">
        <f>IF(H211="","",IF(H211&gt;0.69,"Functioning",IF(H211&gt;0.29,"Functioning At Risk",IF(H211&gt;-1,"Not Functioning"))))</f>
        <v/>
      </c>
      <c r="J211" s="462"/>
    </row>
    <row r="212" spans="1:10" ht="15.75" x14ac:dyDescent="0.25">
      <c r="A212" s="475"/>
      <c r="B212" s="475" t="s">
        <v>99</v>
      </c>
      <c r="C212" s="16" t="s">
        <v>37</v>
      </c>
      <c r="D212" s="100"/>
      <c r="E212" s="234"/>
      <c r="F212" s="123" t="str">
        <f>IF(E212="","",IF(OR(E212="Ex/Ex",E212="Ex/VH",E212="Ex/H",E212="Ex/M",E212="VH/Ex",E212="VH/VH", E212="H/Ex",E212="H/VH"),0,
IF(OR(E212="M/Ex"),0.1,
IF(OR(E212="VH/H",E212="VH/M",E212="H/H",E212="H/M", E212="M/VH"),0.2,
IF(OR(E212="Ex/VL",E212="Ex/L", E212="M/H"),0.3,
IF(OR(E212="VH/L",E212="H/L"),0.4,
IF(OR(E212="VH/VL",E212="H/VL",E212="M/M"),0.5,
IF(OR(E212="M/L",E212="L/Ex"),0.6,
IF(OR(E212="M/VL",E212="L/VH", E212="L/H",E212="L/M",E212="L/L",E212="L/VL", LEFT(E212,2)="VL"),1)))))))))</f>
        <v/>
      </c>
      <c r="G212" s="476" t="str">
        <f>IFERROR(IF(E214&gt;=50,0,AVERAGE(F212:F214)),"")</f>
        <v/>
      </c>
      <c r="H212" s="477"/>
      <c r="I212" s="480"/>
      <c r="J212" s="462"/>
    </row>
    <row r="213" spans="1:10" ht="15.75" x14ac:dyDescent="0.25">
      <c r="A213" s="475"/>
      <c r="B213" s="475"/>
      <c r="C213" s="98" t="s">
        <v>48</v>
      </c>
      <c r="D213" s="230"/>
      <c r="E213" s="32"/>
      <c r="F213" s="123" t="str">
        <f>IF(E213="","",ROUND(IF(E213&gt;=75,0,IF(E213&lt;=5,1,IF(E213&gt;10,E213*'Reference Curves'!K$17+'Reference Curves'!K$18,'Reference Curves'!$L$17*E213+'Reference Curves'!$L$18))),2))</f>
        <v/>
      </c>
      <c r="G213" s="477"/>
      <c r="H213" s="477"/>
      <c r="I213" s="480"/>
      <c r="J213" s="462"/>
    </row>
    <row r="214" spans="1:10" ht="15.75" x14ac:dyDescent="0.25">
      <c r="A214" s="475"/>
      <c r="B214" s="482"/>
      <c r="C214" s="99" t="s">
        <v>233</v>
      </c>
      <c r="D214" s="231"/>
      <c r="E214" s="33"/>
      <c r="F214" s="124" t="str">
        <f>IF(E214="","",IF(E214&gt;=30,0,ROUND(E214*'Reference Curves'!$K$22+'Reference Curves'!$K$23,2)))</f>
        <v/>
      </c>
      <c r="G214" s="478"/>
      <c r="H214" s="477"/>
      <c r="I214" s="480"/>
      <c r="J214" s="462"/>
    </row>
    <row r="215" spans="1:10" ht="15.75" x14ac:dyDescent="0.25">
      <c r="A215" s="475"/>
      <c r="B215" s="268" t="s">
        <v>234</v>
      </c>
      <c r="C215" s="17" t="s">
        <v>235</v>
      </c>
      <c r="D215" s="100"/>
      <c r="E215" s="33"/>
      <c r="F215" s="123" t="str">
        <f>IF(E215="","",IF(OR(D196="Cobble",D196="Boulders",D196="Bedrock"),ROUND(IF(E215&lt;=0,1,IF(E215&gt;=13.7,0, IF(E215&gt;5,E215*'Reference Curves'!$M$29+'Reference Curves'!$M$30,  E215*'Reference Curves'!$N$29+'Reference Curves'!$N$30))),2),
IF(D196="Gravel",ROUND(IF(E215&lt;=3,1,IF(E215&gt;=54,0, IF(E215&gt;15,E215*'Reference Curves'!$K$29+'Reference Curves'!$K$30,  E215*'Reference Curves'!$L$29+'Reference Curves'!$L$30))),2))))</f>
        <v/>
      </c>
      <c r="G215" s="265" t="str">
        <f>IFERROR(AVERAGE(F215:F215),"")</f>
        <v/>
      </c>
      <c r="H215" s="477"/>
      <c r="I215" s="480"/>
      <c r="J215" s="462"/>
    </row>
    <row r="216" spans="1:10" ht="15.75" x14ac:dyDescent="0.25">
      <c r="A216" s="475"/>
      <c r="B216" s="474" t="s">
        <v>39</v>
      </c>
      <c r="C216" s="14" t="s">
        <v>236</v>
      </c>
      <c r="D216" s="18"/>
      <c r="E216" s="35"/>
      <c r="F216" s="125" t="str">
        <f>IF(E216="","",IF(D194="Bc",IF(E216&gt;=12,0,IF(E216&lt;=3.4,1,ROUND('Reference Curves'!$K$39*E216+'Reference Curves'!$K$40,2))),
IF(OR(D194="B",D194="Ba"),IF(E216&gt;=6,0,IF(E216&lt;=2,1,ROUND(IF(E216&gt;3.9,'Reference Curves'!$K$35*E216+'Reference Curves'!$K$36,'Reference Curves'!$L$35*E216+'Reference Curves'!$L$36),2))),
IF(LEFT(D194,1)="C",IF(OR(E216&gt;=9.3,E216&lt;=3),0,IF(AND(E216&gt;=4,E216&lt;=6),1,ROUND(IF(E216&lt;4,'Reference Curves'!$K$49*E216+'Reference Curves'!$K$50,'Reference Curves'!$L$49*E216+'Reference Curves'!$L$50),2))),
IF(D194="E",IF(OR(E216&gt;=8.3,E216&lt;=1.8),0,IF(AND(E216&gt;=3.5,E216&lt;=5),1,ROUND(IF(E216&lt;3.5,'Reference Curves'!$K$44*E216+'Reference Curves'!$K$45,'Reference Curves'!$L$44*E216+'Reference Curves'!$L$45),2)))      )))))</f>
        <v/>
      </c>
      <c r="G216" s="483" t="str">
        <f>IFERROR(AVERAGE(F216:F218),"")</f>
        <v/>
      </c>
      <c r="H216" s="477"/>
      <c r="I216" s="480"/>
      <c r="J216" s="462"/>
    </row>
    <row r="217" spans="1:10" ht="15.75" x14ac:dyDescent="0.25">
      <c r="A217" s="475"/>
      <c r="B217" s="475"/>
      <c r="C217" s="16" t="s">
        <v>237</v>
      </c>
      <c r="D217" s="100"/>
      <c r="E217" s="34"/>
      <c r="F217" s="126" t="str">
        <f>IF(E217="","",ROUND(IF(E217&lt;=1,0, IF(OR(D194="B", D194="Ba"), IF(E217&gt;=2.8,1,IF(E217&gt;=1.8,'Reference Curves'!$L$56*E217+'Reference Curves'!$L$57,'Reference Curves'!$K$56*E217+'Reference Curves'!$K$57)),IF(E217&gt;=3.2,1,IF(E217&gt;=2.2,'Reference Curves'!$N$56*E217+'Reference Curves'!$N$57,'Reference Curves'!$M$56*E217+'Reference Curves'!$M$57)))),2))</f>
        <v/>
      </c>
      <c r="G217" s="484"/>
      <c r="H217" s="477"/>
      <c r="I217" s="480"/>
      <c r="J217" s="462"/>
    </row>
    <row r="218" spans="1:10" ht="15.75" x14ac:dyDescent="0.25">
      <c r="A218" s="475"/>
      <c r="B218" s="475"/>
      <c r="C218" s="16" t="s">
        <v>79</v>
      </c>
      <c r="D218" s="100"/>
      <c r="E218" s="34"/>
      <c r="F218" s="266" t="str">
        <f>IF(E218="","",IF(D195&gt;=3,IF(OR(E218&lt;=0,E218&gt;=100),0,IF(AND(E218&gt;=68,E218&lt;=85),1,IF(E218&lt;68,IF(E218&lt;62,ROUND(E218*'Reference Curves'!$K$69+'Reference Curves'!$K$70,2),ROUND(E218*'Reference Curves'!$L$69+'Reference Curves'!$L$70,2)),
IF(E218&gt;87,ROUND(E218*'Reference Curves'!$M$69+'Reference Curves'!$M$70,2),ROUND(E218*'Reference Curves'!$N$69+'Reference Curves'!$N$70,2))))),
IF(D195&lt;&gt;0,IF(OR(E218&lt;=0,E218&gt;=100),0,IF(AND(E218&lt;=60,E218&gt;=50),1,IF(E218&lt;50,IF(E218&lt;39,ROUND(E218*'Reference Curves'!$K$63+'Reference Curves'!$K$64,2),ROUND(E218*'Reference Curves'!$L$63+'Reference Curves'!$L$64,2)),
IF(E218&gt;69,ROUND(E218*'Reference Curves'!$M$63+'Reference Curves'!$M$64,2),ROUND(E218*'Reference Curves'!$N$63+'Reference Curves'!$N$64,2))))))))</f>
        <v/>
      </c>
      <c r="G218" s="484"/>
      <c r="H218" s="477"/>
      <c r="I218" s="480"/>
      <c r="J218" s="462"/>
    </row>
    <row r="219" spans="1:10" ht="15.75" x14ac:dyDescent="0.25">
      <c r="A219" s="475"/>
      <c r="B219" s="474" t="s">
        <v>38</v>
      </c>
      <c r="C219" s="14" t="s">
        <v>238</v>
      </c>
      <c r="D219" s="41"/>
      <c r="E219" s="15"/>
      <c r="F219" s="127" t="str">
        <f>IF( E219="","",
IF( F194="Unconfined Alluvial", IF( E219&gt;=100,1,
ROUND('Reference Curves'!$K$76*E219+'Reference Curves'!$K$77,2) ),
IF( OR(F194="Confined Alluvial", F194="Colluvial/V-Shaped"), ( IF(E219&gt;=100,1,
IF(E219&gt;=60, ROUND('Reference Curves'!$M$76*E219+'Reference Curves'!$M$77,2), ROUND('Reference Curves'!$L$76*E219+'Reference Curves'!$L$77,2) ) ) ) ) ) )</f>
        <v/>
      </c>
      <c r="G219" s="476" t="str">
        <f>IFERROR(AVERAGE(F219:F221),"")</f>
        <v/>
      </c>
      <c r="H219" s="477"/>
      <c r="I219" s="480"/>
      <c r="J219" s="462"/>
    </row>
    <row r="220" spans="1:10" ht="15.75" x14ac:dyDescent="0.25">
      <c r="A220" s="475"/>
      <c r="B220" s="475"/>
      <c r="C220" s="16" t="s">
        <v>202</v>
      </c>
      <c r="D220" s="57"/>
      <c r="E220" s="65"/>
      <c r="F220" s="126" t="str">
        <f>IF(E220="","",IF(OR(F195="Alaska Range",F195="Brooks Range"),ROUND(IF(E220&gt;=1.57,1,IF(E220&lt;=0.06,'Reference Curves'!$K$83*E220+'Reference Curves'!$K$84, IF(E220&lt;0.83, 'Reference Curves'!$L$83*E220+'Reference Curves'!$L$84, 'Reference Curves'!$M$83*E220+'Reference Curves'!$M$84))),2),
IF(F195="Interior Highlands",ROUND(IF(E220&gt;=1.67,1,IF(E220&lt;=0.94,'Reference Curves'!$N$83*E220+'Reference Curves'!$N$84, IF(E220&lt;1.21, 'Reference Curves'!$O$83*E220+'Reference Curves'!$O$84, 'Reference Curves'!$P$83*E220+'Reference Curves'!$P$84))),2),
IF(OR(F195="Interior Bottomlands",F195="Yukon Flats"),ROUND(IF(E220&gt;=1.82,1,IF(E220&lt;=1.19,'Reference Curves'!$K$89*E220+'Reference Curves'!$K$90, IF(E220&lt;1.37, 'Reference Curves'!$L$89*E220+'Reference Curves'!$L$90, 'Reference Curves'!$M$89*E220+'Reference Curves'!$M$90))),2),
IF(F195="Interior Forested Lowlands/Uplands",ROUND(IF(E220&gt;=1.87,1,IF(E220&lt;=1.24,'Reference Curves'!$N$89*E220+'Reference Curves'!$N$90, IF(E220&lt;1.45, 'Reference Curves'!$O$89*E220+'Reference Curves'!$O$90, 'Reference Curves'!$P$89*E220+'Reference Curves'!$P$90))),2))))))</f>
        <v/>
      </c>
      <c r="G220" s="477"/>
      <c r="H220" s="477"/>
      <c r="I220" s="480"/>
      <c r="J220" s="462"/>
    </row>
    <row r="221" spans="1:10" ht="15.75" x14ac:dyDescent="0.25">
      <c r="A221" s="475"/>
      <c r="B221" s="475"/>
      <c r="C221" s="16" t="s">
        <v>239</v>
      </c>
      <c r="D221" s="57"/>
      <c r="E221" s="65"/>
      <c r="F221" s="266" t="str">
        <f>IF(E221="","",IF(E221&lt;83.5,0,IF(E221&gt;=100,1,ROUND(E221*'Reference Curves'!$K$94+'Reference Curves'!$K$95,2))))</f>
        <v/>
      </c>
      <c r="G221" s="478"/>
      <c r="H221" s="478"/>
      <c r="I221" s="481"/>
      <c r="J221" s="462"/>
    </row>
    <row r="222" spans="1:10" ht="15.75" x14ac:dyDescent="0.25">
      <c r="A222" s="485" t="s">
        <v>41</v>
      </c>
      <c r="B222" s="223" t="s">
        <v>115</v>
      </c>
      <c r="C222" s="224" t="s">
        <v>340</v>
      </c>
      <c r="D222" s="225"/>
      <c r="E222" s="28"/>
      <c r="F222" s="232" t="str">
        <f>IF(E222="","", IF(E222&lt;=1.1,1, IF(E222 &gt;1.315,0, ROUND(E222*'Reference Curves'!R$3+'Reference Curves'!R$4,2))))</f>
        <v/>
      </c>
      <c r="G222" s="267" t="str">
        <f>IFERROR(AVERAGE(F222:F222),"")</f>
        <v/>
      </c>
      <c r="H222" s="488" t="str">
        <f>IFERROR(AVERAGE(G222:G224),"")</f>
        <v/>
      </c>
      <c r="I222" s="436" t="str">
        <f>IF(H222="","",IF(H222&gt;0.69,"Functioning",IF(H222&gt;0.29,"Functioning At Risk",IF(H222&gt;-1,"Not Functioning"))))</f>
        <v/>
      </c>
      <c r="J222" s="462"/>
    </row>
    <row r="223" spans="1:10" ht="15.75" x14ac:dyDescent="0.25">
      <c r="A223" s="486"/>
      <c r="B223" s="223" t="s">
        <v>240</v>
      </c>
      <c r="C223" s="224" t="s">
        <v>341</v>
      </c>
      <c r="D223" s="225"/>
      <c r="E223" s="46"/>
      <c r="F223" s="240" t="str">
        <f>IF(E223="","",ROUND( IF(E223&lt;=3,1, IF(E223&gt;=100,0,IF(E223&gt;10, E223*'Reference Curves'!$R$9+'Reference Curves'!$R$10,E223*'Reference Curves'!$S$9+'Reference Curves'!$S$10))),2))</f>
        <v/>
      </c>
      <c r="G223" s="232" t="str">
        <f>IFERROR(AVERAGE(F223),"")</f>
        <v/>
      </c>
      <c r="H223" s="489"/>
      <c r="I223" s="436"/>
      <c r="J223" s="462"/>
    </row>
    <row r="224" spans="1:10" ht="15.75" x14ac:dyDescent="0.25">
      <c r="A224" s="487"/>
      <c r="B224" s="223" t="s">
        <v>241</v>
      </c>
      <c r="C224" s="226" t="s">
        <v>355</v>
      </c>
      <c r="D224" s="227"/>
      <c r="E224" s="46"/>
      <c r="F224" s="232" t="str">
        <f>IF(E224="","", IF(E224&gt;=75,1, IF(E224 &lt;19,0, ROUND(E224*'Reference Curves'!R$14+'Reference Curves'!R$15,2))))</f>
        <v/>
      </c>
      <c r="G224" s="232" t="str">
        <f>IFERROR(AVERAGE(F224),"")</f>
        <v/>
      </c>
      <c r="H224" s="490"/>
      <c r="I224" s="436"/>
      <c r="J224" s="462"/>
    </row>
    <row r="225" spans="1:10" ht="15.75" x14ac:dyDescent="0.25">
      <c r="A225" s="437" t="s">
        <v>42</v>
      </c>
      <c r="B225" s="228" t="s">
        <v>80</v>
      </c>
      <c r="C225" s="229" t="s">
        <v>366</v>
      </c>
      <c r="D225" s="26"/>
      <c r="E225" s="28"/>
      <c r="F225" s="128" t="str">
        <f>IF(E225="","",ROUND( IF(E225&gt;=81,0, IF(E225&lt;=36,1,IF(E225&gt;62, E225*'Reference Curves'!$V$4+'Reference Curves'!$V$5,IF(E225&gt;43, E225*'Reference Curves'!$W$4+'Reference Curves'!$W$5,E225*'Reference Curves'!$X$4+'Reference Curves'!$X$5)))),2))</f>
        <v/>
      </c>
      <c r="G225" s="104" t="str">
        <f>IFERROR(AVERAGE(F225),"")</f>
        <v/>
      </c>
      <c r="H225" s="440" t="str">
        <f>IFERROR(ROUND(AVERAGE(G225:G228),2),"")</f>
        <v/>
      </c>
      <c r="I225" s="436" t="str">
        <f>IF(H225="","",IF(H225&gt;0.69,"Functioning",IF(H225&gt;0.29,"Functioning At Risk",IF(H225&gt;-1,"Not Functioning"))))</f>
        <v/>
      </c>
      <c r="J225" s="462"/>
    </row>
    <row r="226" spans="1:10" ht="15.75" x14ac:dyDescent="0.25">
      <c r="A226" s="438"/>
      <c r="B226" s="437" t="s">
        <v>45</v>
      </c>
      <c r="C226" s="229" t="s">
        <v>242</v>
      </c>
      <c r="D226" s="26"/>
      <c r="E226" s="35"/>
      <c r="F226" s="104" t="str">
        <f>IF(E226="","",IF(F196="Anadromous", IF(E226&lt;=0,0,IF(E226&gt;=100,1,ROUND(IF(E226&lt;80,E226*'Reference Curves'!$V$11+'Reference Curves'!$V$12,E226*'Reference Curves'!$W$11+'Reference Curves'!$W$12),2))),
IF(F196="Non-anadromous", IF(E226&lt;=0,0,IF(E226&gt;=100,1,ROUND(IF(E226&lt;60,E226*'Reference Curves'!$X$11+'Reference Curves'!$X$12,E226*'Reference Curves'!$Y$11+'Reference Curves'!$Y$12),2))))))</f>
        <v/>
      </c>
      <c r="G226" s="441" t="str">
        <f>IFERROR(AVERAGE(F226:F228),"")</f>
        <v/>
      </c>
      <c r="H226" s="440"/>
      <c r="I226" s="436"/>
      <c r="J226" s="462"/>
    </row>
    <row r="227" spans="1:10" ht="15.75" x14ac:dyDescent="0.25">
      <c r="A227" s="438"/>
      <c r="B227" s="438"/>
      <c r="C227" s="294" t="s">
        <v>322</v>
      </c>
      <c r="D227" s="295"/>
      <c r="E227" s="34"/>
      <c r="F227" s="104" t="str">
        <f>IF(E227="","", IF(E227&lt;=0,0,IF(E227&gt;=0.9,1,ROUND(E227*'Reference Curves'!$V$16+'Reference Curves'!$V$17,2))))</f>
        <v/>
      </c>
      <c r="G227" s="491"/>
      <c r="H227" s="440"/>
      <c r="I227" s="436"/>
      <c r="J227" s="462"/>
    </row>
    <row r="228" spans="1:10" ht="15.75" x14ac:dyDescent="0.25">
      <c r="A228" s="439"/>
      <c r="B228" s="439"/>
      <c r="C228" s="101" t="s">
        <v>243</v>
      </c>
      <c r="D228" s="103"/>
      <c r="E228" s="36"/>
      <c r="F228" s="128" t="str">
        <f>IF(E228="","", IF(E228&lt;=0,0,IF(E228&gt;=0.9,1,ROUND(E228*'Reference Curves'!$V$16+'Reference Curves'!$V$17,2))))</f>
        <v/>
      </c>
      <c r="G228" s="443"/>
      <c r="H228" s="440"/>
      <c r="I228" s="436"/>
      <c r="J228" s="463"/>
    </row>
    <row r="229" spans="1:10" x14ac:dyDescent="0.25">
      <c r="J229" s="3"/>
    </row>
    <row r="230" spans="1:10" x14ac:dyDescent="0.25">
      <c r="J230" s="3"/>
    </row>
    <row r="231" spans="1:10" ht="21" x14ac:dyDescent="0.25">
      <c r="A231" s="495" t="s">
        <v>167</v>
      </c>
      <c r="B231" s="496"/>
      <c r="C231" s="496"/>
      <c r="D231" s="496"/>
      <c r="E231" s="496"/>
      <c r="F231" s="496"/>
      <c r="G231" s="496"/>
      <c r="H231" s="496"/>
      <c r="I231" s="496"/>
      <c r="J231" s="497"/>
    </row>
    <row r="232" spans="1:10" ht="15.75" x14ac:dyDescent="0.25">
      <c r="A232" s="115" t="s">
        <v>59</v>
      </c>
      <c r="B232" s="130" t="str">
        <f>IF('Project Assessment'!A16="","",'Project Assessment'!A16)</f>
        <v/>
      </c>
      <c r="C232" s="115" t="s">
        <v>168</v>
      </c>
      <c r="D232" s="130" t="str">
        <f>IF('Existing Conditions'!D232="","",'Existing Conditions'!D232)</f>
        <v/>
      </c>
      <c r="E232" s="250" t="s">
        <v>73</v>
      </c>
      <c r="F232" s="505" t="str">
        <f>IF('Existing Conditions'!F232="","",'Existing Conditions'!F232)</f>
        <v/>
      </c>
      <c r="G232" s="506" t="str">
        <f>IF('Existing Conditions'!G232="","",'Existing Conditions'!G232)</f>
        <v/>
      </c>
      <c r="H232" s="493" t="s">
        <v>102</v>
      </c>
      <c r="I232" s="494"/>
      <c r="J232" s="130">
        <f>'Existing Conditions'!J232</f>
        <v>0</v>
      </c>
    </row>
    <row r="233" spans="1:10" ht="15.75" x14ac:dyDescent="0.25">
      <c r="A233" s="134" t="s">
        <v>212</v>
      </c>
      <c r="B233" s="130" t="str">
        <f>IF('Project Assessment'!B16="","",'Project Assessment'!B16)</f>
        <v/>
      </c>
      <c r="C233" s="250" t="s">
        <v>359</v>
      </c>
      <c r="D233" s="130" t="str">
        <f>IF('Existing Conditions'!D233="","",'Existing Conditions'!D233)</f>
        <v/>
      </c>
      <c r="E233" s="250" t="s">
        <v>156</v>
      </c>
      <c r="F233" s="505" t="str">
        <f>IF('Existing Conditions'!F233="","",'Existing Conditions'!F233)</f>
        <v/>
      </c>
      <c r="G233" s="506" t="str">
        <f>IF('Existing Conditions'!G233="","",'Existing Conditions'!G233)</f>
        <v/>
      </c>
      <c r="H233" s="493" t="s">
        <v>103</v>
      </c>
      <c r="I233" s="494"/>
      <c r="J233" s="130">
        <f>'Existing Conditions'!J233</f>
        <v>0</v>
      </c>
    </row>
    <row r="234" spans="1:10" ht="15.75" x14ac:dyDescent="0.25">
      <c r="A234" s="119" t="s">
        <v>157</v>
      </c>
      <c r="B234" s="130" t="str">
        <f>IF('Project Assessment'!C16="","",'Project Assessment'!C16)</f>
        <v/>
      </c>
      <c r="C234" s="239" t="s">
        <v>360</v>
      </c>
      <c r="D234" s="130" t="str">
        <f>IF('Existing Conditions'!D234="","",'Existing Conditions'!D234)</f>
        <v/>
      </c>
      <c r="E234" s="250" t="s">
        <v>220</v>
      </c>
      <c r="F234" s="505" t="str">
        <f>IF('Existing Conditions'!F234="","",'Existing Conditions'!F234)</f>
        <v/>
      </c>
      <c r="G234" s="506" t="str">
        <f>IF('Existing Conditions'!G234="","",'Existing Conditions'!G234)</f>
        <v/>
      </c>
      <c r="H234" s="493" t="s">
        <v>104</v>
      </c>
      <c r="I234" s="494"/>
      <c r="J234" s="130">
        <f>'Existing Conditions'!J234</f>
        <v>0</v>
      </c>
    </row>
    <row r="235" spans="1:10" ht="15.75" x14ac:dyDescent="0.25">
      <c r="A235" s="499"/>
      <c r="B235" s="500"/>
      <c r="C235" s="233" t="s">
        <v>155</v>
      </c>
      <c r="D235" s="130" t="str">
        <f>IF('Existing Conditions'!D235="","",'Existing Conditions'!D235)</f>
        <v/>
      </c>
      <c r="E235" s="502"/>
      <c r="F235" s="503"/>
      <c r="G235" s="504"/>
      <c r="H235" s="493" t="s">
        <v>105</v>
      </c>
      <c r="I235" s="494"/>
      <c r="J235" s="130">
        <f>'Existing Conditions'!J235</f>
        <v>0</v>
      </c>
    </row>
    <row r="236" spans="1:10" ht="7.5" customHeight="1" x14ac:dyDescent="0.25">
      <c r="B236" s="50"/>
      <c r="C236" s="50"/>
      <c r="D236" s="50"/>
      <c r="E236" s="50"/>
      <c r="F236" s="50"/>
      <c r="G236" s="50"/>
      <c r="H236" s="50"/>
      <c r="I236" s="48"/>
      <c r="J236" s="9"/>
    </row>
    <row r="237" spans="1:10" ht="21" x14ac:dyDescent="0.35">
      <c r="A237" s="492" t="str">
        <f>_xlfn.CONCAT("PROPOSED CONDITION ASSESSMENT for Reach ",B232)</f>
        <v xml:space="preserve">PROPOSED CONDITION ASSESSMENT for Reach </v>
      </c>
      <c r="B237" s="492"/>
      <c r="C237" s="492"/>
      <c r="D237" s="492"/>
      <c r="E237" s="492"/>
      <c r="F237" s="492"/>
      <c r="G237" s="492" t="s">
        <v>10</v>
      </c>
      <c r="H237" s="492"/>
      <c r="I237" s="492"/>
      <c r="J237" s="492"/>
    </row>
    <row r="238" spans="1:10" ht="15.75" x14ac:dyDescent="0.25">
      <c r="A238" s="30" t="s">
        <v>1</v>
      </c>
      <c r="B238" s="30" t="s">
        <v>2</v>
      </c>
      <c r="C238" s="448" t="s">
        <v>316</v>
      </c>
      <c r="D238" s="501"/>
      <c r="E238" s="30" t="s">
        <v>8</v>
      </c>
      <c r="F238" s="29" t="s">
        <v>9</v>
      </c>
      <c r="G238" s="30" t="s">
        <v>11</v>
      </c>
      <c r="H238" s="30" t="s">
        <v>12</v>
      </c>
      <c r="I238" s="49" t="s">
        <v>12</v>
      </c>
      <c r="J238" s="271" t="s">
        <v>130</v>
      </c>
    </row>
    <row r="239" spans="1:10" ht="15.75" x14ac:dyDescent="0.25">
      <c r="A239" s="450" t="s">
        <v>223</v>
      </c>
      <c r="B239" s="453" t="s">
        <v>224</v>
      </c>
      <c r="C239" s="212" t="s">
        <v>114</v>
      </c>
      <c r="D239" s="215"/>
      <c r="E239" s="35"/>
      <c r="F239" s="218" t="str">
        <f>IF(E239="","",IF(E239&gt;=86,0,IF(E239&lt;=9,1,ROUND(IF(E239&gt;22,E239*'Reference Curves'!B$4+'Reference Curves'!B$5, IF(E239&gt;16, E239*'Reference Curves'!C$4+'Reference Curves'!C$5,E239*'Reference Curves'!$D$4+'Reference Curves'!$D$5)),2))))</f>
        <v/>
      </c>
      <c r="G239" s="456" t="str">
        <f>IFERROR(AVERAGE(F239:F241),"")</f>
        <v/>
      </c>
      <c r="H239" s="458" t="str">
        <f>IFERROR(ROUND(AVERAGE(G239:G245),2),"")</f>
        <v/>
      </c>
      <c r="I239" s="445" t="str">
        <f>IF(H239="","",IF(H239&gt;0.69,"Functioning",IF(H239&gt;0.29,"Functioning At Risk",IF(H239&gt;-1,"Not Functioning"))))</f>
        <v/>
      </c>
      <c r="J239" s="461" t="str">
        <f>IF(AND(H239="",H246="",H249="",H260="",H263=""),"",ROUND((IF(H239="",0,H239)*0.2)+(IF(H246="",0,H246)*0.2)+(IF(H249="",0,H249)*0.2)+(IF(H260="",0,H260)*0.2)+(IF(H263="",0,H263)*0.2),2))</f>
        <v/>
      </c>
    </row>
    <row r="240" spans="1:10" ht="15.75" x14ac:dyDescent="0.25">
      <c r="A240" s="451"/>
      <c r="B240" s="454"/>
      <c r="C240" s="213" t="s">
        <v>221</v>
      </c>
      <c r="D240" s="216"/>
      <c r="E240" s="34"/>
      <c r="F240" s="235" t="str">
        <f>IF(E240="","",IF(E240&gt;=33.5,0,IF(E240=0,1,ROUND(E240*'Reference Curves'!B$9+'Reference Curves'!B$10,2))))</f>
        <v/>
      </c>
      <c r="G240" s="457"/>
      <c r="H240" s="459"/>
      <c r="I240" s="446"/>
      <c r="J240" s="462"/>
    </row>
    <row r="241" spans="1:10" ht="15.75" x14ac:dyDescent="0.25">
      <c r="A241" s="451"/>
      <c r="B241" s="455"/>
      <c r="C241" s="214" t="s">
        <v>222</v>
      </c>
      <c r="D241" s="216"/>
      <c r="E241" s="36"/>
      <c r="F241" s="235" t="str">
        <f>IF(E241="","",IF(E241&gt;=61,0,IF(E241=0,1, ROUND(IF(E241&gt;35,E241*'Reference Curves'!B$15+'Reference Curves'!B$16,  E241*'Reference Curves'!C$15+'Reference Curves'!C$16),2))))</f>
        <v/>
      </c>
      <c r="G241" s="457"/>
      <c r="H241" s="459"/>
      <c r="I241" s="446"/>
      <c r="J241" s="462"/>
    </row>
    <row r="242" spans="1:10" ht="15.75" x14ac:dyDescent="0.25">
      <c r="A242" s="451"/>
      <c r="B242" s="464" t="s">
        <v>63</v>
      </c>
      <c r="C242" s="212" t="s">
        <v>114</v>
      </c>
      <c r="D242" s="215"/>
      <c r="E242" s="34"/>
      <c r="F242" s="218" t="str">
        <f>IF(E242="","",IF(E242&gt;=86,0,IF(E242&lt;=9,1,ROUND(IF(E242&gt;22,E242*'Reference Curves'!B$4+'Reference Curves'!B$5, IF(E242&gt;16, E242*'Reference Curves'!C$4+'Reference Curves'!C$5,E242*'Reference Curves'!$D$4+'Reference Curves'!$D$5)),2))))</f>
        <v/>
      </c>
      <c r="G242" s="456" t="str">
        <f>IFERROR(AVERAGE(F242:F245),"")</f>
        <v/>
      </c>
      <c r="H242" s="459"/>
      <c r="I242" s="446"/>
      <c r="J242" s="462"/>
    </row>
    <row r="243" spans="1:10" ht="15.75" x14ac:dyDescent="0.25">
      <c r="A243" s="451"/>
      <c r="B243" s="464"/>
      <c r="C243" s="213" t="s">
        <v>221</v>
      </c>
      <c r="D243" s="216"/>
      <c r="E243" s="34"/>
      <c r="F243" s="235" t="str">
        <f>IF(E243="","",IF(E243&gt;=33.5,0,IF(E243=0,1,ROUND(E243*'Reference Curves'!B$9+'Reference Curves'!B$10,2))))</f>
        <v/>
      </c>
      <c r="G243" s="457"/>
      <c r="H243" s="459"/>
      <c r="I243" s="446"/>
      <c r="J243" s="462"/>
    </row>
    <row r="244" spans="1:10" ht="15.75" x14ac:dyDescent="0.25">
      <c r="A244" s="451"/>
      <c r="B244" s="464"/>
      <c r="C244" s="213" t="s">
        <v>222</v>
      </c>
      <c r="D244" s="216"/>
      <c r="E244" s="34"/>
      <c r="F244" s="235" t="str">
        <f>IF(E244="","",IF(E244&gt;=61,0,IF(E244=0,1, ROUND(IF(E244&gt;35,E244*'Reference Curves'!B$15+'Reference Curves'!B$16,  E244*'Reference Curves'!C$15+'Reference Curves'!C$16),2))))</f>
        <v/>
      </c>
      <c r="G244" s="457"/>
      <c r="H244" s="459"/>
      <c r="I244" s="446"/>
      <c r="J244" s="462"/>
    </row>
    <row r="245" spans="1:10" ht="15.75" x14ac:dyDescent="0.25">
      <c r="A245" s="452"/>
      <c r="B245" s="465"/>
      <c r="C245" s="214" t="s">
        <v>225</v>
      </c>
      <c r="D245" s="217"/>
      <c r="E245" s="34"/>
      <c r="F245" s="236" t="str">
        <f>IF(E245="","",   IF(E245&gt;3.35,0, IF(E245&lt;0, "", ROUND('Reference Curves'!$B$20*E245+'Reference Curves'!$B$21,2))))</f>
        <v/>
      </c>
      <c r="G245" s="457"/>
      <c r="H245" s="460"/>
      <c r="I245" s="447"/>
      <c r="J245" s="462"/>
    </row>
    <row r="246" spans="1:10" ht="15.75" x14ac:dyDescent="0.25">
      <c r="A246" s="466" t="s">
        <v>226</v>
      </c>
      <c r="B246" s="469" t="s">
        <v>3</v>
      </c>
      <c r="C246" s="95" t="s">
        <v>227</v>
      </c>
      <c r="D246" s="13"/>
      <c r="E246" s="28"/>
      <c r="F246" s="121" t="str">
        <f>IF(E246="","", IF(E246&gt;1.71,0,IF(E246&lt;=1,1, ROUND(E246*'Reference Curves'!G$3+'Reference Curves'!G$4,2))))</f>
        <v/>
      </c>
      <c r="G246" s="471" t="str">
        <f>IFERROR(AVERAGE(F246:F247),"")</f>
        <v/>
      </c>
      <c r="H246" s="471" t="str">
        <f>IFERROR(ROUND(AVERAGE(G246:G248),2),"")</f>
        <v/>
      </c>
      <c r="I246" s="445" t="str">
        <f>IF(H246="","",IF(H246&gt;0.69,"Functioning",IF(H246&gt;0.29,"Functioning At Risk",IF(H246&gt;-1,"Not Functioning"))))</f>
        <v/>
      </c>
      <c r="J246" s="462"/>
    </row>
    <row r="247" spans="1:10" ht="15.75" x14ac:dyDescent="0.25">
      <c r="A247" s="467"/>
      <c r="B247" s="470"/>
      <c r="C247" s="97" t="s">
        <v>228</v>
      </c>
      <c r="D247" s="102"/>
      <c r="E247" s="33"/>
      <c r="F247" s="237" t="str">
        <f>IF(E247="","",IF(LEFT(D232,1)="B",IF(E247&lt;=1,0,IF(E247&gt;=2.2,1,ROUND(IF(E247&lt;1.4,E247*'Reference Curves'!$G$19+'Reference Curves'!$G$20,E247*'Reference Curves'!$H$19+'Reference Curves'!$H$20),2))),
IF(LEFT(D232,1)="C",IF(E247&lt;1.7,0,IF(E247&gt;=4.4,1,ROUND(IF(E247&gt;2.4,E247*'Reference Curves'!$H$9+'Reference Curves'!$H$10,E247*'Reference Curves'!$G$9+'Reference Curves'!$G$10),2))),
IF(LEFT(D232,1)="E",IF(E247&lt;1.7,0,IF(E247&gt;=6.5,1,ROUND(IF(E247&gt;2.4,E247*'Reference Curves'!$H$14+'Reference Curves'!$H$15,E247*'Reference Curves'!$G$14+'Reference Curves'!$G$15),2)))))))</f>
        <v/>
      </c>
      <c r="G247" s="472"/>
      <c r="H247" s="473"/>
      <c r="I247" s="446"/>
      <c r="J247" s="462"/>
    </row>
    <row r="248" spans="1:10" ht="15.75" x14ac:dyDescent="0.25">
      <c r="A248" s="468"/>
      <c r="B248" s="219" t="s">
        <v>229</v>
      </c>
      <c r="C248" s="96" t="s">
        <v>230</v>
      </c>
      <c r="D248" s="13"/>
      <c r="E248" s="32"/>
      <c r="F248" s="122" t="str">
        <f>IF(E248="","",IF(E248&gt;=180,0, IF(E248=100,1, ROUND(IF(E248&gt;100,E248*'Reference Curves'!$H$25+'Reference Curves'!$H$26, IF(E246&gt;1.2,IF(E248 &lt;=20,0, E248*'Reference Curves'!$G$25+'Reference Curves'!$G$26),1)),2))))</f>
        <v/>
      </c>
      <c r="G248" s="269" t="str">
        <f>IFERROR(AVERAGE(F248),"")</f>
        <v/>
      </c>
      <c r="H248" s="472"/>
      <c r="I248" s="447"/>
      <c r="J248" s="462"/>
    </row>
    <row r="249" spans="1:10" ht="15.75" x14ac:dyDescent="0.25">
      <c r="A249" s="474" t="s">
        <v>16</v>
      </c>
      <c r="B249" s="270" t="s">
        <v>231</v>
      </c>
      <c r="C249" s="220" t="s">
        <v>232</v>
      </c>
      <c r="D249" s="221"/>
      <c r="E249" s="46"/>
      <c r="F249" s="238" t="str">
        <f>IF(E249="","",IF(F233="Alaska Range",ROUND(IF(E249&lt;=0.05,0, IF(E249&gt;=6.3,1,IF(E249&lt;=1.5,'Reference Curves'!$K$5*E249+'Reference Curves'!$K$6, 'Reference Curves'!$L$5*E249+'Reference Curves'!$L$6))),2),
IF(F233="Brooks Range",ROUND(IF(E249&gt;=4.2,1,IF(E249&lt;0.03,0, IF(E249&lt;=1.2,'Reference Curves'!$M$5*E249+'Reference Curves'!$M$6, 'Reference Curves'!$N$5*E249+'Reference Curves'!$N$6))),2),
IF(OR(F233="Interior Bottomlands", F233="Yukon Flats"),ROUND(IF(E249&gt;=54.5,1,IF(E249&lt;=3.7,'Reference Curves'!$K$11*E249+'Reference Curves'!$K$12, IF(E249&lt;4.7,  'Reference Curves'!$L$11*E249+'Reference Curves'!$L$12,  'Reference Curves'!$M$11*E249+'Reference Curves'!$M$12))),2),
IF(OR(F233="Interior Forested Lowlands/Uplands",F233="Interior Highlands"),ROUND(IF(E249=0,0,IF(E249&gt;=24.1,1,IF(E249&lt;=1.3,'Reference Curves'!$N$11*E249+'Reference Curves'!$N$12, 'Reference Curves'!$O$11*E249+'Reference Curves'!$O$12))),2))))))</f>
        <v/>
      </c>
      <c r="G249" s="265" t="str">
        <f>IFERROR(AVERAGE(F249:F249),"")</f>
        <v/>
      </c>
      <c r="H249" s="476" t="str">
        <f>IFERROR(ROUND(AVERAGE(G249:G259),2),"")</f>
        <v/>
      </c>
      <c r="I249" s="479" t="str">
        <f>IF(H249="","",IF(H249&gt;0.69,"Functioning",IF(H249&gt;0.29,"Functioning At Risk",IF(H249&gt;-1,"Not Functioning"))))</f>
        <v/>
      </c>
      <c r="J249" s="462"/>
    </row>
    <row r="250" spans="1:10" ht="15.75" x14ac:dyDescent="0.25">
      <c r="A250" s="475"/>
      <c r="B250" s="475" t="s">
        <v>99</v>
      </c>
      <c r="C250" s="16" t="s">
        <v>37</v>
      </c>
      <c r="D250" s="100"/>
      <c r="E250" s="234"/>
      <c r="F250" s="123" t="str">
        <f>IF(E250="","",IF(OR(E250="Ex/Ex",E250="Ex/VH",E250="Ex/H",E250="Ex/M",E250="VH/Ex",E250="VH/VH", E250="H/Ex",E250="H/VH"),0,
IF(OR(E250="M/Ex"),0.1,
IF(OR(E250="VH/H",E250="VH/M",E250="H/H",E250="H/M", E250="M/VH"),0.2,
IF(OR(E250="Ex/VL",E250="Ex/L", E250="M/H"),0.3,
IF(OR(E250="VH/L",E250="H/L"),0.4,
IF(OR(E250="VH/VL",E250="H/VL",E250="M/M"),0.5,
IF(OR(E250="M/L",E250="L/Ex"),0.6,
IF(OR(E250="M/VL",E250="L/VH", E250="L/H",E250="L/M",E250="L/L",E250="L/VL", LEFT(E250,2)="VL"),1)))))))))</f>
        <v/>
      </c>
      <c r="G250" s="476" t="str">
        <f>IFERROR(IF(E252&gt;=50,0,AVERAGE(F250:F252)),"")</f>
        <v/>
      </c>
      <c r="H250" s="477"/>
      <c r="I250" s="480"/>
      <c r="J250" s="462"/>
    </row>
    <row r="251" spans="1:10" ht="15.75" x14ac:dyDescent="0.25">
      <c r="A251" s="475"/>
      <c r="B251" s="475"/>
      <c r="C251" s="98" t="s">
        <v>48</v>
      </c>
      <c r="D251" s="230"/>
      <c r="E251" s="32"/>
      <c r="F251" s="123" t="str">
        <f>IF(E251="","",ROUND(IF(E251&gt;=75,0,IF(E251&lt;=5,1,IF(E251&gt;10,E251*'Reference Curves'!K$17+'Reference Curves'!K$18,'Reference Curves'!$L$17*E251+'Reference Curves'!$L$18))),2))</f>
        <v/>
      </c>
      <c r="G251" s="477"/>
      <c r="H251" s="477"/>
      <c r="I251" s="480"/>
      <c r="J251" s="462"/>
    </row>
    <row r="252" spans="1:10" ht="15.75" x14ac:dyDescent="0.25">
      <c r="A252" s="475"/>
      <c r="B252" s="482"/>
      <c r="C252" s="99" t="s">
        <v>233</v>
      </c>
      <c r="D252" s="231"/>
      <c r="E252" s="33"/>
      <c r="F252" s="124" t="str">
        <f>IF(E252="","",IF(E252&gt;=30,0,ROUND(E252*'Reference Curves'!$K$22+'Reference Curves'!$K$23,2)))</f>
        <v/>
      </c>
      <c r="G252" s="478"/>
      <c r="H252" s="477"/>
      <c r="I252" s="480"/>
      <c r="J252" s="462"/>
    </row>
    <row r="253" spans="1:10" ht="15.75" x14ac:dyDescent="0.25">
      <c r="A253" s="475"/>
      <c r="B253" s="268" t="s">
        <v>234</v>
      </c>
      <c r="C253" s="17" t="s">
        <v>235</v>
      </c>
      <c r="D253" s="100"/>
      <c r="E253" s="33"/>
      <c r="F253" s="123" t="str">
        <f>IF(E253="","",IF(OR(D234="Cobble",D234="Boulders",D234="Bedrock"),ROUND(IF(E253&lt;=0,1,IF(E253&gt;=13.7,0, IF(E253&gt;5,E253*'Reference Curves'!$M$29+'Reference Curves'!$M$30,  E253*'Reference Curves'!$N$29+'Reference Curves'!$N$30))),2),
IF(D234="Gravel",ROUND(IF(E253&lt;=3,1,IF(E253&gt;=54,0, IF(E253&gt;15,E253*'Reference Curves'!$K$29+'Reference Curves'!$K$30,  E253*'Reference Curves'!$L$29+'Reference Curves'!$L$30))),2))))</f>
        <v/>
      </c>
      <c r="G253" s="265" t="str">
        <f>IFERROR(AVERAGE(F253:F253),"")</f>
        <v/>
      </c>
      <c r="H253" s="477"/>
      <c r="I253" s="480"/>
      <c r="J253" s="462"/>
    </row>
    <row r="254" spans="1:10" ht="15.75" x14ac:dyDescent="0.25">
      <c r="A254" s="475"/>
      <c r="B254" s="474" t="s">
        <v>39</v>
      </c>
      <c r="C254" s="14" t="s">
        <v>236</v>
      </c>
      <c r="D254" s="18"/>
      <c r="E254" s="35"/>
      <c r="F254" s="125" t="str">
        <f>IF(E254="","",IF(D232="Bc",IF(E254&gt;=12,0,IF(E254&lt;=3.4,1,ROUND('Reference Curves'!$K$39*E254+'Reference Curves'!$K$40,2))),
IF(OR(D232="B",D232="Ba"),IF(E254&gt;=6,0,IF(E254&lt;=2,1,ROUND(IF(E254&gt;3.9,'Reference Curves'!$K$35*E254+'Reference Curves'!$K$36,'Reference Curves'!$L$35*E254+'Reference Curves'!$L$36),2))),
IF(LEFT(D232,1)="C",IF(OR(E254&gt;=9.3,E254&lt;=3),0,IF(AND(E254&gt;=4,E254&lt;=6),1,ROUND(IF(E254&lt;4,'Reference Curves'!$K$49*E254+'Reference Curves'!$K$50,'Reference Curves'!$L$49*E254+'Reference Curves'!$L$50),2))),
IF(D232="E",IF(OR(E254&gt;=8.3,E254&lt;=1.8),0,IF(AND(E254&gt;=3.5,E254&lt;=5),1,ROUND(IF(E254&lt;3.5,'Reference Curves'!$K$44*E254+'Reference Curves'!$K$45,'Reference Curves'!$L$44*E254+'Reference Curves'!$L$45),2)))      )))))</f>
        <v/>
      </c>
      <c r="G254" s="483" t="str">
        <f>IFERROR(AVERAGE(F254:F256),"")</f>
        <v/>
      </c>
      <c r="H254" s="477"/>
      <c r="I254" s="480"/>
      <c r="J254" s="462"/>
    </row>
    <row r="255" spans="1:10" ht="15.75" x14ac:dyDescent="0.25">
      <c r="A255" s="475"/>
      <c r="B255" s="475"/>
      <c r="C255" s="16" t="s">
        <v>237</v>
      </c>
      <c r="D255" s="100"/>
      <c r="E255" s="34"/>
      <c r="F255" s="126" t="str">
        <f>IF(E255="","",ROUND(IF(E255&lt;=1,0, IF(OR(D232="B", D232="Ba"), IF(E255&gt;=2.8,1,IF(E255&gt;=1.8,'Reference Curves'!$L$56*E255+'Reference Curves'!$L$57,'Reference Curves'!$K$56*E255+'Reference Curves'!$K$57)),IF(E255&gt;=3.2,1,IF(E255&gt;=2.2,'Reference Curves'!$N$56*E255+'Reference Curves'!$N$57,'Reference Curves'!$M$56*E255+'Reference Curves'!$M$57)))),2))</f>
        <v/>
      </c>
      <c r="G255" s="484"/>
      <c r="H255" s="477"/>
      <c r="I255" s="480"/>
      <c r="J255" s="462"/>
    </row>
    <row r="256" spans="1:10" ht="15.75" x14ac:dyDescent="0.25">
      <c r="A256" s="475"/>
      <c r="B256" s="475"/>
      <c r="C256" s="16" t="s">
        <v>79</v>
      </c>
      <c r="D256" s="100"/>
      <c r="E256" s="34"/>
      <c r="F256" s="266" t="str">
        <f>IF(E256="","",IF(D233&gt;=3,IF(OR(E256&lt;=0,E256&gt;=100),0,IF(AND(E256&gt;=68,E256&lt;=85),1,IF(E256&lt;68,IF(E256&lt;62,ROUND(E256*'Reference Curves'!$K$69+'Reference Curves'!$K$70,2),ROUND(E256*'Reference Curves'!$L$69+'Reference Curves'!$L$70,2)),
IF(E256&gt;87,ROUND(E256*'Reference Curves'!$M$69+'Reference Curves'!$M$70,2),ROUND(E256*'Reference Curves'!$N$69+'Reference Curves'!$N$70,2))))),
IF(D233&lt;&gt;0,IF(OR(E256&lt;=0,E256&gt;=100),0,IF(AND(E256&lt;=60,E256&gt;=50),1,IF(E256&lt;50,IF(E256&lt;39,ROUND(E256*'Reference Curves'!$K$63+'Reference Curves'!$K$64,2),ROUND(E256*'Reference Curves'!$L$63+'Reference Curves'!$L$64,2)),
IF(E256&gt;69,ROUND(E256*'Reference Curves'!$M$63+'Reference Curves'!$M$64,2),ROUND(E256*'Reference Curves'!$N$63+'Reference Curves'!$N$64,2))))))))</f>
        <v/>
      </c>
      <c r="G256" s="484"/>
      <c r="H256" s="477"/>
      <c r="I256" s="480"/>
      <c r="J256" s="462"/>
    </row>
    <row r="257" spans="1:10" ht="15.75" x14ac:dyDescent="0.25">
      <c r="A257" s="475"/>
      <c r="B257" s="474" t="s">
        <v>38</v>
      </c>
      <c r="C257" s="14" t="s">
        <v>238</v>
      </c>
      <c r="D257" s="41"/>
      <c r="E257" s="15"/>
      <c r="F257" s="127" t="str">
        <f>IF( E257="","",
IF( F232="Unconfined Alluvial", IF( E257&gt;=100,1,
ROUND('Reference Curves'!$K$76*E257+'Reference Curves'!$K$77,2) ),
IF( OR(F232="Confined Alluvial", F232="Colluvial/V-Shaped"), ( IF(E257&gt;=100,1,
IF(E257&gt;=60, ROUND('Reference Curves'!$M$76*E257+'Reference Curves'!$M$77,2), ROUND('Reference Curves'!$L$76*E257+'Reference Curves'!$L$77,2) ) ) ) ) ) )</f>
        <v/>
      </c>
      <c r="G257" s="476" t="str">
        <f>IFERROR(AVERAGE(F257:F259),"")</f>
        <v/>
      </c>
      <c r="H257" s="477"/>
      <c r="I257" s="480"/>
      <c r="J257" s="462"/>
    </row>
    <row r="258" spans="1:10" ht="15.75" x14ac:dyDescent="0.25">
      <c r="A258" s="475"/>
      <c r="B258" s="475"/>
      <c r="C258" s="16" t="s">
        <v>202</v>
      </c>
      <c r="D258" s="57"/>
      <c r="E258" s="65"/>
      <c r="F258" s="126" t="str">
        <f>IF(E258="","",IF(OR(F233="Alaska Range",F233="Brooks Range"),ROUND(IF(E258&gt;=1.57,1,IF(E258&lt;=0.06,'Reference Curves'!$K$83*E258+'Reference Curves'!$K$84, IF(E258&lt;0.83, 'Reference Curves'!$L$83*E258+'Reference Curves'!$L$84, 'Reference Curves'!$M$83*E258+'Reference Curves'!$M$84))),2),
IF(F233="Interior Highlands",ROUND(IF(E258&gt;=1.67,1,IF(E258&lt;=0.94,'Reference Curves'!$N$83*E258+'Reference Curves'!$N$84, IF(E258&lt;1.21, 'Reference Curves'!$O$83*E258+'Reference Curves'!$O$84, 'Reference Curves'!$P$83*E258+'Reference Curves'!$P$84))),2),
IF(OR(F233="Interior Bottomlands",F233="Yukon Flats"),ROUND(IF(E258&gt;=1.82,1,IF(E258&lt;=1.19,'Reference Curves'!$K$89*E258+'Reference Curves'!$K$90, IF(E258&lt;1.37, 'Reference Curves'!$L$89*E258+'Reference Curves'!$L$90, 'Reference Curves'!$M$89*E258+'Reference Curves'!$M$90))),2),
IF(F233="Interior Forested Lowlands/Uplands",ROUND(IF(E258&gt;=1.87,1,IF(E258&lt;=1.24,'Reference Curves'!$N$89*E258+'Reference Curves'!$N$90, IF(E258&lt;1.45, 'Reference Curves'!$O$89*E258+'Reference Curves'!$O$90, 'Reference Curves'!$P$89*E258+'Reference Curves'!$P$90))),2))))))</f>
        <v/>
      </c>
      <c r="G258" s="477"/>
      <c r="H258" s="477"/>
      <c r="I258" s="480"/>
      <c r="J258" s="462"/>
    </row>
    <row r="259" spans="1:10" ht="15.75" x14ac:dyDescent="0.25">
      <c r="A259" s="475"/>
      <c r="B259" s="475"/>
      <c r="C259" s="16" t="s">
        <v>239</v>
      </c>
      <c r="D259" s="57"/>
      <c r="E259" s="65"/>
      <c r="F259" s="266" t="str">
        <f>IF(E259="","",IF(E259&lt;83.5,0,IF(E259&gt;=100,1,ROUND(E259*'Reference Curves'!$K$94+'Reference Curves'!$K$95,2))))</f>
        <v/>
      </c>
      <c r="G259" s="478"/>
      <c r="H259" s="478"/>
      <c r="I259" s="481"/>
      <c r="J259" s="462"/>
    </row>
    <row r="260" spans="1:10" ht="15.75" x14ac:dyDescent="0.25">
      <c r="A260" s="485" t="s">
        <v>41</v>
      </c>
      <c r="B260" s="223" t="s">
        <v>115</v>
      </c>
      <c r="C260" s="224" t="s">
        <v>340</v>
      </c>
      <c r="D260" s="225"/>
      <c r="E260" s="28"/>
      <c r="F260" s="232" t="str">
        <f>IF(E260="","", IF(E260&lt;=1.1,1, IF(E260 &gt;1.315,0, ROUND(E260*'Reference Curves'!R$3+'Reference Curves'!R$4,2))))</f>
        <v/>
      </c>
      <c r="G260" s="267" t="str">
        <f>IFERROR(AVERAGE(F260:F260),"")</f>
        <v/>
      </c>
      <c r="H260" s="488" t="str">
        <f>IFERROR(AVERAGE(G260:G262),"")</f>
        <v/>
      </c>
      <c r="I260" s="436" t="str">
        <f>IF(H260="","",IF(H260&gt;0.69,"Functioning",IF(H260&gt;0.29,"Functioning At Risk",IF(H260&gt;-1,"Not Functioning"))))</f>
        <v/>
      </c>
      <c r="J260" s="462"/>
    </row>
    <row r="261" spans="1:10" ht="15.75" x14ac:dyDescent="0.25">
      <c r="A261" s="486"/>
      <c r="B261" s="223" t="s">
        <v>240</v>
      </c>
      <c r="C261" s="224" t="s">
        <v>341</v>
      </c>
      <c r="D261" s="225"/>
      <c r="E261" s="46"/>
      <c r="F261" s="240" t="str">
        <f>IF(E261="","",ROUND( IF(E261&lt;=3,1, IF(E261&gt;=100,0,IF(E261&gt;10, E261*'Reference Curves'!$R$9+'Reference Curves'!$R$10,E261*'Reference Curves'!$S$9+'Reference Curves'!$S$10))),2))</f>
        <v/>
      </c>
      <c r="G261" s="232" t="str">
        <f>IFERROR(AVERAGE(F261),"")</f>
        <v/>
      </c>
      <c r="H261" s="489"/>
      <c r="I261" s="436"/>
      <c r="J261" s="462"/>
    </row>
    <row r="262" spans="1:10" ht="15.75" x14ac:dyDescent="0.25">
      <c r="A262" s="487"/>
      <c r="B262" s="223" t="s">
        <v>241</v>
      </c>
      <c r="C262" s="226" t="s">
        <v>355</v>
      </c>
      <c r="D262" s="227"/>
      <c r="E262" s="46"/>
      <c r="F262" s="232" t="str">
        <f>IF(E262="","", IF(E262&gt;=75,1, IF(E262 &lt;19,0, ROUND(E262*'Reference Curves'!R$14+'Reference Curves'!R$15,2))))</f>
        <v/>
      </c>
      <c r="G262" s="232" t="str">
        <f>IFERROR(AVERAGE(F262),"")</f>
        <v/>
      </c>
      <c r="H262" s="490"/>
      <c r="I262" s="436"/>
      <c r="J262" s="462"/>
    </row>
    <row r="263" spans="1:10" ht="15.75" x14ac:dyDescent="0.25">
      <c r="A263" s="437" t="s">
        <v>42</v>
      </c>
      <c r="B263" s="228" t="s">
        <v>80</v>
      </c>
      <c r="C263" s="229" t="s">
        <v>366</v>
      </c>
      <c r="D263" s="26"/>
      <c r="E263" s="28"/>
      <c r="F263" s="128" t="str">
        <f>IF(E263="","",ROUND( IF(E263&gt;=81,0, IF(E263&lt;=36,1,IF(E263&gt;62, E263*'Reference Curves'!$V$4+'Reference Curves'!$V$5,IF(E263&gt;43, E263*'Reference Curves'!$W$4+'Reference Curves'!$W$5,E263*'Reference Curves'!$X$4+'Reference Curves'!$X$5)))),2))</f>
        <v/>
      </c>
      <c r="G263" s="104" t="str">
        <f>IFERROR(AVERAGE(F263),"")</f>
        <v/>
      </c>
      <c r="H263" s="440" t="str">
        <f>IFERROR(ROUND(AVERAGE(G263:G266),2),"")</f>
        <v/>
      </c>
      <c r="I263" s="436" t="str">
        <f>IF(H263="","",IF(H263&gt;0.69,"Functioning",IF(H263&gt;0.29,"Functioning At Risk",IF(H263&gt;-1,"Not Functioning"))))</f>
        <v/>
      </c>
      <c r="J263" s="462"/>
    </row>
    <row r="264" spans="1:10" ht="15.75" x14ac:dyDescent="0.25">
      <c r="A264" s="438"/>
      <c r="B264" s="437" t="s">
        <v>45</v>
      </c>
      <c r="C264" s="229" t="s">
        <v>242</v>
      </c>
      <c r="D264" s="26"/>
      <c r="E264" s="35"/>
      <c r="F264" s="104" t="str">
        <f>IF(E264="","",IF(F234="Anadromous", IF(E264&lt;=0,0,IF(E264&gt;=100,1,ROUND(IF(E264&lt;80,E264*'Reference Curves'!$V$11+'Reference Curves'!$V$12,E264*'Reference Curves'!$W$11+'Reference Curves'!$W$12),2))),
IF(F234="Non-anadromous", IF(E264&lt;=0,0,IF(E264&gt;=100,1,ROUND(IF(E264&lt;60,E264*'Reference Curves'!$X$11+'Reference Curves'!$X$12,E264*'Reference Curves'!$Y$11+'Reference Curves'!$Y$12),2))))))</f>
        <v/>
      </c>
      <c r="G264" s="441" t="str">
        <f>IFERROR(AVERAGE(F264:F266),"")</f>
        <v/>
      </c>
      <c r="H264" s="440"/>
      <c r="I264" s="436"/>
      <c r="J264" s="462"/>
    </row>
    <row r="265" spans="1:10" ht="15.75" x14ac:dyDescent="0.25">
      <c r="A265" s="438"/>
      <c r="B265" s="438"/>
      <c r="C265" s="294" t="s">
        <v>322</v>
      </c>
      <c r="D265" s="295"/>
      <c r="E265" s="34"/>
      <c r="F265" s="104" t="str">
        <f>IF(E265="","", IF(E265&lt;=0,0,IF(E265&gt;=0.9,1,ROUND(E265*'Reference Curves'!$V$16+'Reference Curves'!$V$17,2))))</f>
        <v/>
      </c>
      <c r="G265" s="491"/>
      <c r="H265" s="440"/>
      <c r="I265" s="436"/>
      <c r="J265" s="462"/>
    </row>
    <row r="266" spans="1:10" ht="15.75" x14ac:dyDescent="0.25">
      <c r="A266" s="439"/>
      <c r="B266" s="439"/>
      <c r="C266" s="101" t="s">
        <v>243</v>
      </c>
      <c r="D266" s="103"/>
      <c r="E266" s="36"/>
      <c r="F266" s="128" t="str">
        <f>IF(E266="","", IF(E266&lt;=0,0,IF(E266&gt;=0.9,1,ROUND(E266*'Reference Curves'!$V$16+'Reference Curves'!$V$17,2))))</f>
        <v/>
      </c>
      <c r="G266" s="443"/>
      <c r="H266" s="440"/>
      <c r="I266" s="436"/>
      <c r="J266" s="463"/>
    </row>
    <row r="267" spans="1:10" x14ac:dyDescent="0.25">
      <c r="J267" s="3"/>
    </row>
    <row r="268" spans="1:10" x14ac:dyDescent="0.25">
      <c r="J268" s="3"/>
    </row>
    <row r="269" spans="1:10" ht="21" x14ac:dyDescent="0.25">
      <c r="A269" s="495" t="s">
        <v>167</v>
      </c>
      <c r="B269" s="496"/>
      <c r="C269" s="496"/>
      <c r="D269" s="496"/>
      <c r="E269" s="496"/>
      <c r="F269" s="496"/>
      <c r="G269" s="496"/>
      <c r="H269" s="496"/>
      <c r="I269" s="496"/>
      <c r="J269" s="497"/>
    </row>
    <row r="270" spans="1:10" ht="15.75" x14ac:dyDescent="0.25">
      <c r="A270" s="115" t="s">
        <v>59</v>
      </c>
      <c r="B270" s="130" t="str">
        <f>IF('Project Assessment'!A17="","",'Project Assessment'!A17)</f>
        <v/>
      </c>
      <c r="C270" s="115" t="s">
        <v>168</v>
      </c>
      <c r="D270" s="130" t="str">
        <f>IF('Existing Conditions'!D270="","",'Existing Conditions'!D270)</f>
        <v/>
      </c>
      <c r="E270" s="250" t="s">
        <v>73</v>
      </c>
      <c r="F270" s="505" t="str">
        <f>IF('Existing Conditions'!F270="","",'Existing Conditions'!F270)</f>
        <v/>
      </c>
      <c r="G270" s="506" t="str">
        <f>IF('Existing Conditions'!G270="","",'Existing Conditions'!G270)</f>
        <v/>
      </c>
      <c r="H270" s="493" t="s">
        <v>102</v>
      </c>
      <c r="I270" s="494"/>
      <c r="J270" s="130">
        <f>'Existing Conditions'!J270</f>
        <v>0</v>
      </c>
    </row>
    <row r="271" spans="1:10" ht="15.75" x14ac:dyDescent="0.25">
      <c r="A271" s="134" t="s">
        <v>212</v>
      </c>
      <c r="B271" s="130" t="str">
        <f>IF('Project Assessment'!B17="","",'Project Assessment'!B17)</f>
        <v/>
      </c>
      <c r="C271" s="250" t="s">
        <v>359</v>
      </c>
      <c r="D271" s="130" t="str">
        <f>IF('Existing Conditions'!D271="","",'Existing Conditions'!D271)</f>
        <v/>
      </c>
      <c r="E271" s="250" t="s">
        <v>156</v>
      </c>
      <c r="F271" s="505" t="str">
        <f>IF('Existing Conditions'!F271="","",'Existing Conditions'!F271)</f>
        <v/>
      </c>
      <c r="G271" s="506" t="str">
        <f>IF('Existing Conditions'!G271="","",'Existing Conditions'!G271)</f>
        <v/>
      </c>
      <c r="H271" s="493" t="s">
        <v>103</v>
      </c>
      <c r="I271" s="494"/>
      <c r="J271" s="130">
        <f>'Existing Conditions'!J271</f>
        <v>0</v>
      </c>
    </row>
    <row r="272" spans="1:10" ht="15.75" x14ac:dyDescent="0.25">
      <c r="A272" s="119" t="s">
        <v>157</v>
      </c>
      <c r="B272" s="130" t="str">
        <f>IF('Project Assessment'!C17="","",'Project Assessment'!C17)</f>
        <v/>
      </c>
      <c r="C272" s="239" t="s">
        <v>360</v>
      </c>
      <c r="D272" s="130" t="str">
        <f>IF('Existing Conditions'!D272="","",'Existing Conditions'!D272)</f>
        <v/>
      </c>
      <c r="E272" s="250" t="s">
        <v>220</v>
      </c>
      <c r="F272" s="505" t="str">
        <f>IF('Existing Conditions'!F272="","",'Existing Conditions'!F272)</f>
        <v/>
      </c>
      <c r="G272" s="506" t="str">
        <f>IF('Existing Conditions'!G272="","",'Existing Conditions'!G272)</f>
        <v/>
      </c>
      <c r="H272" s="493" t="s">
        <v>104</v>
      </c>
      <c r="I272" s="494"/>
      <c r="J272" s="130">
        <f>'Existing Conditions'!J272</f>
        <v>0</v>
      </c>
    </row>
    <row r="273" spans="1:10" ht="15.75" x14ac:dyDescent="0.25">
      <c r="A273" s="499"/>
      <c r="B273" s="500"/>
      <c r="C273" s="233" t="s">
        <v>155</v>
      </c>
      <c r="D273" s="130" t="str">
        <f>IF('Existing Conditions'!D273="","",'Existing Conditions'!D273)</f>
        <v/>
      </c>
      <c r="E273" s="502"/>
      <c r="F273" s="503"/>
      <c r="G273" s="504"/>
      <c r="H273" s="493" t="s">
        <v>105</v>
      </c>
      <c r="I273" s="494"/>
      <c r="J273" s="130">
        <f>'Existing Conditions'!J273</f>
        <v>0</v>
      </c>
    </row>
    <row r="274" spans="1:10" ht="8.25" customHeight="1" x14ac:dyDescent="0.25">
      <c r="B274" s="50"/>
      <c r="C274" s="50"/>
      <c r="D274" s="50"/>
      <c r="E274" s="50"/>
      <c r="F274" s="50"/>
      <c r="G274" s="50"/>
      <c r="H274" s="50"/>
      <c r="I274" s="48"/>
      <c r="J274" s="9"/>
    </row>
    <row r="275" spans="1:10" ht="21" x14ac:dyDescent="0.35">
      <c r="A275" s="492" t="str">
        <f>_xlfn.CONCAT("PROPOSED CONDITION ASSESSMENT for Reach ",B270)</f>
        <v xml:space="preserve">PROPOSED CONDITION ASSESSMENT for Reach </v>
      </c>
      <c r="B275" s="492"/>
      <c r="C275" s="492"/>
      <c r="D275" s="492"/>
      <c r="E275" s="492"/>
      <c r="F275" s="492"/>
      <c r="G275" s="492" t="s">
        <v>10</v>
      </c>
      <c r="H275" s="492"/>
      <c r="I275" s="492"/>
      <c r="J275" s="492"/>
    </row>
    <row r="276" spans="1:10" ht="15.75" x14ac:dyDescent="0.25">
      <c r="A276" s="30" t="s">
        <v>1</v>
      </c>
      <c r="B276" s="30" t="s">
        <v>2</v>
      </c>
      <c r="C276" s="448" t="s">
        <v>316</v>
      </c>
      <c r="D276" s="501"/>
      <c r="E276" s="30" t="s">
        <v>8</v>
      </c>
      <c r="F276" s="29" t="s">
        <v>9</v>
      </c>
      <c r="G276" s="30" t="s">
        <v>11</v>
      </c>
      <c r="H276" s="30" t="s">
        <v>12</v>
      </c>
      <c r="I276" s="49" t="s">
        <v>12</v>
      </c>
      <c r="J276" s="271" t="s">
        <v>130</v>
      </c>
    </row>
    <row r="277" spans="1:10" ht="15.75" x14ac:dyDescent="0.25">
      <c r="A277" s="450" t="s">
        <v>223</v>
      </c>
      <c r="B277" s="453" t="s">
        <v>224</v>
      </c>
      <c r="C277" s="212" t="s">
        <v>114</v>
      </c>
      <c r="D277" s="215"/>
      <c r="E277" s="35"/>
      <c r="F277" s="218" t="str">
        <f>IF(E277="","",IF(E277&gt;=86,0,IF(E277&lt;=9,1,ROUND(IF(E277&gt;22,E277*'Reference Curves'!B$4+'Reference Curves'!B$5, IF(E277&gt;16, E277*'Reference Curves'!C$4+'Reference Curves'!C$5,E277*'Reference Curves'!$D$4+'Reference Curves'!$D$5)),2))))</f>
        <v/>
      </c>
      <c r="G277" s="456" t="str">
        <f>IFERROR(AVERAGE(F277:F279),"")</f>
        <v/>
      </c>
      <c r="H277" s="458" t="str">
        <f>IFERROR(ROUND(AVERAGE(G277:G283),2),"")</f>
        <v/>
      </c>
      <c r="I277" s="445" t="str">
        <f>IF(H277="","",IF(H277&gt;0.69,"Functioning",IF(H277&gt;0.29,"Functioning At Risk",IF(H277&gt;-1,"Not Functioning"))))</f>
        <v/>
      </c>
      <c r="J277" s="461" t="str">
        <f>IF(AND(H277="",H284="",H287="",H298="",H301=""),"",ROUND((IF(H277="",0,H277)*0.2)+(IF(H284="",0,H284)*0.2)+(IF(H287="",0,H287)*0.2)+(IF(H298="",0,H298)*0.2)+(IF(H301="",0,H301)*0.2),2))</f>
        <v/>
      </c>
    </row>
    <row r="278" spans="1:10" ht="15.75" x14ac:dyDescent="0.25">
      <c r="A278" s="451"/>
      <c r="B278" s="454"/>
      <c r="C278" s="213" t="s">
        <v>221</v>
      </c>
      <c r="D278" s="216"/>
      <c r="E278" s="34"/>
      <c r="F278" s="235" t="str">
        <f>IF(E278="","",IF(E278&gt;=33.5,0,IF(E278=0,1,ROUND(E278*'Reference Curves'!B$9+'Reference Curves'!B$10,2))))</f>
        <v/>
      </c>
      <c r="G278" s="457"/>
      <c r="H278" s="459"/>
      <c r="I278" s="446"/>
      <c r="J278" s="462"/>
    </row>
    <row r="279" spans="1:10" ht="15.75" x14ac:dyDescent="0.25">
      <c r="A279" s="451"/>
      <c r="B279" s="455"/>
      <c r="C279" s="214" t="s">
        <v>222</v>
      </c>
      <c r="D279" s="216"/>
      <c r="E279" s="36"/>
      <c r="F279" s="235" t="str">
        <f>IF(E279="","",IF(E279&gt;=61,0,IF(E279=0,1, ROUND(IF(E279&gt;35,E279*'Reference Curves'!B$15+'Reference Curves'!B$16,  E279*'Reference Curves'!C$15+'Reference Curves'!C$16),2))))</f>
        <v/>
      </c>
      <c r="G279" s="457"/>
      <c r="H279" s="459"/>
      <c r="I279" s="446"/>
      <c r="J279" s="462"/>
    </row>
    <row r="280" spans="1:10" ht="15.75" x14ac:dyDescent="0.25">
      <c r="A280" s="451"/>
      <c r="B280" s="464" t="s">
        <v>63</v>
      </c>
      <c r="C280" s="212" t="s">
        <v>114</v>
      </c>
      <c r="D280" s="215"/>
      <c r="E280" s="34"/>
      <c r="F280" s="218" t="str">
        <f>IF(E280="","",IF(E280&gt;=86,0,IF(E280&lt;=9,1,ROUND(IF(E280&gt;22,E280*'Reference Curves'!B$4+'Reference Curves'!B$5, IF(E280&gt;16, E280*'Reference Curves'!C$4+'Reference Curves'!C$5,E280*'Reference Curves'!$D$4+'Reference Curves'!$D$5)),2))))</f>
        <v/>
      </c>
      <c r="G280" s="456" t="str">
        <f>IFERROR(AVERAGE(F280:F283),"")</f>
        <v/>
      </c>
      <c r="H280" s="459"/>
      <c r="I280" s="446"/>
      <c r="J280" s="462"/>
    </row>
    <row r="281" spans="1:10" ht="15.75" x14ac:dyDescent="0.25">
      <c r="A281" s="451"/>
      <c r="B281" s="464"/>
      <c r="C281" s="213" t="s">
        <v>221</v>
      </c>
      <c r="D281" s="216"/>
      <c r="E281" s="34"/>
      <c r="F281" s="235" t="str">
        <f>IF(E281="","",IF(E281&gt;=33.5,0,IF(E281=0,1,ROUND(E281*'Reference Curves'!B$9+'Reference Curves'!B$10,2))))</f>
        <v/>
      </c>
      <c r="G281" s="457"/>
      <c r="H281" s="459"/>
      <c r="I281" s="446"/>
      <c r="J281" s="462"/>
    </row>
    <row r="282" spans="1:10" ht="15.75" x14ac:dyDescent="0.25">
      <c r="A282" s="451"/>
      <c r="B282" s="464"/>
      <c r="C282" s="213" t="s">
        <v>222</v>
      </c>
      <c r="D282" s="216"/>
      <c r="E282" s="34"/>
      <c r="F282" s="235" t="str">
        <f>IF(E282="","",IF(E282&gt;=61,0,IF(E282=0,1, ROUND(IF(E282&gt;35,E282*'Reference Curves'!B$15+'Reference Curves'!B$16,  E282*'Reference Curves'!C$15+'Reference Curves'!C$16),2))))</f>
        <v/>
      </c>
      <c r="G282" s="457"/>
      <c r="H282" s="459"/>
      <c r="I282" s="446"/>
      <c r="J282" s="462"/>
    </row>
    <row r="283" spans="1:10" ht="15.75" x14ac:dyDescent="0.25">
      <c r="A283" s="452"/>
      <c r="B283" s="465"/>
      <c r="C283" s="214" t="s">
        <v>225</v>
      </c>
      <c r="D283" s="217"/>
      <c r="E283" s="34"/>
      <c r="F283" s="236" t="str">
        <f>IF(E283="","",   IF(E283&gt;3.35,0, IF(E283&lt;0, "", ROUND('Reference Curves'!$B$20*E283+'Reference Curves'!$B$21,2))))</f>
        <v/>
      </c>
      <c r="G283" s="457"/>
      <c r="H283" s="460"/>
      <c r="I283" s="447"/>
      <c r="J283" s="462"/>
    </row>
    <row r="284" spans="1:10" ht="15.75" x14ac:dyDescent="0.25">
      <c r="A284" s="466" t="s">
        <v>226</v>
      </c>
      <c r="B284" s="469" t="s">
        <v>3</v>
      </c>
      <c r="C284" s="95" t="s">
        <v>227</v>
      </c>
      <c r="D284" s="13"/>
      <c r="E284" s="28"/>
      <c r="F284" s="121" t="str">
        <f>IF(E284="","", IF(E284&gt;1.71,0,IF(E284&lt;=1,1, ROUND(E284*'Reference Curves'!G$3+'Reference Curves'!G$4,2))))</f>
        <v/>
      </c>
      <c r="G284" s="471" t="str">
        <f>IFERROR(AVERAGE(F284:F285),"")</f>
        <v/>
      </c>
      <c r="H284" s="471" t="str">
        <f>IFERROR(ROUND(AVERAGE(G284:G286),2),"")</f>
        <v/>
      </c>
      <c r="I284" s="445" t="str">
        <f>IF(H284="","",IF(H284&gt;0.69,"Functioning",IF(H284&gt;0.29,"Functioning At Risk",IF(H284&gt;-1,"Not Functioning"))))</f>
        <v/>
      </c>
      <c r="J284" s="462"/>
    </row>
    <row r="285" spans="1:10" ht="15.75" x14ac:dyDescent="0.25">
      <c r="A285" s="467"/>
      <c r="B285" s="470"/>
      <c r="C285" s="97" t="s">
        <v>228</v>
      </c>
      <c r="D285" s="102"/>
      <c r="E285" s="33"/>
      <c r="F285" s="237" t="str">
        <f>IF(E285="","",IF(LEFT(D270,1)="B",IF(E285&lt;=1,0,IF(E285&gt;=2.2,1,ROUND(IF(E285&lt;1.4,E285*'Reference Curves'!$G$19+'Reference Curves'!$G$20,E285*'Reference Curves'!$H$19+'Reference Curves'!$H$20),2))),
IF(LEFT(D270,1)="C",IF(E285&lt;1.7,0,IF(E285&gt;=4.4,1,ROUND(IF(E285&gt;2.4,E285*'Reference Curves'!$H$9+'Reference Curves'!$H$10,E285*'Reference Curves'!$G$9+'Reference Curves'!$G$10),2))),
IF(LEFT(D270,1)="E",IF(E285&lt;1.7,0,IF(E285&gt;=6.5,1,ROUND(IF(E285&gt;2.4,E285*'Reference Curves'!$H$14+'Reference Curves'!$H$15,E285*'Reference Curves'!$G$14+'Reference Curves'!$G$15),2)))))))</f>
        <v/>
      </c>
      <c r="G285" s="472"/>
      <c r="H285" s="473"/>
      <c r="I285" s="446"/>
      <c r="J285" s="462"/>
    </row>
    <row r="286" spans="1:10" ht="15.75" x14ac:dyDescent="0.25">
      <c r="A286" s="468"/>
      <c r="B286" s="219" t="s">
        <v>229</v>
      </c>
      <c r="C286" s="96" t="s">
        <v>230</v>
      </c>
      <c r="D286" s="13"/>
      <c r="E286" s="32"/>
      <c r="F286" s="122" t="str">
        <f>IF(E286="","",IF(E286&gt;=180,0, IF(E286=100,1, ROUND(IF(E286&gt;100,E286*'Reference Curves'!$H$25+'Reference Curves'!$H$26, IF(E284&gt;1.2,IF(E286 &lt;=20,0, E286*'Reference Curves'!$G$25+'Reference Curves'!$G$26),1)),2))))</f>
        <v/>
      </c>
      <c r="G286" s="269" t="str">
        <f>IFERROR(AVERAGE(F286),"")</f>
        <v/>
      </c>
      <c r="H286" s="472"/>
      <c r="I286" s="447"/>
      <c r="J286" s="462"/>
    </row>
    <row r="287" spans="1:10" ht="15.75" x14ac:dyDescent="0.25">
      <c r="A287" s="474" t="s">
        <v>16</v>
      </c>
      <c r="B287" s="270" t="s">
        <v>231</v>
      </c>
      <c r="C287" s="220" t="s">
        <v>232</v>
      </c>
      <c r="D287" s="221"/>
      <c r="E287" s="46"/>
      <c r="F287" s="238" t="str">
        <f>IF(E287="","",IF(F271="Alaska Range",ROUND(IF(E287&lt;=0.05,0, IF(E287&gt;=6.3,1,IF(E287&lt;=1.5,'Reference Curves'!$K$5*E287+'Reference Curves'!$K$6, 'Reference Curves'!$L$5*E287+'Reference Curves'!$L$6))),2),
IF(F271="Brooks Range",ROUND(IF(E287&gt;=4.2,1,IF(E287&lt;0.03,0, IF(E287&lt;=1.2,'Reference Curves'!$M$5*E287+'Reference Curves'!$M$6, 'Reference Curves'!$N$5*E287+'Reference Curves'!$N$6))),2),
IF(OR(F271="Interior Bottomlands", F271="Yukon Flats"),ROUND(IF(E287&gt;=54.5,1,IF(E287&lt;=3.7,'Reference Curves'!$K$11*E287+'Reference Curves'!$K$12, IF(E287&lt;4.7,  'Reference Curves'!$L$11*E287+'Reference Curves'!$L$12,  'Reference Curves'!$M$11*E287+'Reference Curves'!$M$12))),2),
IF(OR(F271="Interior Forested Lowlands/Uplands",F271="Interior Highlands"),ROUND(IF(E287=0,0,IF(E287&gt;=24.1,1,IF(E287&lt;=1.3,'Reference Curves'!$N$11*E287+'Reference Curves'!$N$12, 'Reference Curves'!$O$11*E287+'Reference Curves'!$O$12))),2))))))</f>
        <v/>
      </c>
      <c r="G287" s="265" t="str">
        <f>IFERROR(AVERAGE(F287:F287),"")</f>
        <v/>
      </c>
      <c r="H287" s="476" t="str">
        <f>IFERROR(ROUND(AVERAGE(G287:G297),2),"")</f>
        <v/>
      </c>
      <c r="I287" s="479" t="str">
        <f>IF(H287="","",IF(H287&gt;0.69,"Functioning",IF(H287&gt;0.29,"Functioning At Risk",IF(H287&gt;-1,"Not Functioning"))))</f>
        <v/>
      </c>
      <c r="J287" s="462"/>
    </row>
    <row r="288" spans="1:10" ht="15.75" x14ac:dyDescent="0.25">
      <c r="A288" s="475"/>
      <c r="B288" s="475" t="s">
        <v>99</v>
      </c>
      <c r="C288" s="16" t="s">
        <v>37</v>
      </c>
      <c r="D288" s="100"/>
      <c r="E288" s="234"/>
      <c r="F288" s="123" t="str">
        <f>IF(E288="","",IF(OR(E288="Ex/Ex",E288="Ex/VH",E288="Ex/H",E288="Ex/M",E288="VH/Ex",E288="VH/VH", E288="H/Ex",E288="H/VH"),0,
IF(OR(E288="M/Ex"),0.1,
IF(OR(E288="VH/H",E288="VH/M",E288="H/H",E288="H/M", E288="M/VH"),0.2,
IF(OR(E288="Ex/VL",E288="Ex/L", E288="M/H"),0.3,
IF(OR(E288="VH/L",E288="H/L"),0.4,
IF(OR(E288="VH/VL",E288="H/VL",E288="M/M"),0.5,
IF(OR(E288="M/L",E288="L/Ex"),0.6,
IF(OR(E288="M/VL",E288="L/VH", E288="L/H",E288="L/M",E288="L/L",E288="L/VL", LEFT(E288,2)="VL"),1)))))))))</f>
        <v/>
      </c>
      <c r="G288" s="476" t="str">
        <f>IFERROR(IF(E290&gt;=50,0,AVERAGE(F288:F290)),"")</f>
        <v/>
      </c>
      <c r="H288" s="477"/>
      <c r="I288" s="480"/>
      <c r="J288" s="462"/>
    </row>
    <row r="289" spans="1:10" ht="15.75" x14ac:dyDescent="0.25">
      <c r="A289" s="475"/>
      <c r="B289" s="475"/>
      <c r="C289" s="98" t="s">
        <v>48</v>
      </c>
      <c r="D289" s="230"/>
      <c r="E289" s="32"/>
      <c r="F289" s="123" t="str">
        <f>IF(E289="","",ROUND(IF(E289&gt;=75,0,IF(E289&lt;=5,1,IF(E289&gt;10,E289*'Reference Curves'!K$17+'Reference Curves'!K$18,'Reference Curves'!$L$17*E289+'Reference Curves'!$L$18))),2))</f>
        <v/>
      </c>
      <c r="G289" s="477"/>
      <c r="H289" s="477"/>
      <c r="I289" s="480"/>
      <c r="J289" s="462"/>
    </row>
    <row r="290" spans="1:10" ht="15.75" x14ac:dyDescent="0.25">
      <c r="A290" s="475"/>
      <c r="B290" s="482"/>
      <c r="C290" s="99" t="s">
        <v>233</v>
      </c>
      <c r="D290" s="231"/>
      <c r="E290" s="33"/>
      <c r="F290" s="124" t="str">
        <f>IF(E290="","",IF(E290&gt;=30,0,ROUND(E290*'Reference Curves'!$K$22+'Reference Curves'!$K$23,2)))</f>
        <v/>
      </c>
      <c r="G290" s="478"/>
      <c r="H290" s="477"/>
      <c r="I290" s="480"/>
      <c r="J290" s="462"/>
    </row>
    <row r="291" spans="1:10" ht="15.75" x14ac:dyDescent="0.25">
      <c r="A291" s="475"/>
      <c r="B291" s="268" t="s">
        <v>234</v>
      </c>
      <c r="C291" s="17" t="s">
        <v>235</v>
      </c>
      <c r="D291" s="100"/>
      <c r="E291" s="33"/>
      <c r="F291" s="123" t="str">
        <f>IF(E291="","",IF(OR(D272="Cobble",D272="Boulders",D272="Bedrock"),ROUND(IF(E291&lt;=0,1,IF(E291&gt;=13.7,0, IF(E291&gt;5,E291*'Reference Curves'!$M$29+'Reference Curves'!$M$30,  E291*'Reference Curves'!$N$29+'Reference Curves'!$N$30))),2),
IF(D272="Gravel",ROUND(IF(E291&lt;=3,1,IF(E291&gt;=54,0, IF(E291&gt;15,E291*'Reference Curves'!$K$29+'Reference Curves'!$K$30,  E291*'Reference Curves'!$L$29+'Reference Curves'!$L$30))),2))))</f>
        <v/>
      </c>
      <c r="G291" s="265" t="str">
        <f>IFERROR(AVERAGE(F291:F291),"")</f>
        <v/>
      </c>
      <c r="H291" s="477"/>
      <c r="I291" s="480"/>
      <c r="J291" s="462"/>
    </row>
    <row r="292" spans="1:10" ht="15.75" x14ac:dyDescent="0.25">
      <c r="A292" s="475"/>
      <c r="B292" s="474" t="s">
        <v>39</v>
      </c>
      <c r="C292" s="14" t="s">
        <v>236</v>
      </c>
      <c r="D292" s="18"/>
      <c r="E292" s="35"/>
      <c r="F292" s="125" t="str">
        <f>IF(E292="","",IF(D270="Bc",IF(E292&gt;=12,0,IF(E292&lt;=3.4,1,ROUND('Reference Curves'!$K$39*E292+'Reference Curves'!$K$40,2))),
IF(OR(D270="B",D270="Ba"),IF(E292&gt;=6,0,IF(E292&lt;=2,1,ROUND(IF(E292&gt;3.9,'Reference Curves'!$K$35*E292+'Reference Curves'!$K$36,'Reference Curves'!$L$35*E292+'Reference Curves'!$L$36),2))),
IF(LEFT(D270,1)="C",IF(OR(E292&gt;=9.3,E292&lt;=3),0,IF(AND(E292&gt;=4,E292&lt;=6),1,ROUND(IF(E292&lt;4,'Reference Curves'!$K$49*E292+'Reference Curves'!$K$50,'Reference Curves'!$L$49*E292+'Reference Curves'!$L$50),2))),
IF(D270="E",IF(OR(E292&gt;=8.3,E292&lt;=1.8),0,IF(AND(E292&gt;=3.5,E292&lt;=5),1,ROUND(IF(E292&lt;3.5,'Reference Curves'!$K$44*E292+'Reference Curves'!$K$45,'Reference Curves'!$L$44*E292+'Reference Curves'!$L$45),2)))      )))))</f>
        <v/>
      </c>
      <c r="G292" s="483" t="str">
        <f>IFERROR(AVERAGE(F292:F294),"")</f>
        <v/>
      </c>
      <c r="H292" s="477"/>
      <c r="I292" s="480"/>
      <c r="J292" s="462"/>
    </row>
    <row r="293" spans="1:10" ht="15.75" x14ac:dyDescent="0.25">
      <c r="A293" s="475"/>
      <c r="B293" s="475"/>
      <c r="C293" s="16" t="s">
        <v>237</v>
      </c>
      <c r="D293" s="100"/>
      <c r="E293" s="34"/>
      <c r="F293" s="126" t="str">
        <f>IF(E293="","",ROUND(IF(E293&lt;=1,0, IF(OR(D270="B", D270="Ba"), IF(E293&gt;=2.8,1,IF(E293&gt;=1.8,'Reference Curves'!$L$56*E293+'Reference Curves'!$L$57,'Reference Curves'!$K$56*E293+'Reference Curves'!$K$57)),IF(E293&gt;=3.2,1,IF(E293&gt;=2.2,'Reference Curves'!$N$56*E293+'Reference Curves'!$N$57,'Reference Curves'!$M$56*E293+'Reference Curves'!$M$57)))),2))</f>
        <v/>
      </c>
      <c r="G293" s="484"/>
      <c r="H293" s="477"/>
      <c r="I293" s="480"/>
      <c r="J293" s="462"/>
    </row>
    <row r="294" spans="1:10" ht="15.75" x14ac:dyDescent="0.25">
      <c r="A294" s="475"/>
      <c r="B294" s="475"/>
      <c r="C294" s="16" t="s">
        <v>79</v>
      </c>
      <c r="D294" s="100"/>
      <c r="E294" s="34"/>
      <c r="F294" s="266" t="str">
        <f>IF(E294="","",IF(D271&gt;=3,IF(OR(E294&lt;=0,E294&gt;=100),0,IF(AND(E294&gt;=68,E294&lt;=85),1,IF(E294&lt;68,IF(E294&lt;62,ROUND(E294*'Reference Curves'!$K$69+'Reference Curves'!$K$70,2),ROUND(E294*'Reference Curves'!$L$69+'Reference Curves'!$L$70,2)),
IF(E294&gt;87,ROUND(E294*'Reference Curves'!$M$69+'Reference Curves'!$M$70,2),ROUND(E294*'Reference Curves'!$N$69+'Reference Curves'!$N$70,2))))),
IF(D271&lt;&gt;0,IF(OR(E294&lt;=0,E294&gt;=100),0,IF(AND(E294&lt;=60,E294&gt;=50),1,IF(E294&lt;50,IF(E294&lt;39,ROUND(E294*'Reference Curves'!$K$63+'Reference Curves'!$K$64,2),ROUND(E294*'Reference Curves'!$L$63+'Reference Curves'!$L$64,2)),
IF(E294&gt;69,ROUND(E294*'Reference Curves'!$M$63+'Reference Curves'!$M$64,2),ROUND(E294*'Reference Curves'!$N$63+'Reference Curves'!$N$64,2))))))))</f>
        <v/>
      </c>
      <c r="G294" s="484"/>
      <c r="H294" s="477"/>
      <c r="I294" s="480"/>
      <c r="J294" s="462"/>
    </row>
    <row r="295" spans="1:10" ht="15.75" x14ac:dyDescent="0.25">
      <c r="A295" s="475"/>
      <c r="B295" s="474" t="s">
        <v>38</v>
      </c>
      <c r="C295" s="14" t="s">
        <v>238</v>
      </c>
      <c r="D295" s="41"/>
      <c r="E295" s="15"/>
      <c r="F295" s="127" t="str">
        <f>IF( E295="","",
IF( F270="Unconfined Alluvial", IF( E295&gt;=100,1,
ROUND('Reference Curves'!$K$76*E295+'Reference Curves'!$K$77,2) ),
IF( OR(F270="Confined Alluvial", F270="Colluvial/V-Shaped"), ( IF(E295&gt;=100,1,
IF(E295&gt;=60, ROUND('Reference Curves'!$M$76*E295+'Reference Curves'!$M$77,2), ROUND('Reference Curves'!$L$76*E295+'Reference Curves'!$L$77,2) ) ) ) ) ) )</f>
        <v/>
      </c>
      <c r="G295" s="476" t="str">
        <f>IFERROR(AVERAGE(F295:F297),"")</f>
        <v/>
      </c>
      <c r="H295" s="477"/>
      <c r="I295" s="480"/>
      <c r="J295" s="462"/>
    </row>
    <row r="296" spans="1:10" ht="15.75" x14ac:dyDescent="0.25">
      <c r="A296" s="475"/>
      <c r="B296" s="475"/>
      <c r="C296" s="16" t="s">
        <v>202</v>
      </c>
      <c r="D296" s="57"/>
      <c r="E296" s="65"/>
      <c r="F296" s="126" t="str">
        <f>IF(E296="","",IF(OR(F271="Alaska Range",F271="Brooks Range"),ROUND(IF(E296&gt;=1.57,1,IF(E296&lt;=0.06,'Reference Curves'!$K$83*E296+'Reference Curves'!$K$84, IF(E296&lt;0.83, 'Reference Curves'!$L$83*E296+'Reference Curves'!$L$84, 'Reference Curves'!$M$83*E296+'Reference Curves'!$M$84))),2),
IF(F271="Interior Highlands",ROUND(IF(E296&gt;=1.67,1,IF(E296&lt;=0.94,'Reference Curves'!$N$83*E296+'Reference Curves'!$N$84, IF(E296&lt;1.21, 'Reference Curves'!$O$83*E296+'Reference Curves'!$O$84, 'Reference Curves'!$P$83*E296+'Reference Curves'!$P$84))),2),
IF(OR(F271="Interior Bottomlands",F271="Yukon Flats"),ROUND(IF(E296&gt;=1.82,1,IF(E296&lt;=1.19,'Reference Curves'!$K$89*E296+'Reference Curves'!$K$90, IF(E296&lt;1.37, 'Reference Curves'!$L$89*E296+'Reference Curves'!$L$90, 'Reference Curves'!$M$89*E296+'Reference Curves'!$M$90))),2),
IF(F271="Interior Forested Lowlands/Uplands",ROUND(IF(E296&gt;=1.87,1,IF(E296&lt;=1.24,'Reference Curves'!$N$89*E296+'Reference Curves'!$N$90, IF(E296&lt;1.45, 'Reference Curves'!$O$89*E296+'Reference Curves'!$O$90, 'Reference Curves'!$P$89*E296+'Reference Curves'!$P$90))),2))))))</f>
        <v/>
      </c>
      <c r="G296" s="477"/>
      <c r="H296" s="477"/>
      <c r="I296" s="480"/>
      <c r="J296" s="462"/>
    </row>
    <row r="297" spans="1:10" ht="15.75" x14ac:dyDescent="0.25">
      <c r="A297" s="475"/>
      <c r="B297" s="475"/>
      <c r="C297" s="16" t="s">
        <v>239</v>
      </c>
      <c r="D297" s="57"/>
      <c r="E297" s="65"/>
      <c r="F297" s="266" t="str">
        <f>IF(E297="","",IF(E297&lt;83.5,0,IF(E297&gt;=100,1,ROUND(E297*'Reference Curves'!$K$94+'Reference Curves'!$K$95,2))))</f>
        <v/>
      </c>
      <c r="G297" s="478"/>
      <c r="H297" s="478"/>
      <c r="I297" s="481"/>
      <c r="J297" s="462"/>
    </row>
    <row r="298" spans="1:10" ht="15.75" x14ac:dyDescent="0.25">
      <c r="A298" s="485" t="s">
        <v>41</v>
      </c>
      <c r="B298" s="223" t="s">
        <v>115</v>
      </c>
      <c r="C298" s="224" t="s">
        <v>340</v>
      </c>
      <c r="D298" s="225"/>
      <c r="E298" s="28"/>
      <c r="F298" s="232" t="str">
        <f>IF(E298="","", IF(E298&lt;=1.1,1, IF(E298 &gt;1.315,0, ROUND(E298*'Reference Curves'!R$3+'Reference Curves'!R$4,2))))</f>
        <v/>
      </c>
      <c r="G298" s="267" t="str">
        <f>IFERROR(AVERAGE(F298:F298),"")</f>
        <v/>
      </c>
      <c r="H298" s="488" t="str">
        <f>IFERROR(AVERAGE(G298:G300),"")</f>
        <v/>
      </c>
      <c r="I298" s="436" t="str">
        <f>IF(H298="","",IF(H298&gt;0.69,"Functioning",IF(H298&gt;0.29,"Functioning At Risk",IF(H298&gt;-1,"Not Functioning"))))</f>
        <v/>
      </c>
      <c r="J298" s="462"/>
    </row>
    <row r="299" spans="1:10" ht="15.75" x14ac:dyDescent="0.25">
      <c r="A299" s="486"/>
      <c r="B299" s="223" t="s">
        <v>240</v>
      </c>
      <c r="C299" s="224" t="s">
        <v>341</v>
      </c>
      <c r="D299" s="225"/>
      <c r="E299" s="46"/>
      <c r="F299" s="240" t="str">
        <f>IF(E299="","",ROUND( IF(E299&lt;=3,1, IF(E299&gt;=100,0,IF(E299&gt;10, E299*'Reference Curves'!$R$9+'Reference Curves'!$R$10,E299*'Reference Curves'!$S$9+'Reference Curves'!$S$10))),2))</f>
        <v/>
      </c>
      <c r="G299" s="232" t="str">
        <f>IFERROR(AVERAGE(F299),"")</f>
        <v/>
      </c>
      <c r="H299" s="489"/>
      <c r="I299" s="436"/>
      <c r="J299" s="462"/>
    </row>
    <row r="300" spans="1:10" ht="15.75" x14ac:dyDescent="0.25">
      <c r="A300" s="487"/>
      <c r="B300" s="223" t="s">
        <v>241</v>
      </c>
      <c r="C300" s="226" t="s">
        <v>355</v>
      </c>
      <c r="D300" s="227"/>
      <c r="E300" s="46"/>
      <c r="F300" s="232" t="str">
        <f>IF(E300="","", IF(E300&gt;=75,1, IF(E300 &lt;19,0, ROUND(E300*'Reference Curves'!R$14+'Reference Curves'!R$15,2))))</f>
        <v/>
      </c>
      <c r="G300" s="232" t="str">
        <f>IFERROR(AVERAGE(F300),"")</f>
        <v/>
      </c>
      <c r="H300" s="490"/>
      <c r="I300" s="436"/>
      <c r="J300" s="462"/>
    </row>
    <row r="301" spans="1:10" ht="15.75" x14ac:dyDescent="0.25">
      <c r="A301" s="437" t="s">
        <v>42</v>
      </c>
      <c r="B301" s="228" t="s">
        <v>80</v>
      </c>
      <c r="C301" s="229" t="s">
        <v>366</v>
      </c>
      <c r="D301" s="26"/>
      <c r="E301" s="28"/>
      <c r="F301" s="128" t="str">
        <f>IF(E301="","",ROUND( IF(E301&gt;=81,0, IF(E301&lt;=36,1,IF(E301&gt;62, E301*'Reference Curves'!$V$4+'Reference Curves'!$V$5,IF(E301&gt;43, E301*'Reference Curves'!$W$4+'Reference Curves'!$W$5,E301*'Reference Curves'!$X$4+'Reference Curves'!$X$5)))),2))</f>
        <v/>
      </c>
      <c r="G301" s="104" t="str">
        <f>IFERROR(AVERAGE(F301),"")</f>
        <v/>
      </c>
      <c r="H301" s="440" t="str">
        <f>IFERROR(ROUND(AVERAGE(G301:G304),2),"")</f>
        <v/>
      </c>
      <c r="I301" s="436" t="str">
        <f>IF(H301="","",IF(H301&gt;0.69,"Functioning",IF(H301&gt;0.29,"Functioning At Risk",IF(H301&gt;-1,"Not Functioning"))))</f>
        <v/>
      </c>
      <c r="J301" s="462"/>
    </row>
    <row r="302" spans="1:10" ht="15.75" x14ac:dyDescent="0.25">
      <c r="A302" s="438"/>
      <c r="B302" s="437" t="s">
        <v>45</v>
      </c>
      <c r="C302" s="229" t="s">
        <v>242</v>
      </c>
      <c r="D302" s="26"/>
      <c r="E302" s="35"/>
      <c r="F302" s="104" t="str">
        <f>IF(E302="","",IF(F272="Anadromous", IF(E302&lt;=0,0,IF(E302&gt;=100,1,ROUND(IF(E302&lt;80,E302*'Reference Curves'!$V$11+'Reference Curves'!$V$12,E302*'Reference Curves'!$W$11+'Reference Curves'!$W$12),2))),
IF(F272="Non-anadromous", IF(E302&lt;=0,0,IF(E302&gt;=100,1,ROUND(IF(E302&lt;60,E302*'Reference Curves'!$X$11+'Reference Curves'!$X$12,E302*'Reference Curves'!$Y$11+'Reference Curves'!$Y$12),2))))))</f>
        <v/>
      </c>
      <c r="G302" s="441" t="str">
        <f>IFERROR(AVERAGE(F302:F304),"")</f>
        <v/>
      </c>
      <c r="H302" s="440"/>
      <c r="I302" s="436"/>
      <c r="J302" s="462"/>
    </row>
    <row r="303" spans="1:10" ht="15.75" x14ac:dyDescent="0.25">
      <c r="A303" s="438"/>
      <c r="B303" s="438"/>
      <c r="C303" s="294" t="s">
        <v>322</v>
      </c>
      <c r="D303" s="295"/>
      <c r="E303" s="34"/>
      <c r="F303" s="104" t="str">
        <f>IF(E303="","", IF(E303&lt;=0,0,IF(E303&gt;=0.9,1,ROUND(E303*'Reference Curves'!$V$16+'Reference Curves'!$V$17,2))))</f>
        <v/>
      </c>
      <c r="G303" s="491"/>
      <c r="H303" s="440"/>
      <c r="I303" s="436"/>
      <c r="J303" s="462"/>
    </row>
    <row r="304" spans="1:10" ht="15.75" x14ac:dyDescent="0.25">
      <c r="A304" s="439"/>
      <c r="B304" s="439"/>
      <c r="C304" s="101" t="s">
        <v>243</v>
      </c>
      <c r="D304" s="103"/>
      <c r="E304" s="36"/>
      <c r="F304" s="128" t="str">
        <f>IF(E304="","", IF(E304&lt;=0,0,IF(E304&gt;=0.9,1,ROUND(E304*'Reference Curves'!$V$16+'Reference Curves'!$V$17,2))))</f>
        <v/>
      </c>
      <c r="G304" s="443"/>
      <c r="H304" s="440"/>
      <c r="I304" s="436"/>
      <c r="J304" s="463"/>
    </row>
    <row r="305" spans="1:10" x14ac:dyDescent="0.25">
      <c r="J305" s="3"/>
    </row>
    <row r="307" spans="1:10" ht="21" customHeight="1" x14ac:dyDescent="0.25">
      <c r="A307" s="495" t="s">
        <v>167</v>
      </c>
      <c r="B307" s="496"/>
      <c r="C307" s="496"/>
      <c r="D307" s="496"/>
      <c r="E307" s="496"/>
      <c r="F307" s="496"/>
      <c r="G307" s="496"/>
      <c r="H307" s="496"/>
      <c r="I307" s="496"/>
      <c r="J307" s="497"/>
    </row>
    <row r="308" spans="1:10" ht="15.75" x14ac:dyDescent="0.25">
      <c r="A308" s="115" t="s">
        <v>59</v>
      </c>
      <c r="B308" s="130" t="str">
        <f>IF('Project Assessment'!A18="","",'Project Assessment'!A18)</f>
        <v/>
      </c>
      <c r="C308" s="115" t="s">
        <v>168</v>
      </c>
      <c r="D308" s="130" t="str">
        <f>IF('Existing Conditions'!D308="","",'Existing Conditions'!D308)</f>
        <v/>
      </c>
      <c r="E308" s="250" t="s">
        <v>73</v>
      </c>
      <c r="F308" s="505" t="str">
        <f>IF('Existing Conditions'!F308="","",'Existing Conditions'!F308)</f>
        <v/>
      </c>
      <c r="G308" s="506"/>
      <c r="H308" s="493" t="s">
        <v>102</v>
      </c>
      <c r="I308" s="494"/>
      <c r="J308" s="130">
        <f>'Existing Conditions'!J308</f>
        <v>0</v>
      </c>
    </row>
    <row r="309" spans="1:10" ht="15.75" x14ac:dyDescent="0.25">
      <c r="A309" s="134" t="s">
        <v>212</v>
      </c>
      <c r="B309" s="130" t="str">
        <f>IF('Project Assessment'!B18="","",'Project Assessment'!B18)</f>
        <v/>
      </c>
      <c r="C309" s="250" t="s">
        <v>359</v>
      </c>
      <c r="D309" s="130" t="str">
        <f>IF('Existing Conditions'!D309="","",'Existing Conditions'!D309)</f>
        <v/>
      </c>
      <c r="E309" s="250" t="s">
        <v>156</v>
      </c>
      <c r="F309" s="505" t="str">
        <f>IF('Existing Conditions'!F309="","",'Existing Conditions'!F309)</f>
        <v/>
      </c>
      <c r="G309" s="506"/>
      <c r="H309" s="493" t="s">
        <v>103</v>
      </c>
      <c r="I309" s="494"/>
      <c r="J309" s="130">
        <f>'Existing Conditions'!J309</f>
        <v>0</v>
      </c>
    </row>
    <row r="310" spans="1:10" ht="15.75" x14ac:dyDescent="0.25">
      <c r="A310" s="119" t="s">
        <v>157</v>
      </c>
      <c r="B310" s="130" t="str">
        <f>IF('Project Assessment'!C18="","",'Project Assessment'!C18)</f>
        <v/>
      </c>
      <c r="C310" s="239" t="s">
        <v>360</v>
      </c>
      <c r="D310" s="130" t="str">
        <f>IF('Existing Conditions'!D310="","",'Existing Conditions'!D310)</f>
        <v/>
      </c>
      <c r="E310" s="250" t="s">
        <v>220</v>
      </c>
      <c r="F310" s="505" t="str">
        <f>IF('Existing Conditions'!F310="","",'Existing Conditions'!F310)</f>
        <v/>
      </c>
      <c r="G310" s="506"/>
      <c r="H310" s="493" t="s">
        <v>104</v>
      </c>
      <c r="I310" s="494"/>
      <c r="J310" s="130">
        <f>'Existing Conditions'!J310</f>
        <v>0</v>
      </c>
    </row>
    <row r="311" spans="1:10" ht="15.75" x14ac:dyDescent="0.25">
      <c r="A311" s="499"/>
      <c r="B311" s="500"/>
      <c r="C311" s="233" t="s">
        <v>155</v>
      </c>
      <c r="D311" s="130" t="str">
        <f>IF('Existing Conditions'!D311="","",'Existing Conditions'!D311)</f>
        <v/>
      </c>
      <c r="E311" s="502"/>
      <c r="F311" s="503"/>
      <c r="G311" s="504"/>
      <c r="H311" s="493" t="s">
        <v>105</v>
      </c>
      <c r="I311" s="494"/>
      <c r="J311" s="130">
        <f>'Existing Conditions'!J311</f>
        <v>0</v>
      </c>
    </row>
    <row r="312" spans="1:10" ht="5.25" customHeight="1" x14ac:dyDescent="0.25">
      <c r="B312" s="50"/>
      <c r="C312" s="50"/>
      <c r="D312" s="50"/>
      <c r="E312" s="50"/>
      <c r="F312" s="50"/>
      <c r="G312" s="50"/>
      <c r="H312" s="50"/>
      <c r="I312" s="48"/>
      <c r="J312" s="9"/>
    </row>
    <row r="313" spans="1:10" ht="21" x14ac:dyDescent="0.35">
      <c r="A313" s="492" t="str">
        <f>_xlfn.CONCAT("PROPOSED CONDITION ASSESSMENT for Reach ",B308)</f>
        <v xml:space="preserve">PROPOSED CONDITION ASSESSMENT for Reach </v>
      </c>
      <c r="B313" s="492"/>
      <c r="C313" s="492"/>
      <c r="D313" s="492"/>
      <c r="E313" s="492"/>
      <c r="F313" s="492"/>
      <c r="G313" s="492" t="s">
        <v>10</v>
      </c>
      <c r="H313" s="492"/>
      <c r="I313" s="492"/>
      <c r="J313" s="492"/>
    </row>
    <row r="314" spans="1:10" ht="15.75" x14ac:dyDescent="0.25">
      <c r="A314" s="30" t="s">
        <v>1</v>
      </c>
      <c r="B314" s="30" t="s">
        <v>2</v>
      </c>
      <c r="C314" s="448" t="s">
        <v>316</v>
      </c>
      <c r="D314" s="501"/>
      <c r="E314" s="30" t="s">
        <v>8</v>
      </c>
      <c r="F314" s="29" t="s">
        <v>9</v>
      </c>
      <c r="G314" s="30" t="s">
        <v>11</v>
      </c>
      <c r="H314" s="30" t="s">
        <v>12</v>
      </c>
      <c r="I314" s="49" t="s">
        <v>12</v>
      </c>
      <c r="J314" s="271" t="s">
        <v>130</v>
      </c>
    </row>
    <row r="315" spans="1:10" ht="15.75" x14ac:dyDescent="0.25">
      <c r="A315" s="450" t="s">
        <v>223</v>
      </c>
      <c r="B315" s="453" t="s">
        <v>224</v>
      </c>
      <c r="C315" s="212" t="s">
        <v>114</v>
      </c>
      <c r="D315" s="215"/>
      <c r="E315" s="35"/>
      <c r="F315" s="218" t="str">
        <f>IF(E315="","",IF(E315&gt;=86,0,IF(E315&lt;=9,1,ROUND(IF(E315&gt;22,E315*'Reference Curves'!B$4+'Reference Curves'!B$5, IF(E315&gt;16, E315*'Reference Curves'!C$4+'Reference Curves'!C$5,E315*'Reference Curves'!$D$4+'Reference Curves'!$D$5)),2))))</f>
        <v/>
      </c>
      <c r="G315" s="456" t="str">
        <f>IFERROR(AVERAGE(F315:F317),"")</f>
        <v/>
      </c>
      <c r="H315" s="458" t="str">
        <f>IFERROR(ROUND(AVERAGE(G315:G321),2),"")</f>
        <v/>
      </c>
      <c r="I315" s="445" t="str">
        <f>IF(H315="","",IF(H315&gt;0.69,"Functioning",IF(H315&gt;0.29,"Functioning At Risk",IF(H315&gt;-1,"Not Functioning"))))</f>
        <v/>
      </c>
      <c r="J315" s="461" t="str">
        <f>IF(AND(H315="",H322="",H325="",H336="",H339=""),"",ROUND((IF(H315="",0,H315)*0.2)+(IF(H322="",0,H322)*0.2)+(IF(H325="",0,H325)*0.2)+(IF(H336="",0,H336)*0.2)+(IF(H339="",0,H339)*0.2),2))</f>
        <v/>
      </c>
    </row>
    <row r="316" spans="1:10" ht="15.75" x14ac:dyDescent="0.25">
      <c r="A316" s="451"/>
      <c r="B316" s="454"/>
      <c r="C316" s="213" t="s">
        <v>221</v>
      </c>
      <c r="D316" s="216"/>
      <c r="E316" s="34"/>
      <c r="F316" s="235" t="str">
        <f>IF(E316="","",IF(E316&gt;=33.5,0,IF(E316=0,1,ROUND(E316*'Reference Curves'!B$9+'Reference Curves'!B$10,2))))</f>
        <v/>
      </c>
      <c r="G316" s="457"/>
      <c r="H316" s="459"/>
      <c r="I316" s="446"/>
      <c r="J316" s="462"/>
    </row>
    <row r="317" spans="1:10" ht="15.75" x14ac:dyDescent="0.25">
      <c r="A317" s="451"/>
      <c r="B317" s="455"/>
      <c r="C317" s="214" t="s">
        <v>222</v>
      </c>
      <c r="D317" s="216"/>
      <c r="E317" s="36"/>
      <c r="F317" s="235" t="str">
        <f>IF(E317="","",IF(E317&gt;=61,0,IF(E317=0,1, ROUND(IF(E317&gt;35,E317*'Reference Curves'!B$15+'Reference Curves'!B$16,  E317*'Reference Curves'!C$15+'Reference Curves'!C$16),2))))</f>
        <v/>
      </c>
      <c r="G317" s="457"/>
      <c r="H317" s="459"/>
      <c r="I317" s="446"/>
      <c r="J317" s="462"/>
    </row>
    <row r="318" spans="1:10" ht="15.75" x14ac:dyDescent="0.25">
      <c r="A318" s="451"/>
      <c r="B318" s="464" t="s">
        <v>63</v>
      </c>
      <c r="C318" s="212" t="s">
        <v>114</v>
      </c>
      <c r="D318" s="215"/>
      <c r="E318" s="34"/>
      <c r="F318" s="218" t="str">
        <f>IF(E318="","",IF(E318&gt;=86,0,IF(E318&lt;=9,1,ROUND(IF(E318&gt;22,E318*'Reference Curves'!B$4+'Reference Curves'!B$5, IF(E318&gt;16, E318*'Reference Curves'!C$4+'Reference Curves'!C$5,E318*'Reference Curves'!$D$4+'Reference Curves'!$D$5)),2))))</f>
        <v/>
      </c>
      <c r="G318" s="456" t="str">
        <f>IFERROR(AVERAGE(F318:F321),"")</f>
        <v/>
      </c>
      <c r="H318" s="459"/>
      <c r="I318" s="446"/>
      <c r="J318" s="462"/>
    </row>
    <row r="319" spans="1:10" ht="15.75" x14ac:dyDescent="0.25">
      <c r="A319" s="451"/>
      <c r="B319" s="464"/>
      <c r="C319" s="213" t="s">
        <v>221</v>
      </c>
      <c r="D319" s="216"/>
      <c r="E319" s="34"/>
      <c r="F319" s="235" t="str">
        <f>IF(E319="","",IF(E319&gt;=33.5,0,IF(E319=0,1,ROUND(E319*'Reference Curves'!B$9+'Reference Curves'!B$10,2))))</f>
        <v/>
      </c>
      <c r="G319" s="457"/>
      <c r="H319" s="459"/>
      <c r="I319" s="446"/>
      <c r="J319" s="462"/>
    </row>
    <row r="320" spans="1:10" ht="15.75" x14ac:dyDescent="0.25">
      <c r="A320" s="451"/>
      <c r="B320" s="464"/>
      <c r="C320" s="213" t="s">
        <v>222</v>
      </c>
      <c r="D320" s="216"/>
      <c r="E320" s="34"/>
      <c r="F320" s="235" t="str">
        <f>IF(E320="","",IF(E320&gt;=61,0,IF(E320=0,1, ROUND(IF(E320&gt;35,E320*'Reference Curves'!B$15+'Reference Curves'!B$16,  E320*'Reference Curves'!C$15+'Reference Curves'!C$16),2))))</f>
        <v/>
      </c>
      <c r="G320" s="457"/>
      <c r="H320" s="459"/>
      <c r="I320" s="446"/>
      <c r="J320" s="462"/>
    </row>
    <row r="321" spans="1:10" ht="15.75" x14ac:dyDescent="0.25">
      <c r="A321" s="452"/>
      <c r="B321" s="465"/>
      <c r="C321" s="214" t="s">
        <v>225</v>
      </c>
      <c r="D321" s="217"/>
      <c r="E321" s="34"/>
      <c r="F321" s="236" t="str">
        <f>IF(E321="","",   IF(E321&gt;3.35,0, IF(E321&lt;0, "", ROUND('Reference Curves'!$B$20*E321+'Reference Curves'!$B$21,2))))</f>
        <v/>
      </c>
      <c r="G321" s="457"/>
      <c r="H321" s="460"/>
      <c r="I321" s="447"/>
      <c r="J321" s="462"/>
    </row>
    <row r="322" spans="1:10" ht="15.75" x14ac:dyDescent="0.25">
      <c r="A322" s="466" t="s">
        <v>226</v>
      </c>
      <c r="B322" s="469" t="s">
        <v>3</v>
      </c>
      <c r="C322" s="95" t="s">
        <v>227</v>
      </c>
      <c r="D322" s="13"/>
      <c r="E322" s="28"/>
      <c r="F322" s="121" t="str">
        <f>IF(E322="","", IF(E322&gt;1.71,0,IF(E322&lt;=1,1, ROUND(E322*'Reference Curves'!G$3+'Reference Curves'!G$4,2))))</f>
        <v/>
      </c>
      <c r="G322" s="471" t="str">
        <f>IFERROR(AVERAGE(F322:F323),"")</f>
        <v/>
      </c>
      <c r="H322" s="471" t="str">
        <f>IFERROR(ROUND(AVERAGE(G322:G324),2),"")</f>
        <v/>
      </c>
      <c r="I322" s="445" t="str">
        <f>IF(H322="","",IF(H322&gt;0.69,"Functioning",IF(H322&gt;0.29,"Functioning At Risk",IF(H322&gt;-1,"Not Functioning"))))</f>
        <v/>
      </c>
      <c r="J322" s="462"/>
    </row>
    <row r="323" spans="1:10" ht="15.75" x14ac:dyDescent="0.25">
      <c r="A323" s="467"/>
      <c r="B323" s="470"/>
      <c r="C323" s="97" t="s">
        <v>228</v>
      </c>
      <c r="D323" s="102"/>
      <c r="E323" s="33"/>
      <c r="F323" s="237" t="str">
        <f>IF(E323="","",IF(LEFT(D308,1)="B",IF(E323&lt;=1,0,IF(E323&gt;=2.2,1,ROUND(IF(E323&lt;1.4,E323*'Reference Curves'!$G$19+'Reference Curves'!$G$20,E323*'Reference Curves'!$H$19+'Reference Curves'!$H$20),2))),
IF(LEFT(D308,1)="C",IF(E323&lt;1.7,0,IF(E323&gt;=4.4,1,ROUND(IF(E323&gt;2.4,E323*'Reference Curves'!$H$9+'Reference Curves'!$H$10,E323*'Reference Curves'!$G$9+'Reference Curves'!$G$10),2))),
IF(LEFT(D308,1)="E",IF(E323&lt;1.7,0,IF(E323&gt;=6.5,1,ROUND(IF(E323&gt;2.4,E323*'Reference Curves'!$H$14+'Reference Curves'!$H$15,E323*'Reference Curves'!$G$14+'Reference Curves'!$G$15),2)))))))</f>
        <v/>
      </c>
      <c r="G323" s="472"/>
      <c r="H323" s="473"/>
      <c r="I323" s="446"/>
      <c r="J323" s="462"/>
    </row>
    <row r="324" spans="1:10" ht="15.75" x14ac:dyDescent="0.25">
      <c r="A324" s="468"/>
      <c r="B324" s="219" t="s">
        <v>229</v>
      </c>
      <c r="C324" s="96" t="s">
        <v>230</v>
      </c>
      <c r="D324" s="13"/>
      <c r="E324" s="32"/>
      <c r="F324" s="122" t="str">
        <f>IF(E324="","",IF(E324&gt;=180,0, IF(E324=100,1, ROUND(IF(E324&gt;100,E324*'Reference Curves'!$H$25+'Reference Curves'!$H$26, IF(E322&gt;1.2,IF(E324 &lt;=20,0, E324*'Reference Curves'!$G$25+'Reference Curves'!$G$26),1)),2))))</f>
        <v/>
      </c>
      <c r="G324" s="269" t="str">
        <f>IFERROR(AVERAGE(F324),"")</f>
        <v/>
      </c>
      <c r="H324" s="472"/>
      <c r="I324" s="447"/>
      <c r="J324" s="462"/>
    </row>
    <row r="325" spans="1:10" ht="15.75" x14ac:dyDescent="0.25">
      <c r="A325" s="474" t="s">
        <v>16</v>
      </c>
      <c r="B325" s="270" t="s">
        <v>231</v>
      </c>
      <c r="C325" s="220" t="s">
        <v>232</v>
      </c>
      <c r="D325" s="221"/>
      <c r="E325" s="46"/>
      <c r="F325" s="238" t="str">
        <f>IF(E325="","",IF(F309="Alaska Range",ROUND(IF(E325&lt;=0.05,0, IF(E325&gt;=6.3,1,IF(E325&lt;=1.5,'Reference Curves'!$K$5*E325+'Reference Curves'!$K$6, 'Reference Curves'!$L$5*E325+'Reference Curves'!$L$6))),2),
IF(F309="Brooks Range",ROUND(IF(E325&gt;=4.2,1,IF(E325&lt;0.03,0, IF(E325&lt;=1.2,'Reference Curves'!$M$5*E325+'Reference Curves'!$M$6, 'Reference Curves'!$N$5*E325+'Reference Curves'!$N$6))),2),
IF(OR(F309="Interior Bottomlands", F309="Yukon Flats"),ROUND(IF(E325&gt;=54.5,1,IF(E325&lt;=3.7,'Reference Curves'!$K$11*E325+'Reference Curves'!$K$12, IF(E325&lt;4.7,  'Reference Curves'!$L$11*E325+'Reference Curves'!$L$12,  'Reference Curves'!$M$11*E325+'Reference Curves'!$M$12))),2),
IF(OR(F309="Interior Forested Lowlands/Uplands",F309="Interior Highlands"),ROUND(IF(E325=0,0,IF(E325&gt;=24.1,1,IF(E325&lt;=1.3,'Reference Curves'!$N$11*E325+'Reference Curves'!$N$12, 'Reference Curves'!$O$11*E325+'Reference Curves'!$O$12))),2))))))</f>
        <v/>
      </c>
      <c r="G325" s="265" t="str">
        <f>IFERROR(AVERAGE(F325:F325),"")</f>
        <v/>
      </c>
      <c r="H325" s="476" t="str">
        <f>IFERROR(ROUND(AVERAGE(G325:G335),2),"")</f>
        <v/>
      </c>
      <c r="I325" s="479" t="str">
        <f>IF(H325="","",IF(H325&gt;0.69,"Functioning",IF(H325&gt;0.29,"Functioning At Risk",IF(H325&gt;-1,"Not Functioning"))))</f>
        <v/>
      </c>
      <c r="J325" s="462"/>
    </row>
    <row r="326" spans="1:10" ht="15.75" x14ac:dyDescent="0.25">
      <c r="A326" s="475"/>
      <c r="B326" s="475" t="s">
        <v>99</v>
      </c>
      <c r="C326" s="16" t="s">
        <v>37</v>
      </c>
      <c r="D326" s="100"/>
      <c r="E326" s="234"/>
      <c r="F326" s="123" t="str">
        <f>IF(E326="","",IF(OR(E326="Ex/Ex",E326="Ex/VH",E326="Ex/H",E326="Ex/M",E326="VH/Ex",E326="VH/VH", E326="H/Ex",E326="H/VH"),0,
IF(OR(E326="M/Ex"),0.1,
IF(OR(E326="VH/H",E326="VH/M",E326="H/H",E326="H/M", E326="M/VH"),0.2,
IF(OR(E326="Ex/VL",E326="Ex/L", E326="M/H"),0.3,
IF(OR(E326="VH/L",E326="H/L"),0.4,
IF(OR(E326="VH/VL",E326="H/VL",E326="M/M"),0.5,
IF(OR(E326="M/L",E326="L/Ex"),0.6,
IF(OR(E326="M/VL",E326="L/VH", E326="L/H",E326="L/M",E326="L/L",E326="L/VL", LEFT(E326,2)="VL"),1)))))))))</f>
        <v/>
      </c>
      <c r="G326" s="476" t="str">
        <f>IFERROR(IF(E328&gt;=50,0,AVERAGE(F326:F328)),"")</f>
        <v/>
      </c>
      <c r="H326" s="477"/>
      <c r="I326" s="480"/>
      <c r="J326" s="462"/>
    </row>
    <row r="327" spans="1:10" ht="15.75" x14ac:dyDescent="0.25">
      <c r="A327" s="475"/>
      <c r="B327" s="475"/>
      <c r="C327" s="98" t="s">
        <v>48</v>
      </c>
      <c r="D327" s="230"/>
      <c r="E327" s="32"/>
      <c r="F327" s="123" t="str">
        <f>IF(E327="","",ROUND(IF(E327&gt;=75,0,IF(E327&lt;=5,1,IF(E327&gt;10,E327*'Reference Curves'!K$17+'Reference Curves'!K$18,'Reference Curves'!$L$17*E327+'Reference Curves'!$L$18))),2))</f>
        <v/>
      </c>
      <c r="G327" s="477"/>
      <c r="H327" s="477"/>
      <c r="I327" s="480"/>
      <c r="J327" s="462"/>
    </row>
    <row r="328" spans="1:10" ht="15.75" x14ac:dyDescent="0.25">
      <c r="A328" s="475"/>
      <c r="B328" s="482"/>
      <c r="C328" s="99" t="s">
        <v>233</v>
      </c>
      <c r="D328" s="231"/>
      <c r="E328" s="33"/>
      <c r="F328" s="124" t="str">
        <f>IF(E328="","",IF(E328&gt;=30,0,ROUND(E328*'Reference Curves'!$K$22+'Reference Curves'!$K$23,2)))</f>
        <v/>
      </c>
      <c r="G328" s="478"/>
      <c r="H328" s="477"/>
      <c r="I328" s="480"/>
      <c r="J328" s="462"/>
    </row>
    <row r="329" spans="1:10" ht="15.75" x14ac:dyDescent="0.25">
      <c r="A329" s="475"/>
      <c r="B329" s="268" t="s">
        <v>234</v>
      </c>
      <c r="C329" s="17" t="s">
        <v>235</v>
      </c>
      <c r="D329" s="100"/>
      <c r="E329" s="33"/>
      <c r="F329" s="123" t="str">
        <f>IF(E329="","",IF(OR(D310="Cobble",D310="Boulders",D310="Bedrock"),ROUND(IF(E329&lt;=0,1,IF(E329&gt;=13.7,0, IF(E329&gt;5,E329*'Reference Curves'!$M$29+'Reference Curves'!$M$30,  E329*'Reference Curves'!$N$29+'Reference Curves'!$N$30))),2),
IF(D310="Gravel",ROUND(IF(E329&lt;=3,1,IF(E329&gt;=54,0, IF(E329&gt;15,E329*'Reference Curves'!$K$29+'Reference Curves'!$K$30,  E329*'Reference Curves'!$L$29+'Reference Curves'!$L$30))),2))))</f>
        <v/>
      </c>
      <c r="G329" s="265" t="str">
        <f>IFERROR(AVERAGE(F329:F329),"")</f>
        <v/>
      </c>
      <c r="H329" s="477"/>
      <c r="I329" s="480"/>
      <c r="J329" s="462"/>
    </row>
    <row r="330" spans="1:10" ht="15.75" x14ac:dyDescent="0.25">
      <c r="A330" s="475"/>
      <c r="B330" s="474" t="s">
        <v>39</v>
      </c>
      <c r="C330" s="14" t="s">
        <v>236</v>
      </c>
      <c r="D330" s="18"/>
      <c r="E330" s="35"/>
      <c r="F330" s="125" t="str">
        <f>IF(E330="","",IF(D308="Bc",IF(E330&gt;=12,0,IF(E330&lt;=3.4,1,ROUND('Reference Curves'!$K$39*E330+'Reference Curves'!$K$40,2))),
IF(OR(D308="B",D308="Ba"),IF(E330&gt;=6,0,IF(E330&lt;=2,1,ROUND(IF(E330&gt;3.9,'Reference Curves'!$K$35*E330+'Reference Curves'!$K$36,'Reference Curves'!$L$35*E330+'Reference Curves'!$L$36),2))),
IF(LEFT(D308,1)="C",IF(OR(E330&gt;=9.3,E330&lt;=3),0,IF(AND(E330&gt;=4,E330&lt;=6),1,ROUND(IF(E330&lt;4,'Reference Curves'!$K$49*E330+'Reference Curves'!$K$50,'Reference Curves'!$L$49*E330+'Reference Curves'!$L$50),2))),
IF(D308="E",IF(OR(E330&gt;=8.3,E330&lt;=1.8),0,IF(AND(E330&gt;=3.5,E330&lt;=5),1,ROUND(IF(E330&lt;3.5,'Reference Curves'!$K$44*E330+'Reference Curves'!$K$45,'Reference Curves'!$L$44*E330+'Reference Curves'!$L$45),2)))      )))))</f>
        <v/>
      </c>
      <c r="G330" s="483" t="str">
        <f>IFERROR(AVERAGE(F330:F332),"")</f>
        <v/>
      </c>
      <c r="H330" s="477"/>
      <c r="I330" s="480"/>
      <c r="J330" s="462"/>
    </row>
    <row r="331" spans="1:10" ht="15.75" x14ac:dyDescent="0.25">
      <c r="A331" s="475"/>
      <c r="B331" s="475"/>
      <c r="C331" s="16" t="s">
        <v>237</v>
      </c>
      <c r="D331" s="100"/>
      <c r="E331" s="34"/>
      <c r="F331" s="126" t="str">
        <f>IF(E331="","",ROUND(IF(E331&lt;=1,0, IF(OR(D308="B", D308="Ba"), IF(E331&gt;=2.8,1,IF(E331&gt;=1.8,'Reference Curves'!$L$56*E331+'Reference Curves'!$L$57,'Reference Curves'!$K$56*E331+'Reference Curves'!$K$57)),IF(E331&gt;=3.2,1,IF(E331&gt;=2.2,'Reference Curves'!$N$56*E331+'Reference Curves'!$N$57,'Reference Curves'!$M$56*E331+'Reference Curves'!$M$57)))),2))</f>
        <v/>
      </c>
      <c r="G331" s="484"/>
      <c r="H331" s="477"/>
      <c r="I331" s="480"/>
      <c r="J331" s="462"/>
    </row>
    <row r="332" spans="1:10" ht="15.75" x14ac:dyDescent="0.25">
      <c r="A332" s="475"/>
      <c r="B332" s="475"/>
      <c r="C332" s="16" t="s">
        <v>79</v>
      </c>
      <c r="D332" s="100"/>
      <c r="E332" s="34"/>
      <c r="F332" s="266" t="str">
        <f>IF(E332="","",IF(D309&gt;=3,IF(OR(E332&lt;=0,E332&gt;=100),0,IF(AND(E332&gt;=68,E332&lt;=85),1,IF(E332&lt;68,IF(E332&lt;62,ROUND(E332*'Reference Curves'!$K$69+'Reference Curves'!$K$70,2),ROUND(E332*'Reference Curves'!$L$69+'Reference Curves'!$L$70,2)),
IF(E332&gt;87,ROUND(E332*'Reference Curves'!$M$69+'Reference Curves'!$M$70,2),ROUND(E332*'Reference Curves'!$N$69+'Reference Curves'!$N$70,2))))),
IF(D309&lt;&gt;0,IF(OR(E332&lt;=0,E332&gt;=100),0,IF(AND(E332&lt;=60,E332&gt;=50),1,IF(E332&lt;50,IF(E332&lt;39,ROUND(E332*'Reference Curves'!$K$63+'Reference Curves'!$K$64,2),ROUND(E332*'Reference Curves'!$L$63+'Reference Curves'!$L$64,2)),
IF(E332&gt;69,ROUND(E332*'Reference Curves'!$M$63+'Reference Curves'!$M$64,2),ROUND(E332*'Reference Curves'!$N$63+'Reference Curves'!$N$64,2))))))))</f>
        <v/>
      </c>
      <c r="G332" s="484"/>
      <c r="H332" s="477"/>
      <c r="I332" s="480"/>
      <c r="J332" s="462"/>
    </row>
    <row r="333" spans="1:10" ht="15.75" x14ac:dyDescent="0.25">
      <c r="A333" s="475"/>
      <c r="B333" s="474" t="s">
        <v>38</v>
      </c>
      <c r="C333" s="14" t="s">
        <v>238</v>
      </c>
      <c r="D333" s="41"/>
      <c r="E333" s="15"/>
      <c r="F333" s="127" t="str">
        <f>IF( E333="","",
IF( F308="Unconfined Alluvial", IF( E333&gt;=100,1,
ROUND('Reference Curves'!$K$76*E333+'Reference Curves'!$K$77,2) ),
IF( OR(F308="Confined Alluvial", F308="Colluvial/V-Shaped"), ( IF(E333&gt;=100,1,
IF(E333&gt;=60, ROUND('Reference Curves'!$M$76*E333+'Reference Curves'!$M$77,2), ROUND('Reference Curves'!$L$76*E333+'Reference Curves'!$L$77,2) ) ) ) ) ) )</f>
        <v/>
      </c>
      <c r="G333" s="476" t="str">
        <f>IFERROR(AVERAGE(F333:F335),"")</f>
        <v/>
      </c>
      <c r="H333" s="477"/>
      <c r="I333" s="480"/>
      <c r="J333" s="462"/>
    </row>
    <row r="334" spans="1:10" ht="15.75" x14ac:dyDescent="0.25">
      <c r="A334" s="475"/>
      <c r="B334" s="475"/>
      <c r="C334" s="16" t="s">
        <v>202</v>
      </c>
      <c r="D334" s="57"/>
      <c r="E334" s="65"/>
      <c r="F334" s="126" t="str">
        <f>IF(E334="","",IF(OR(F309="Alaska Range",F309="Brooks Range"),ROUND(IF(E334&gt;=1.57,1,IF(E334&lt;=0.06,'Reference Curves'!$K$83*E334+'Reference Curves'!$K$84, IF(E334&lt;0.83, 'Reference Curves'!$L$83*E334+'Reference Curves'!$L$84, 'Reference Curves'!$M$83*E334+'Reference Curves'!$M$84))),2),
IF(F309="Interior Highlands",ROUND(IF(E334&gt;=1.67,1,IF(E334&lt;=0.94,'Reference Curves'!$N$83*E334+'Reference Curves'!$N$84, IF(E334&lt;1.21, 'Reference Curves'!$O$83*E334+'Reference Curves'!$O$84, 'Reference Curves'!$P$83*E334+'Reference Curves'!$P$84))),2),
IF(OR(F309="Interior Bottomlands",F309="Yukon Flats"),ROUND(IF(E334&gt;=1.82,1,IF(E334&lt;=1.19,'Reference Curves'!$K$89*E334+'Reference Curves'!$K$90, IF(E334&lt;1.37, 'Reference Curves'!$L$89*E334+'Reference Curves'!$L$90, 'Reference Curves'!$M$89*E334+'Reference Curves'!$M$90))),2),
IF(F309="Interior Forested Lowlands/Uplands",ROUND(IF(E334&gt;=1.87,1,IF(E334&lt;=1.24,'Reference Curves'!$N$89*E334+'Reference Curves'!$N$90, IF(E334&lt;1.45, 'Reference Curves'!$O$89*E334+'Reference Curves'!$O$90, 'Reference Curves'!$P$89*E334+'Reference Curves'!$P$90))),2))))))</f>
        <v/>
      </c>
      <c r="G334" s="477"/>
      <c r="H334" s="477"/>
      <c r="I334" s="480"/>
      <c r="J334" s="462"/>
    </row>
    <row r="335" spans="1:10" ht="15.75" x14ac:dyDescent="0.25">
      <c r="A335" s="475"/>
      <c r="B335" s="475"/>
      <c r="C335" s="16" t="s">
        <v>239</v>
      </c>
      <c r="D335" s="57"/>
      <c r="E335" s="65"/>
      <c r="F335" s="266" t="str">
        <f>IF(E335="","",IF(E335&lt;83.5,0,IF(E335&gt;=100,1,ROUND(E335*'Reference Curves'!$K$94+'Reference Curves'!$K$95,2))))</f>
        <v/>
      </c>
      <c r="G335" s="478"/>
      <c r="H335" s="478"/>
      <c r="I335" s="481"/>
      <c r="J335" s="462"/>
    </row>
    <row r="336" spans="1:10" ht="15.75" x14ac:dyDescent="0.25">
      <c r="A336" s="485" t="s">
        <v>41</v>
      </c>
      <c r="B336" s="223" t="s">
        <v>115</v>
      </c>
      <c r="C336" s="224" t="s">
        <v>340</v>
      </c>
      <c r="D336" s="225"/>
      <c r="E336" s="28"/>
      <c r="F336" s="232" t="str">
        <f>IF(E336="","", IF(E336&lt;=1.1,1, IF(E336 &gt;1.315,0, ROUND(E336*'Reference Curves'!R$3+'Reference Curves'!R$4,2))))</f>
        <v/>
      </c>
      <c r="G336" s="267" t="str">
        <f>IFERROR(AVERAGE(F336:F336),"")</f>
        <v/>
      </c>
      <c r="H336" s="488" t="str">
        <f>IFERROR(AVERAGE(G336:G338),"")</f>
        <v/>
      </c>
      <c r="I336" s="436" t="str">
        <f>IF(H336="","",IF(H336&gt;0.69,"Functioning",IF(H336&gt;0.29,"Functioning At Risk",IF(H336&gt;-1,"Not Functioning"))))</f>
        <v/>
      </c>
      <c r="J336" s="462"/>
    </row>
    <row r="337" spans="1:10" ht="15.75" x14ac:dyDescent="0.25">
      <c r="A337" s="486"/>
      <c r="B337" s="223" t="s">
        <v>240</v>
      </c>
      <c r="C337" s="224" t="s">
        <v>341</v>
      </c>
      <c r="D337" s="225"/>
      <c r="E337" s="46"/>
      <c r="F337" s="240" t="str">
        <f>IF(E337="","",ROUND( IF(E337&lt;=3,1, IF(E337&gt;=100,0,IF(E337&gt;10, E337*'Reference Curves'!$R$9+'Reference Curves'!$R$10,E337*'Reference Curves'!$S$9+'Reference Curves'!$S$10))),2))</f>
        <v/>
      </c>
      <c r="G337" s="232" t="str">
        <f>IFERROR(AVERAGE(F337),"")</f>
        <v/>
      </c>
      <c r="H337" s="489"/>
      <c r="I337" s="436"/>
      <c r="J337" s="462"/>
    </row>
    <row r="338" spans="1:10" ht="15.75" x14ac:dyDescent="0.25">
      <c r="A338" s="487"/>
      <c r="B338" s="223" t="s">
        <v>241</v>
      </c>
      <c r="C338" s="226" t="s">
        <v>355</v>
      </c>
      <c r="D338" s="227"/>
      <c r="E338" s="46"/>
      <c r="F338" s="232" t="str">
        <f>IF(E338="","", IF(E338&gt;=75,1, IF(E338 &lt;19,0, ROUND(E338*'Reference Curves'!R$14+'Reference Curves'!R$15,2))))</f>
        <v/>
      </c>
      <c r="G338" s="232" t="str">
        <f>IFERROR(AVERAGE(F338),"")</f>
        <v/>
      </c>
      <c r="H338" s="490"/>
      <c r="I338" s="436"/>
      <c r="J338" s="462"/>
    </row>
    <row r="339" spans="1:10" ht="15.75" x14ac:dyDescent="0.25">
      <c r="A339" s="437" t="s">
        <v>42</v>
      </c>
      <c r="B339" s="228" t="s">
        <v>80</v>
      </c>
      <c r="C339" s="229" t="s">
        <v>366</v>
      </c>
      <c r="D339" s="26"/>
      <c r="E339" s="28"/>
      <c r="F339" s="128" t="str">
        <f>IF(E339="","",ROUND( IF(E339&gt;=81,0, IF(E339&lt;=36,1,IF(E339&gt;62, E339*'Reference Curves'!$V$4+'Reference Curves'!$V$5,IF(E339&gt;43, E339*'Reference Curves'!$W$4+'Reference Curves'!$W$5,E339*'Reference Curves'!$X$4+'Reference Curves'!$X$5)))),2))</f>
        <v/>
      </c>
      <c r="G339" s="104" t="str">
        <f>IFERROR(AVERAGE(F339),"")</f>
        <v/>
      </c>
      <c r="H339" s="440" t="str">
        <f>IFERROR(ROUND(AVERAGE(G339:G342),2),"")</f>
        <v/>
      </c>
      <c r="I339" s="436" t="str">
        <f>IF(H339="","",IF(H339&gt;0.69,"Functioning",IF(H339&gt;0.29,"Functioning At Risk",IF(H339&gt;-1,"Not Functioning"))))</f>
        <v/>
      </c>
      <c r="J339" s="462"/>
    </row>
    <row r="340" spans="1:10" ht="15.75" x14ac:dyDescent="0.25">
      <c r="A340" s="438"/>
      <c r="B340" s="437" t="s">
        <v>45</v>
      </c>
      <c r="C340" s="229" t="s">
        <v>242</v>
      </c>
      <c r="D340" s="26"/>
      <c r="E340" s="35"/>
      <c r="F340" s="104" t="str">
        <f>IF(E340="","",IF(F310="Anadromous", IF(E340&lt;=0,0,IF(E340&gt;=100,1,ROUND(IF(E340&lt;80,E340*'Reference Curves'!$V$11+'Reference Curves'!$V$12,E340*'Reference Curves'!$W$11+'Reference Curves'!$W$12),2))),
IF(F310="Non-anadromous", IF(E340&lt;=0,0,IF(E340&gt;=100,1,ROUND(IF(E340&lt;60,E340*'Reference Curves'!$X$11+'Reference Curves'!$X$12,E340*'Reference Curves'!$Y$11+'Reference Curves'!$Y$12),2))))))</f>
        <v/>
      </c>
      <c r="G340" s="441" t="str">
        <f>IFERROR(AVERAGE(F340:F342),"")</f>
        <v/>
      </c>
      <c r="H340" s="440"/>
      <c r="I340" s="436"/>
      <c r="J340" s="462"/>
    </row>
    <row r="341" spans="1:10" ht="15.75" x14ac:dyDescent="0.25">
      <c r="A341" s="438"/>
      <c r="B341" s="438"/>
      <c r="C341" s="294" t="s">
        <v>322</v>
      </c>
      <c r="D341" s="295"/>
      <c r="E341" s="34"/>
      <c r="F341" s="104" t="str">
        <f>IF(E341="","", IF(E341&lt;=0,0,IF(E341&gt;=0.9,1,ROUND(E341*'Reference Curves'!$V$16+'Reference Curves'!$V$17,2))))</f>
        <v/>
      </c>
      <c r="G341" s="491"/>
      <c r="H341" s="440"/>
      <c r="I341" s="436"/>
      <c r="J341" s="462"/>
    </row>
    <row r="342" spans="1:10" ht="15.75" x14ac:dyDescent="0.25">
      <c r="A342" s="439"/>
      <c r="B342" s="439"/>
      <c r="C342" s="101" t="s">
        <v>243</v>
      </c>
      <c r="D342" s="103"/>
      <c r="E342" s="36"/>
      <c r="F342" s="128" t="str">
        <f>IF(E342="","", IF(E342&lt;=0,0,IF(E342&gt;=0.9,1,ROUND(E342*'Reference Curves'!$V$16+'Reference Curves'!$V$17,2))))</f>
        <v/>
      </c>
      <c r="G342" s="443"/>
      <c r="H342" s="440"/>
      <c r="I342" s="436"/>
      <c r="J342" s="463"/>
    </row>
    <row r="343" spans="1:10" x14ac:dyDescent="0.25">
      <c r="J343" s="3"/>
    </row>
    <row r="345" spans="1:10" ht="21" x14ac:dyDescent="0.25">
      <c r="A345" s="495" t="s">
        <v>167</v>
      </c>
      <c r="B345" s="496"/>
      <c r="C345" s="496"/>
      <c r="D345" s="496"/>
      <c r="E345" s="496"/>
      <c r="F345" s="496"/>
      <c r="G345" s="496"/>
      <c r="H345" s="496"/>
      <c r="I345" s="496"/>
      <c r="J345" s="497"/>
    </row>
    <row r="346" spans="1:10" ht="15.75" x14ac:dyDescent="0.25">
      <c r="A346" s="115" t="s">
        <v>59</v>
      </c>
      <c r="B346" s="130" t="str">
        <f>IF('Project Assessment'!A19="","",'Project Assessment'!A19)</f>
        <v/>
      </c>
      <c r="C346" s="115" t="s">
        <v>168</v>
      </c>
      <c r="D346" s="130" t="str">
        <f>IF('Existing Conditions'!D346="","",'Existing Conditions'!D346)</f>
        <v/>
      </c>
      <c r="E346" s="250" t="s">
        <v>73</v>
      </c>
      <c r="F346" s="505" t="str">
        <f>IF('Existing Conditions'!F346="","",'Existing Conditions'!F346)</f>
        <v/>
      </c>
      <c r="G346" s="506" t="str">
        <f>IF('Existing Conditions'!G346="","",'Existing Conditions'!G346)</f>
        <v/>
      </c>
      <c r="H346" s="493" t="s">
        <v>102</v>
      </c>
      <c r="I346" s="494"/>
      <c r="J346" s="130">
        <f>'Existing Conditions'!J346</f>
        <v>0</v>
      </c>
    </row>
    <row r="347" spans="1:10" ht="15.75" x14ac:dyDescent="0.25">
      <c r="A347" s="134" t="s">
        <v>212</v>
      </c>
      <c r="B347" s="130" t="str">
        <f>IF('Project Assessment'!B19="","",'Project Assessment'!B19)</f>
        <v/>
      </c>
      <c r="C347" s="250" t="s">
        <v>359</v>
      </c>
      <c r="D347" s="130" t="str">
        <f>IF('Existing Conditions'!D347="","",'Existing Conditions'!D347)</f>
        <v/>
      </c>
      <c r="E347" s="250" t="s">
        <v>156</v>
      </c>
      <c r="F347" s="505" t="str">
        <f>IF('Existing Conditions'!F347="","",'Existing Conditions'!F347)</f>
        <v/>
      </c>
      <c r="G347" s="506" t="str">
        <f>IF('Existing Conditions'!G347="","",'Existing Conditions'!G347)</f>
        <v/>
      </c>
      <c r="H347" s="493" t="s">
        <v>103</v>
      </c>
      <c r="I347" s="494"/>
      <c r="J347" s="130">
        <f>'Existing Conditions'!J347</f>
        <v>0</v>
      </c>
    </row>
    <row r="348" spans="1:10" ht="15.75" x14ac:dyDescent="0.25">
      <c r="A348" s="119" t="s">
        <v>157</v>
      </c>
      <c r="B348" s="130" t="str">
        <f>IF('Project Assessment'!C19="","",'Project Assessment'!C19)</f>
        <v/>
      </c>
      <c r="C348" s="239" t="s">
        <v>360</v>
      </c>
      <c r="D348" s="130" t="str">
        <f>IF('Existing Conditions'!D348="","",'Existing Conditions'!D348)</f>
        <v/>
      </c>
      <c r="E348" s="250" t="s">
        <v>220</v>
      </c>
      <c r="F348" s="505" t="str">
        <f>IF('Existing Conditions'!F348="","",'Existing Conditions'!F348)</f>
        <v/>
      </c>
      <c r="G348" s="506" t="str">
        <f>IF('Existing Conditions'!G348="","",'Existing Conditions'!G348)</f>
        <v/>
      </c>
      <c r="H348" s="493" t="s">
        <v>104</v>
      </c>
      <c r="I348" s="494"/>
      <c r="J348" s="130">
        <f>'Existing Conditions'!J348</f>
        <v>0</v>
      </c>
    </row>
    <row r="349" spans="1:10" ht="15.75" x14ac:dyDescent="0.25">
      <c r="A349" s="499"/>
      <c r="B349" s="500"/>
      <c r="C349" s="233" t="s">
        <v>155</v>
      </c>
      <c r="D349" s="130" t="str">
        <f>IF('Existing Conditions'!D349="","",'Existing Conditions'!D349)</f>
        <v/>
      </c>
      <c r="E349" s="502"/>
      <c r="F349" s="503"/>
      <c r="G349" s="504"/>
      <c r="H349" s="493" t="s">
        <v>105</v>
      </c>
      <c r="I349" s="494"/>
      <c r="J349" s="130">
        <f>'Existing Conditions'!J349</f>
        <v>0</v>
      </c>
    </row>
    <row r="350" spans="1:10" ht="7.5" customHeight="1" x14ac:dyDescent="0.25">
      <c r="B350" s="50"/>
      <c r="C350" s="50"/>
      <c r="D350" s="50"/>
      <c r="E350" s="50"/>
      <c r="F350" s="50"/>
      <c r="G350" s="50"/>
      <c r="H350" s="50"/>
      <c r="I350" s="48"/>
      <c r="J350" s="9"/>
    </row>
    <row r="351" spans="1:10" ht="21" x14ac:dyDescent="0.35">
      <c r="A351" s="492" t="str">
        <f>_xlfn.CONCAT("PROPOSED CONDITION ASSESSMENT for Reach ",B346)</f>
        <v xml:space="preserve">PROPOSED CONDITION ASSESSMENT for Reach </v>
      </c>
      <c r="B351" s="492"/>
      <c r="C351" s="492"/>
      <c r="D351" s="492"/>
      <c r="E351" s="492"/>
      <c r="F351" s="492"/>
      <c r="G351" s="492" t="s">
        <v>10</v>
      </c>
      <c r="H351" s="492"/>
      <c r="I351" s="492"/>
      <c r="J351" s="492"/>
    </row>
    <row r="352" spans="1:10" ht="15.75" x14ac:dyDescent="0.25">
      <c r="A352" s="30" t="s">
        <v>1</v>
      </c>
      <c r="B352" s="30" t="s">
        <v>2</v>
      </c>
      <c r="C352" s="448" t="s">
        <v>316</v>
      </c>
      <c r="D352" s="501"/>
      <c r="E352" s="30" t="s">
        <v>8</v>
      </c>
      <c r="F352" s="29" t="s">
        <v>9</v>
      </c>
      <c r="G352" s="30" t="s">
        <v>11</v>
      </c>
      <c r="H352" s="30" t="s">
        <v>12</v>
      </c>
      <c r="I352" s="49" t="s">
        <v>12</v>
      </c>
      <c r="J352" s="271" t="s">
        <v>130</v>
      </c>
    </row>
    <row r="353" spans="1:10" ht="15.75" x14ac:dyDescent="0.25">
      <c r="A353" s="450" t="s">
        <v>223</v>
      </c>
      <c r="B353" s="453" t="s">
        <v>224</v>
      </c>
      <c r="C353" s="212" t="s">
        <v>114</v>
      </c>
      <c r="D353" s="215"/>
      <c r="E353" s="35"/>
      <c r="F353" s="218" t="str">
        <f>IF(E353="","",IF(E353&gt;=86,0,IF(E353&lt;=9,1,ROUND(IF(E353&gt;22,E353*'Reference Curves'!B$4+'Reference Curves'!B$5, IF(E353&gt;16, E353*'Reference Curves'!C$4+'Reference Curves'!C$5,E353*'Reference Curves'!$D$4+'Reference Curves'!$D$5)),2))))</f>
        <v/>
      </c>
      <c r="G353" s="456" t="str">
        <f>IFERROR(AVERAGE(F353:F355),"")</f>
        <v/>
      </c>
      <c r="H353" s="458" t="str">
        <f>IFERROR(ROUND(AVERAGE(G353:G359),2),"")</f>
        <v/>
      </c>
      <c r="I353" s="445" t="str">
        <f>IF(H353="","",IF(H353&gt;0.69,"Functioning",IF(H353&gt;0.29,"Functioning At Risk",IF(H353&gt;-1,"Not Functioning"))))</f>
        <v/>
      </c>
      <c r="J353" s="461" t="str">
        <f>IF(AND(H353="",H360="",H363="",H374="",H377=""),"",ROUND((IF(H353="",0,H353)*0.2)+(IF(H360="",0,H360)*0.2)+(IF(H363="",0,H363)*0.2)+(IF(H374="",0,H374)*0.2)+(IF(H377="",0,H377)*0.2),2))</f>
        <v/>
      </c>
    </row>
    <row r="354" spans="1:10" ht="15.75" x14ac:dyDescent="0.25">
      <c r="A354" s="451"/>
      <c r="B354" s="454"/>
      <c r="C354" s="213" t="s">
        <v>221</v>
      </c>
      <c r="D354" s="216"/>
      <c r="E354" s="34"/>
      <c r="F354" s="235" t="str">
        <f>IF(E354="","",IF(E354&gt;=33.5,0,IF(E354=0,1,ROUND(E354*'Reference Curves'!B$9+'Reference Curves'!B$10,2))))</f>
        <v/>
      </c>
      <c r="G354" s="457"/>
      <c r="H354" s="459"/>
      <c r="I354" s="446"/>
      <c r="J354" s="462"/>
    </row>
    <row r="355" spans="1:10" ht="15.75" x14ac:dyDescent="0.25">
      <c r="A355" s="451"/>
      <c r="B355" s="455"/>
      <c r="C355" s="214" t="s">
        <v>222</v>
      </c>
      <c r="D355" s="216"/>
      <c r="E355" s="36"/>
      <c r="F355" s="235" t="str">
        <f>IF(E355="","",IF(E355&gt;=61,0,IF(E355=0,1, ROUND(IF(E355&gt;35,E355*'Reference Curves'!B$15+'Reference Curves'!B$16,  E355*'Reference Curves'!C$15+'Reference Curves'!C$16),2))))</f>
        <v/>
      </c>
      <c r="G355" s="457"/>
      <c r="H355" s="459"/>
      <c r="I355" s="446"/>
      <c r="J355" s="462"/>
    </row>
    <row r="356" spans="1:10" ht="15.75" x14ac:dyDescent="0.25">
      <c r="A356" s="451"/>
      <c r="B356" s="464" t="s">
        <v>63</v>
      </c>
      <c r="C356" s="212" t="s">
        <v>114</v>
      </c>
      <c r="D356" s="215"/>
      <c r="E356" s="34"/>
      <c r="F356" s="218" t="str">
        <f>IF(E356="","",IF(E356&gt;=86,0,IF(E356&lt;=9,1,ROUND(IF(E356&gt;22,E356*'Reference Curves'!B$4+'Reference Curves'!B$5, IF(E356&gt;16, E356*'Reference Curves'!C$4+'Reference Curves'!C$5,E356*'Reference Curves'!$D$4+'Reference Curves'!$D$5)),2))))</f>
        <v/>
      </c>
      <c r="G356" s="456" t="str">
        <f>IFERROR(AVERAGE(F356:F359),"")</f>
        <v/>
      </c>
      <c r="H356" s="459"/>
      <c r="I356" s="446"/>
      <c r="J356" s="462"/>
    </row>
    <row r="357" spans="1:10" ht="15.75" x14ac:dyDescent="0.25">
      <c r="A357" s="451"/>
      <c r="B357" s="464"/>
      <c r="C357" s="213" t="s">
        <v>221</v>
      </c>
      <c r="D357" s="216"/>
      <c r="E357" s="34"/>
      <c r="F357" s="235" t="str">
        <f>IF(E357="","",IF(E357&gt;=33.5,0,IF(E357=0,1,ROUND(E357*'Reference Curves'!B$9+'Reference Curves'!B$10,2))))</f>
        <v/>
      </c>
      <c r="G357" s="457"/>
      <c r="H357" s="459"/>
      <c r="I357" s="446"/>
      <c r="J357" s="462"/>
    </row>
    <row r="358" spans="1:10" ht="15.75" x14ac:dyDescent="0.25">
      <c r="A358" s="451"/>
      <c r="B358" s="464"/>
      <c r="C358" s="213" t="s">
        <v>222</v>
      </c>
      <c r="D358" s="216"/>
      <c r="E358" s="34"/>
      <c r="F358" s="235" t="str">
        <f>IF(E358="","",IF(E358&gt;=61,0,IF(E358=0,1, ROUND(IF(E358&gt;35,E358*'Reference Curves'!B$15+'Reference Curves'!B$16,  E358*'Reference Curves'!C$15+'Reference Curves'!C$16),2))))</f>
        <v/>
      </c>
      <c r="G358" s="457"/>
      <c r="H358" s="459"/>
      <c r="I358" s="446"/>
      <c r="J358" s="462"/>
    </row>
    <row r="359" spans="1:10" ht="15.75" x14ac:dyDescent="0.25">
      <c r="A359" s="452"/>
      <c r="B359" s="465"/>
      <c r="C359" s="214" t="s">
        <v>225</v>
      </c>
      <c r="D359" s="217"/>
      <c r="E359" s="34"/>
      <c r="F359" s="236" t="str">
        <f>IF(E359="","",   IF(E359&gt;3.35,0, IF(E359&lt;0, "", ROUND('Reference Curves'!$B$20*E359+'Reference Curves'!$B$21,2))))</f>
        <v/>
      </c>
      <c r="G359" s="457"/>
      <c r="H359" s="460"/>
      <c r="I359" s="447"/>
      <c r="J359" s="462"/>
    </row>
    <row r="360" spans="1:10" ht="15.75" x14ac:dyDescent="0.25">
      <c r="A360" s="466" t="s">
        <v>226</v>
      </c>
      <c r="B360" s="469" t="s">
        <v>3</v>
      </c>
      <c r="C360" s="95" t="s">
        <v>227</v>
      </c>
      <c r="D360" s="13"/>
      <c r="E360" s="28"/>
      <c r="F360" s="121" t="str">
        <f>IF(E360="","", IF(E360&gt;1.71,0,IF(E360&lt;=1,1, ROUND(E360*'Reference Curves'!G$3+'Reference Curves'!G$4,2))))</f>
        <v/>
      </c>
      <c r="G360" s="471" t="str">
        <f>IFERROR(AVERAGE(F360:F361),"")</f>
        <v/>
      </c>
      <c r="H360" s="471" t="str">
        <f>IFERROR(ROUND(AVERAGE(G360:G362),2),"")</f>
        <v/>
      </c>
      <c r="I360" s="445" t="str">
        <f>IF(H360="","",IF(H360&gt;0.69,"Functioning",IF(H360&gt;0.29,"Functioning At Risk",IF(H360&gt;-1,"Not Functioning"))))</f>
        <v/>
      </c>
      <c r="J360" s="462"/>
    </row>
    <row r="361" spans="1:10" ht="15.75" x14ac:dyDescent="0.25">
      <c r="A361" s="467"/>
      <c r="B361" s="470"/>
      <c r="C361" s="97" t="s">
        <v>228</v>
      </c>
      <c r="D361" s="102"/>
      <c r="E361" s="33"/>
      <c r="F361" s="237" t="str">
        <f>IF(E361="","",IF(LEFT(D346,1)="B",IF(E361&lt;=1,0,IF(E361&gt;=2.2,1,ROUND(IF(E361&lt;1.4,E361*'Reference Curves'!$G$19+'Reference Curves'!$G$20,E361*'Reference Curves'!$H$19+'Reference Curves'!$H$20),2))),
IF(LEFT(D346,1)="C",IF(E361&lt;1.7,0,IF(E361&gt;=4.4,1,ROUND(IF(E361&gt;2.4,E361*'Reference Curves'!$H$9+'Reference Curves'!$H$10,E361*'Reference Curves'!$G$9+'Reference Curves'!$G$10),2))),
IF(LEFT(D346,1)="E",IF(E361&lt;1.7,0,IF(E361&gt;=6.5,1,ROUND(IF(E361&gt;2.4,E361*'Reference Curves'!$H$14+'Reference Curves'!$H$15,E361*'Reference Curves'!$G$14+'Reference Curves'!$G$15),2)))))))</f>
        <v/>
      </c>
      <c r="G361" s="472"/>
      <c r="H361" s="473"/>
      <c r="I361" s="446"/>
      <c r="J361" s="462"/>
    </row>
    <row r="362" spans="1:10" ht="15.75" x14ac:dyDescent="0.25">
      <c r="A362" s="468"/>
      <c r="B362" s="219" t="s">
        <v>229</v>
      </c>
      <c r="C362" s="96" t="s">
        <v>230</v>
      </c>
      <c r="D362" s="13"/>
      <c r="E362" s="32"/>
      <c r="F362" s="122" t="str">
        <f>IF(E362="","",IF(E362&gt;=180,0, IF(E362=100,1, ROUND(IF(E362&gt;100,E362*'Reference Curves'!$H$25+'Reference Curves'!$H$26, IF(E360&gt;1.2,IF(E362 &lt;=20,0, E362*'Reference Curves'!$G$25+'Reference Curves'!$G$26),1)),2))))</f>
        <v/>
      </c>
      <c r="G362" s="269" t="str">
        <f>IFERROR(AVERAGE(F362),"")</f>
        <v/>
      </c>
      <c r="H362" s="472"/>
      <c r="I362" s="447"/>
      <c r="J362" s="462"/>
    </row>
    <row r="363" spans="1:10" ht="15.75" x14ac:dyDescent="0.25">
      <c r="A363" s="474" t="s">
        <v>16</v>
      </c>
      <c r="B363" s="270" t="s">
        <v>231</v>
      </c>
      <c r="C363" s="220" t="s">
        <v>232</v>
      </c>
      <c r="D363" s="221"/>
      <c r="E363" s="46"/>
      <c r="F363" s="238" t="str">
        <f>IF(E363="","",IF(F347="Alaska Range",ROUND(IF(E363&lt;=0.05,0, IF(E363&gt;=6.3,1,IF(E363&lt;=1.5,'Reference Curves'!$K$5*E363+'Reference Curves'!$K$6, 'Reference Curves'!$L$5*E363+'Reference Curves'!$L$6))),2),
IF(F347="Brooks Range",ROUND(IF(E363&gt;=4.2,1,IF(E363&lt;0.03,0, IF(E363&lt;=1.2,'Reference Curves'!$M$5*E363+'Reference Curves'!$M$6, 'Reference Curves'!$N$5*E363+'Reference Curves'!$N$6))),2),
IF(OR(F347="Interior Bottomlands", F347="Yukon Flats"),ROUND(IF(E363&gt;=54.5,1,IF(E363&lt;=3.7,'Reference Curves'!$K$11*E363+'Reference Curves'!$K$12, IF(E363&lt;4.7,  'Reference Curves'!$L$11*E363+'Reference Curves'!$L$12,  'Reference Curves'!$M$11*E363+'Reference Curves'!$M$12))),2),
IF(OR(F347="Interior Forested Lowlands/Uplands",F347="Interior Highlands"),ROUND(IF(E363=0,0,IF(E363&gt;=24.1,1,IF(E363&lt;=1.3,'Reference Curves'!$N$11*E363+'Reference Curves'!$N$12, 'Reference Curves'!$O$11*E363+'Reference Curves'!$O$12))),2))))))</f>
        <v/>
      </c>
      <c r="G363" s="265" t="str">
        <f>IFERROR(AVERAGE(F363:F363),"")</f>
        <v/>
      </c>
      <c r="H363" s="476" t="str">
        <f>IFERROR(ROUND(AVERAGE(G363:G373),2),"")</f>
        <v/>
      </c>
      <c r="I363" s="479" t="str">
        <f>IF(H363="","",IF(H363&gt;0.69,"Functioning",IF(H363&gt;0.29,"Functioning At Risk",IF(H363&gt;-1,"Not Functioning"))))</f>
        <v/>
      </c>
      <c r="J363" s="462"/>
    </row>
    <row r="364" spans="1:10" ht="15.75" x14ac:dyDescent="0.25">
      <c r="A364" s="475"/>
      <c r="B364" s="475" t="s">
        <v>99</v>
      </c>
      <c r="C364" s="16" t="s">
        <v>37</v>
      </c>
      <c r="D364" s="100"/>
      <c r="E364" s="234"/>
      <c r="F364" s="123" t="str">
        <f>IF(E364="","",IF(OR(E364="Ex/Ex",E364="Ex/VH",E364="Ex/H",E364="Ex/M",E364="VH/Ex",E364="VH/VH", E364="H/Ex",E364="H/VH"),0,
IF(OR(E364="M/Ex"),0.1,
IF(OR(E364="VH/H",E364="VH/M",E364="H/H",E364="H/M", E364="M/VH"),0.2,
IF(OR(E364="Ex/VL",E364="Ex/L", E364="M/H"),0.3,
IF(OR(E364="VH/L",E364="H/L"),0.4,
IF(OR(E364="VH/VL",E364="H/VL",E364="M/M"),0.5,
IF(OR(E364="M/L",E364="L/Ex"),0.6,
IF(OR(E364="M/VL",E364="L/VH", E364="L/H",E364="L/M",E364="L/L",E364="L/VL", LEFT(E364,2)="VL"),1)))))))))</f>
        <v/>
      </c>
      <c r="G364" s="476" t="str">
        <f>IFERROR(IF(E366&gt;=50,0,AVERAGE(F364:F366)),"")</f>
        <v/>
      </c>
      <c r="H364" s="477"/>
      <c r="I364" s="480"/>
      <c r="J364" s="462"/>
    </row>
    <row r="365" spans="1:10" ht="15.75" x14ac:dyDescent="0.25">
      <c r="A365" s="475"/>
      <c r="B365" s="475"/>
      <c r="C365" s="98" t="s">
        <v>48</v>
      </c>
      <c r="D365" s="230"/>
      <c r="E365" s="32"/>
      <c r="F365" s="123" t="str">
        <f>IF(E365="","",ROUND(IF(E365&gt;=75,0,IF(E365&lt;=5,1,IF(E365&gt;10,E365*'Reference Curves'!K$17+'Reference Curves'!K$18,'Reference Curves'!$L$17*E365+'Reference Curves'!$L$18))),2))</f>
        <v/>
      </c>
      <c r="G365" s="477"/>
      <c r="H365" s="477"/>
      <c r="I365" s="480"/>
      <c r="J365" s="462"/>
    </row>
    <row r="366" spans="1:10" ht="15.75" x14ac:dyDescent="0.25">
      <c r="A366" s="475"/>
      <c r="B366" s="482"/>
      <c r="C366" s="99" t="s">
        <v>233</v>
      </c>
      <c r="D366" s="231"/>
      <c r="E366" s="33"/>
      <c r="F366" s="124" t="str">
        <f>IF(E366="","",IF(E366&gt;=30,0,ROUND(E366*'Reference Curves'!$K$22+'Reference Curves'!$K$23,2)))</f>
        <v/>
      </c>
      <c r="G366" s="478"/>
      <c r="H366" s="477"/>
      <c r="I366" s="480"/>
      <c r="J366" s="462"/>
    </row>
    <row r="367" spans="1:10" ht="15.75" x14ac:dyDescent="0.25">
      <c r="A367" s="475"/>
      <c r="B367" s="268" t="s">
        <v>234</v>
      </c>
      <c r="C367" s="17" t="s">
        <v>235</v>
      </c>
      <c r="D367" s="100"/>
      <c r="E367" s="33"/>
      <c r="F367" s="123" t="str">
        <f>IF(E367="","",IF(OR(D348="Cobble",D348="Boulders",D348="Bedrock"),ROUND(IF(E367&lt;=0,1,IF(E367&gt;=13.7,0, IF(E367&gt;5,E367*'Reference Curves'!$M$29+'Reference Curves'!$M$30,  E367*'Reference Curves'!$N$29+'Reference Curves'!$N$30))),2),
IF(D348="Gravel",ROUND(IF(E367&lt;=3,1,IF(E367&gt;=54,0, IF(E367&gt;15,E367*'Reference Curves'!$K$29+'Reference Curves'!$K$30,  E367*'Reference Curves'!$L$29+'Reference Curves'!$L$30))),2))))</f>
        <v/>
      </c>
      <c r="G367" s="265" t="str">
        <f>IFERROR(AVERAGE(F367:F367),"")</f>
        <v/>
      </c>
      <c r="H367" s="477"/>
      <c r="I367" s="480"/>
      <c r="J367" s="462"/>
    </row>
    <row r="368" spans="1:10" ht="15.75" x14ac:dyDescent="0.25">
      <c r="A368" s="475"/>
      <c r="B368" s="474" t="s">
        <v>39</v>
      </c>
      <c r="C368" s="14" t="s">
        <v>236</v>
      </c>
      <c r="D368" s="18"/>
      <c r="E368" s="35"/>
      <c r="F368" s="125" t="str">
        <f>IF(E368="","",IF(D346="Bc",IF(E368&gt;=12,0,IF(E368&lt;=3.4,1,ROUND('Reference Curves'!$K$39*E368+'Reference Curves'!$K$40,2))),
IF(OR(D346="B",D346="Ba"),IF(E368&gt;=6,0,IF(E368&lt;=2,1,ROUND(IF(E368&gt;3.9,'Reference Curves'!$K$35*E368+'Reference Curves'!$K$36,'Reference Curves'!$L$35*E368+'Reference Curves'!$L$36),2))),
IF(LEFT(D346,1)="C",IF(OR(E368&gt;=9.3,E368&lt;=3),0,IF(AND(E368&gt;=4,E368&lt;=6),1,ROUND(IF(E368&lt;4,'Reference Curves'!$K$49*E368+'Reference Curves'!$K$50,'Reference Curves'!$L$49*E368+'Reference Curves'!$L$50),2))),
IF(D346="E",IF(OR(E368&gt;=8.3,E368&lt;=1.8),0,IF(AND(E368&gt;=3.5,E368&lt;=5),1,ROUND(IF(E368&lt;3.5,'Reference Curves'!$K$44*E368+'Reference Curves'!$K$45,'Reference Curves'!$L$44*E368+'Reference Curves'!$L$45),2)))      )))))</f>
        <v/>
      </c>
      <c r="G368" s="483" t="str">
        <f>IFERROR(AVERAGE(F368:F370),"")</f>
        <v/>
      </c>
      <c r="H368" s="477"/>
      <c r="I368" s="480"/>
      <c r="J368" s="462"/>
    </row>
    <row r="369" spans="1:10" ht="15.75" x14ac:dyDescent="0.25">
      <c r="A369" s="475"/>
      <c r="B369" s="475"/>
      <c r="C369" s="16" t="s">
        <v>237</v>
      </c>
      <c r="D369" s="100"/>
      <c r="E369" s="34"/>
      <c r="F369" s="126" t="str">
        <f>IF(E369="","",ROUND(IF(E369&lt;=1,0, IF(OR(D346="B", D346="Ba"), IF(E369&gt;=2.8,1,IF(E369&gt;=1.8,'Reference Curves'!$L$56*E369+'Reference Curves'!$L$57,'Reference Curves'!$K$56*E369+'Reference Curves'!$K$57)),IF(E369&gt;=3.2,1,IF(E369&gt;=2.2,'Reference Curves'!$N$56*E369+'Reference Curves'!$N$57,'Reference Curves'!$M$56*E369+'Reference Curves'!$M$57)))),2))</f>
        <v/>
      </c>
      <c r="G369" s="484"/>
      <c r="H369" s="477"/>
      <c r="I369" s="480"/>
      <c r="J369" s="462"/>
    </row>
    <row r="370" spans="1:10" ht="15.75" x14ac:dyDescent="0.25">
      <c r="A370" s="475"/>
      <c r="B370" s="475"/>
      <c r="C370" s="16" t="s">
        <v>79</v>
      </c>
      <c r="D370" s="100"/>
      <c r="E370" s="34"/>
      <c r="F370" s="266" t="str">
        <f>IF(E370="","",IF(D347&gt;=3,IF(OR(E370&lt;=0,E370&gt;=100),0,IF(AND(E370&gt;=68,E370&lt;=85),1,IF(E370&lt;68,IF(E370&lt;62,ROUND(E370*'Reference Curves'!$K$69+'Reference Curves'!$K$70,2),ROUND(E370*'Reference Curves'!$L$69+'Reference Curves'!$L$70,2)),
IF(E370&gt;87,ROUND(E370*'Reference Curves'!$M$69+'Reference Curves'!$M$70,2),ROUND(E370*'Reference Curves'!$N$69+'Reference Curves'!$N$70,2))))),
IF(D347&lt;&gt;0,IF(OR(E370&lt;=0,E370&gt;=100),0,IF(AND(E370&lt;=60,E370&gt;=50),1,IF(E370&lt;50,IF(E370&lt;39,ROUND(E370*'Reference Curves'!$K$63+'Reference Curves'!$K$64,2),ROUND(E370*'Reference Curves'!$L$63+'Reference Curves'!$L$64,2)),
IF(E370&gt;69,ROUND(E370*'Reference Curves'!$M$63+'Reference Curves'!$M$64,2),ROUND(E370*'Reference Curves'!$N$63+'Reference Curves'!$N$64,2))))))))</f>
        <v/>
      </c>
      <c r="G370" s="484"/>
      <c r="H370" s="477"/>
      <c r="I370" s="480"/>
      <c r="J370" s="462"/>
    </row>
    <row r="371" spans="1:10" ht="15.75" x14ac:dyDescent="0.25">
      <c r="A371" s="475"/>
      <c r="B371" s="474" t="s">
        <v>38</v>
      </c>
      <c r="C371" s="14" t="s">
        <v>238</v>
      </c>
      <c r="D371" s="41"/>
      <c r="E371" s="15"/>
      <c r="F371" s="127" t="str">
        <f>IF( E371="","",
IF( F346="Unconfined Alluvial", IF( E371&gt;=100,1,
ROUND('Reference Curves'!$K$76*E371+'Reference Curves'!$K$77,2) ),
IF( OR(F346="Confined Alluvial", F346="Colluvial/V-Shaped"), ( IF(E371&gt;=100,1,
IF(E371&gt;=60, ROUND('Reference Curves'!$M$76*E371+'Reference Curves'!$M$77,2), ROUND('Reference Curves'!$L$76*E371+'Reference Curves'!$L$77,2) ) ) ) ) ) )</f>
        <v/>
      </c>
      <c r="G371" s="476" t="str">
        <f>IFERROR(AVERAGE(F371:F373),"")</f>
        <v/>
      </c>
      <c r="H371" s="477"/>
      <c r="I371" s="480"/>
      <c r="J371" s="462"/>
    </row>
    <row r="372" spans="1:10" ht="15.75" x14ac:dyDescent="0.25">
      <c r="A372" s="475"/>
      <c r="B372" s="475"/>
      <c r="C372" s="16" t="s">
        <v>202</v>
      </c>
      <c r="D372" s="57"/>
      <c r="E372" s="65"/>
      <c r="F372" s="126" t="str">
        <f>IF(E372="","",IF(OR(F347="Alaska Range",F347="Brooks Range"),ROUND(IF(E372&gt;=1.57,1,IF(E372&lt;=0.06,'Reference Curves'!$K$83*E372+'Reference Curves'!$K$84, IF(E372&lt;0.83, 'Reference Curves'!$L$83*E372+'Reference Curves'!$L$84, 'Reference Curves'!$M$83*E372+'Reference Curves'!$M$84))),2),
IF(F347="Interior Highlands",ROUND(IF(E372&gt;=1.67,1,IF(E372&lt;=0.94,'Reference Curves'!$N$83*E372+'Reference Curves'!$N$84, IF(E372&lt;1.21, 'Reference Curves'!$O$83*E372+'Reference Curves'!$O$84, 'Reference Curves'!$P$83*E372+'Reference Curves'!$P$84))),2),
IF(OR(F347="Interior Bottomlands",F347="Yukon Flats"),ROUND(IF(E372&gt;=1.82,1,IF(E372&lt;=1.19,'Reference Curves'!$K$89*E372+'Reference Curves'!$K$90, IF(E372&lt;1.37, 'Reference Curves'!$L$89*E372+'Reference Curves'!$L$90, 'Reference Curves'!$M$89*E372+'Reference Curves'!$M$90))),2),
IF(F347="Interior Forested Lowlands/Uplands",ROUND(IF(E372&gt;=1.87,1,IF(E372&lt;=1.24,'Reference Curves'!$N$89*E372+'Reference Curves'!$N$90, IF(E372&lt;1.45, 'Reference Curves'!$O$89*E372+'Reference Curves'!$O$90, 'Reference Curves'!$P$89*E372+'Reference Curves'!$P$90))),2))))))</f>
        <v/>
      </c>
      <c r="G372" s="477"/>
      <c r="H372" s="477"/>
      <c r="I372" s="480"/>
      <c r="J372" s="462"/>
    </row>
    <row r="373" spans="1:10" ht="15.75" x14ac:dyDescent="0.25">
      <c r="A373" s="475"/>
      <c r="B373" s="475"/>
      <c r="C373" s="16" t="s">
        <v>239</v>
      </c>
      <c r="D373" s="57"/>
      <c r="E373" s="65"/>
      <c r="F373" s="266" t="str">
        <f>IF(E373="","",IF(E373&lt;83.5,0,IF(E373&gt;=100,1,ROUND(E373*'Reference Curves'!$K$94+'Reference Curves'!$K$95,2))))</f>
        <v/>
      </c>
      <c r="G373" s="478"/>
      <c r="H373" s="478"/>
      <c r="I373" s="481"/>
      <c r="J373" s="462"/>
    </row>
    <row r="374" spans="1:10" ht="15.75" x14ac:dyDescent="0.25">
      <c r="A374" s="485" t="s">
        <v>41</v>
      </c>
      <c r="B374" s="223" t="s">
        <v>115</v>
      </c>
      <c r="C374" s="224" t="s">
        <v>340</v>
      </c>
      <c r="D374" s="225"/>
      <c r="E374" s="28"/>
      <c r="F374" s="232" t="str">
        <f>IF(E374="","", IF(E374&lt;=1.1,1, IF(E374 &gt;1.315,0, ROUND(E374*'Reference Curves'!R$3+'Reference Curves'!R$4,2))))</f>
        <v/>
      </c>
      <c r="G374" s="267" t="str">
        <f>IFERROR(AVERAGE(F374:F374),"")</f>
        <v/>
      </c>
      <c r="H374" s="488" t="str">
        <f>IFERROR(AVERAGE(G374:G376),"")</f>
        <v/>
      </c>
      <c r="I374" s="436" t="str">
        <f>IF(H374="","",IF(H374&gt;0.69,"Functioning",IF(H374&gt;0.29,"Functioning At Risk",IF(H374&gt;-1,"Not Functioning"))))</f>
        <v/>
      </c>
      <c r="J374" s="462"/>
    </row>
    <row r="375" spans="1:10" ht="15.75" x14ac:dyDescent="0.25">
      <c r="A375" s="486"/>
      <c r="B375" s="223" t="s">
        <v>240</v>
      </c>
      <c r="C375" s="224" t="s">
        <v>341</v>
      </c>
      <c r="D375" s="225"/>
      <c r="E375" s="46"/>
      <c r="F375" s="240" t="str">
        <f>IF(E375="","",ROUND( IF(E375&lt;=3,1, IF(E375&gt;=100,0,IF(E375&gt;10, E375*'Reference Curves'!$R$9+'Reference Curves'!$R$10,E375*'Reference Curves'!$S$9+'Reference Curves'!$S$10))),2))</f>
        <v/>
      </c>
      <c r="G375" s="232" t="str">
        <f>IFERROR(AVERAGE(F375),"")</f>
        <v/>
      </c>
      <c r="H375" s="489"/>
      <c r="I375" s="436"/>
      <c r="J375" s="462"/>
    </row>
    <row r="376" spans="1:10" ht="15.75" x14ac:dyDescent="0.25">
      <c r="A376" s="487"/>
      <c r="B376" s="223" t="s">
        <v>241</v>
      </c>
      <c r="C376" s="226" t="s">
        <v>355</v>
      </c>
      <c r="D376" s="227"/>
      <c r="E376" s="46"/>
      <c r="F376" s="232" t="str">
        <f>IF(E376="","", IF(E376&gt;=75,1, IF(E376 &lt;19,0, ROUND(E376*'Reference Curves'!R$14+'Reference Curves'!R$15,2))))</f>
        <v/>
      </c>
      <c r="G376" s="232" t="str">
        <f>IFERROR(AVERAGE(F376),"")</f>
        <v/>
      </c>
      <c r="H376" s="490"/>
      <c r="I376" s="436"/>
      <c r="J376" s="462"/>
    </row>
    <row r="377" spans="1:10" ht="15.75" x14ac:dyDescent="0.25">
      <c r="A377" s="437" t="s">
        <v>42</v>
      </c>
      <c r="B377" s="228" t="s">
        <v>80</v>
      </c>
      <c r="C377" s="229" t="s">
        <v>366</v>
      </c>
      <c r="D377" s="26"/>
      <c r="E377" s="28"/>
      <c r="F377" s="128" t="str">
        <f>IF(E377="","",ROUND( IF(E377&gt;=81,0, IF(E377&lt;=36,1,IF(E377&gt;62, E377*'Reference Curves'!$V$4+'Reference Curves'!$V$5,IF(E377&gt;43, E377*'Reference Curves'!$W$4+'Reference Curves'!$W$5,E377*'Reference Curves'!$X$4+'Reference Curves'!$X$5)))),2))</f>
        <v/>
      </c>
      <c r="G377" s="104" t="str">
        <f>IFERROR(AVERAGE(F377),"")</f>
        <v/>
      </c>
      <c r="H377" s="440" t="str">
        <f>IFERROR(ROUND(AVERAGE(G377:G380),2),"")</f>
        <v/>
      </c>
      <c r="I377" s="436" t="str">
        <f>IF(H377="","",IF(H377&gt;0.69,"Functioning",IF(H377&gt;0.29,"Functioning At Risk",IF(H377&gt;-1,"Not Functioning"))))</f>
        <v/>
      </c>
      <c r="J377" s="462"/>
    </row>
    <row r="378" spans="1:10" ht="15.75" x14ac:dyDescent="0.25">
      <c r="A378" s="438"/>
      <c r="B378" s="437" t="s">
        <v>45</v>
      </c>
      <c r="C378" s="229" t="s">
        <v>242</v>
      </c>
      <c r="D378" s="26"/>
      <c r="E378" s="35"/>
      <c r="F378" s="104" t="str">
        <f>IF(E378="","",IF(F348="Anadromous", IF(E378&lt;=0,0,IF(E378&gt;=100,1,ROUND(IF(E378&lt;80,E378*'Reference Curves'!$V$11+'Reference Curves'!$V$12,E378*'Reference Curves'!$W$11+'Reference Curves'!$W$12),2))),
IF(F348="Non-anadromous", IF(E378&lt;=0,0,IF(E378&gt;=100,1,ROUND(IF(E378&lt;60,E378*'Reference Curves'!$X$11+'Reference Curves'!$X$12,E378*'Reference Curves'!$Y$11+'Reference Curves'!$Y$12),2))))))</f>
        <v/>
      </c>
      <c r="G378" s="441" t="str">
        <f>IFERROR(AVERAGE(F378:F380),"")</f>
        <v/>
      </c>
      <c r="H378" s="440"/>
      <c r="I378" s="436"/>
      <c r="J378" s="462"/>
    </row>
    <row r="379" spans="1:10" ht="15.75" x14ac:dyDescent="0.25">
      <c r="A379" s="438"/>
      <c r="B379" s="438"/>
      <c r="C379" s="294" t="s">
        <v>322</v>
      </c>
      <c r="D379" s="295"/>
      <c r="E379" s="34"/>
      <c r="F379" s="104" t="str">
        <f>IF(E379="","", IF(E379&lt;=0,0,IF(E379&gt;=0.9,1,ROUND(E379*'Reference Curves'!$V$16+'Reference Curves'!$V$17,2))))</f>
        <v/>
      </c>
      <c r="G379" s="442"/>
      <c r="H379" s="440"/>
      <c r="I379" s="436"/>
      <c r="J379" s="462"/>
    </row>
    <row r="380" spans="1:10" ht="15.75" x14ac:dyDescent="0.25">
      <c r="A380" s="439"/>
      <c r="B380" s="439"/>
      <c r="C380" s="101" t="s">
        <v>243</v>
      </c>
      <c r="D380" s="103"/>
      <c r="E380" s="36"/>
      <c r="F380" s="128" t="str">
        <f>IF(E380="","", IF(E380&lt;=0,0,IF(E380&gt;=0.9,1,ROUND(E380*'Reference Curves'!$V$16+'Reference Curves'!$V$17,2))))</f>
        <v/>
      </c>
      <c r="G380" s="443"/>
      <c r="H380" s="440"/>
      <c r="I380" s="436"/>
      <c r="J380" s="463"/>
    </row>
    <row r="381" spans="1:10" x14ac:dyDescent="0.25">
      <c r="J381" s="3"/>
    </row>
  </sheetData>
  <sheetProtection algorithmName="SHA-512" hashValue="H+GkNgvrwFxkT/EZl1lmRcO+asQLq9c4FxtI6y6FCrXj1nXN30muXxT6c7CgmJNSPC0HxoiVeaE9ZhOBXYWs9A==" saltValue="nMv1SUzIHezGJKKlI1qIIA==" spinCount="100000" sheet="1" formatColumns="0"/>
  <dataConsolidate/>
  <mergeCells count="431">
    <mergeCell ref="A1:J1"/>
    <mergeCell ref="A3:J3"/>
    <mergeCell ref="F4:G4"/>
    <mergeCell ref="H4:I4"/>
    <mergeCell ref="F5:G5"/>
    <mergeCell ref="H5:I5"/>
    <mergeCell ref="C10:D10"/>
    <mergeCell ref="A11:A17"/>
    <mergeCell ref="B11:B13"/>
    <mergeCell ref="G11:G13"/>
    <mergeCell ref="H11:H17"/>
    <mergeCell ref="I11:I17"/>
    <mergeCell ref="F6:G6"/>
    <mergeCell ref="H6:I6"/>
    <mergeCell ref="A7:B7"/>
    <mergeCell ref="E7:G7"/>
    <mergeCell ref="H7:I7"/>
    <mergeCell ref="A9:F9"/>
    <mergeCell ref="G9:J9"/>
    <mergeCell ref="J11:J38"/>
    <mergeCell ref="B14:B17"/>
    <mergeCell ref="G14:G17"/>
    <mergeCell ref="A18:A20"/>
    <mergeCell ref="B18:B19"/>
    <mergeCell ref="G18:G19"/>
    <mergeCell ref="H18:H20"/>
    <mergeCell ref="I18:I20"/>
    <mergeCell ref="A21:A31"/>
    <mergeCell ref="H21:H31"/>
    <mergeCell ref="A32:A34"/>
    <mergeCell ref="H32:H34"/>
    <mergeCell ref="I32:I34"/>
    <mergeCell ref="A35:A38"/>
    <mergeCell ref="H35:H38"/>
    <mergeCell ref="I35:I38"/>
    <mergeCell ref="B36:B38"/>
    <mergeCell ref="G36:G38"/>
    <mergeCell ref="I21:I31"/>
    <mergeCell ref="B22:B24"/>
    <mergeCell ref="G22:G24"/>
    <mergeCell ref="B26:B28"/>
    <mergeCell ref="G26:G28"/>
    <mergeCell ref="B29:B31"/>
    <mergeCell ref="G29:G31"/>
    <mergeCell ref="A45:B45"/>
    <mergeCell ref="E45:G45"/>
    <mergeCell ref="H45:I45"/>
    <mergeCell ref="A47:F47"/>
    <mergeCell ref="G47:J47"/>
    <mergeCell ref="C48:D48"/>
    <mergeCell ref="A41:J41"/>
    <mergeCell ref="F42:G42"/>
    <mergeCell ref="H42:I42"/>
    <mergeCell ref="F43:G43"/>
    <mergeCell ref="H43:I43"/>
    <mergeCell ref="F44:G44"/>
    <mergeCell ref="H44:I44"/>
    <mergeCell ref="A49:A55"/>
    <mergeCell ref="B49:B51"/>
    <mergeCell ref="G49:G51"/>
    <mergeCell ref="H49:H55"/>
    <mergeCell ref="I49:I55"/>
    <mergeCell ref="J49:J76"/>
    <mergeCell ref="B52:B55"/>
    <mergeCell ref="G52:G55"/>
    <mergeCell ref="A56:A58"/>
    <mergeCell ref="B56:B57"/>
    <mergeCell ref="G56:G57"/>
    <mergeCell ref="H56:H58"/>
    <mergeCell ref="I56:I58"/>
    <mergeCell ref="A59:A69"/>
    <mergeCell ref="H59:H69"/>
    <mergeCell ref="I59:I69"/>
    <mergeCell ref="B60:B62"/>
    <mergeCell ref="G60:G62"/>
    <mergeCell ref="B64:B66"/>
    <mergeCell ref="G64:G66"/>
    <mergeCell ref="B67:B69"/>
    <mergeCell ref="G67:G69"/>
    <mergeCell ref="A70:A72"/>
    <mergeCell ref="H70:H72"/>
    <mergeCell ref="I70:I72"/>
    <mergeCell ref="A73:A76"/>
    <mergeCell ref="H73:H76"/>
    <mergeCell ref="I73:I76"/>
    <mergeCell ref="B74:B76"/>
    <mergeCell ref="G74:G76"/>
    <mergeCell ref="A83:B83"/>
    <mergeCell ref="E83:G83"/>
    <mergeCell ref="H83:I83"/>
    <mergeCell ref="A85:F85"/>
    <mergeCell ref="G85:J85"/>
    <mergeCell ref="C86:D86"/>
    <mergeCell ref="A79:J79"/>
    <mergeCell ref="F80:G80"/>
    <mergeCell ref="H80:I80"/>
    <mergeCell ref="F81:G81"/>
    <mergeCell ref="H81:I81"/>
    <mergeCell ref="F82:G82"/>
    <mergeCell ref="H82:I82"/>
    <mergeCell ref="A87:A93"/>
    <mergeCell ref="B87:B89"/>
    <mergeCell ref="G87:G89"/>
    <mergeCell ref="H87:H93"/>
    <mergeCell ref="I87:I93"/>
    <mergeCell ref="J87:J114"/>
    <mergeCell ref="B90:B93"/>
    <mergeCell ref="G90:G93"/>
    <mergeCell ref="A94:A96"/>
    <mergeCell ref="B94:B95"/>
    <mergeCell ref="G94:G95"/>
    <mergeCell ref="H94:H96"/>
    <mergeCell ref="I94:I96"/>
    <mergeCell ref="A97:A107"/>
    <mergeCell ref="H97:H107"/>
    <mergeCell ref="I97:I107"/>
    <mergeCell ref="B98:B100"/>
    <mergeCell ref="G98:G100"/>
    <mergeCell ref="B102:B104"/>
    <mergeCell ref="G102:G104"/>
    <mergeCell ref="B105:B107"/>
    <mergeCell ref="G105:G107"/>
    <mergeCell ref="A108:A110"/>
    <mergeCell ref="H108:H110"/>
    <mergeCell ref="I108:I110"/>
    <mergeCell ref="A111:A114"/>
    <mergeCell ref="H111:H114"/>
    <mergeCell ref="I111:I114"/>
    <mergeCell ref="B112:B114"/>
    <mergeCell ref="G112:G114"/>
    <mergeCell ref="A121:B121"/>
    <mergeCell ref="E121:G121"/>
    <mergeCell ref="H121:I121"/>
    <mergeCell ref="A123:F123"/>
    <mergeCell ref="G123:J123"/>
    <mergeCell ref="C124:D124"/>
    <mergeCell ref="A117:J117"/>
    <mergeCell ref="F118:G118"/>
    <mergeCell ref="H118:I118"/>
    <mergeCell ref="F119:G119"/>
    <mergeCell ref="H119:I119"/>
    <mergeCell ref="F120:G120"/>
    <mergeCell ref="H120:I120"/>
    <mergeCell ref="A125:A131"/>
    <mergeCell ref="B125:B127"/>
    <mergeCell ref="G125:G127"/>
    <mergeCell ref="H125:H131"/>
    <mergeCell ref="I125:I131"/>
    <mergeCell ref="J125:J152"/>
    <mergeCell ref="B128:B131"/>
    <mergeCell ref="G128:G131"/>
    <mergeCell ref="A132:A134"/>
    <mergeCell ref="B132:B133"/>
    <mergeCell ref="G132:G133"/>
    <mergeCell ref="H132:H134"/>
    <mergeCell ref="I132:I134"/>
    <mergeCell ref="A135:A145"/>
    <mergeCell ref="H135:H145"/>
    <mergeCell ref="I135:I145"/>
    <mergeCell ref="B136:B138"/>
    <mergeCell ref="G136:G138"/>
    <mergeCell ref="B140:B142"/>
    <mergeCell ref="G140:G142"/>
    <mergeCell ref="B143:B145"/>
    <mergeCell ref="G143:G145"/>
    <mergeCell ref="A146:A148"/>
    <mergeCell ref="H146:H148"/>
    <mergeCell ref="I146:I148"/>
    <mergeCell ref="A149:A152"/>
    <mergeCell ref="H149:H152"/>
    <mergeCell ref="I149:I152"/>
    <mergeCell ref="B150:B152"/>
    <mergeCell ref="G150:G152"/>
    <mergeCell ref="A159:B159"/>
    <mergeCell ref="E159:G159"/>
    <mergeCell ref="H159:I159"/>
    <mergeCell ref="A161:F161"/>
    <mergeCell ref="G161:J161"/>
    <mergeCell ref="C162:D162"/>
    <mergeCell ref="A155:J155"/>
    <mergeCell ref="F156:G156"/>
    <mergeCell ref="H156:I156"/>
    <mergeCell ref="F157:G157"/>
    <mergeCell ref="H157:I157"/>
    <mergeCell ref="F158:G158"/>
    <mergeCell ref="H158:I158"/>
    <mergeCell ref="A163:A169"/>
    <mergeCell ref="B163:B165"/>
    <mergeCell ref="G163:G165"/>
    <mergeCell ref="H163:H169"/>
    <mergeCell ref="I163:I169"/>
    <mergeCell ref="J163:J190"/>
    <mergeCell ref="B166:B169"/>
    <mergeCell ref="G166:G169"/>
    <mergeCell ref="A170:A172"/>
    <mergeCell ref="B170:B171"/>
    <mergeCell ref="G170:G171"/>
    <mergeCell ref="H170:H172"/>
    <mergeCell ref="I170:I172"/>
    <mergeCell ref="A173:A183"/>
    <mergeCell ref="H173:H183"/>
    <mergeCell ref="I173:I183"/>
    <mergeCell ref="B174:B176"/>
    <mergeCell ref="G174:G176"/>
    <mergeCell ref="B178:B180"/>
    <mergeCell ref="G178:G180"/>
    <mergeCell ref="B181:B183"/>
    <mergeCell ref="G181:G183"/>
    <mergeCell ref="A184:A186"/>
    <mergeCell ref="H184:H186"/>
    <mergeCell ref="I184:I186"/>
    <mergeCell ref="A187:A190"/>
    <mergeCell ref="H187:H190"/>
    <mergeCell ref="I187:I190"/>
    <mergeCell ref="B188:B190"/>
    <mergeCell ref="G188:G190"/>
    <mergeCell ref="A197:B197"/>
    <mergeCell ref="E197:G197"/>
    <mergeCell ref="H197:I197"/>
    <mergeCell ref="A199:F199"/>
    <mergeCell ref="G199:J199"/>
    <mergeCell ref="C200:D200"/>
    <mergeCell ref="A193:J193"/>
    <mergeCell ref="F194:G194"/>
    <mergeCell ref="H194:I194"/>
    <mergeCell ref="F195:G195"/>
    <mergeCell ref="H195:I195"/>
    <mergeCell ref="F196:G196"/>
    <mergeCell ref="H196:I196"/>
    <mergeCell ref="A201:A207"/>
    <mergeCell ref="B201:B203"/>
    <mergeCell ref="G201:G203"/>
    <mergeCell ref="H201:H207"/>
    <mergeCell ref="I201:I207"/>
    <mergeCell ref="J201:J228"/>
    <mergeCell ref="B204:B207"/>
    <mergeCell ref="G204:G207"/>
    <mergeCell ref="A208:A210"/>
    <mergeCell ref="B208:B209"/>
    <mergeCell ref="G208:G209"/>
    <mergeCell ref="H208:H210"/>
    <mergeCell ref="I208:I210"/>
    <mergeCell ref="A211:A221"/>
    <mergeCell ref="H211:H221"/>
    <mergeCell ref="I211:I221"/>
    <mergeCell ref="B212:B214"/>
    <mergeCell ref="G212:G214"/>
    <mergeCell ref="B216:B218"/>
    <mergeCell ref="G216:G218"/>
    <mergeCell ref="B219:B221"/>
    <mergeCell ref="G219:G221"/>
    <mergeCell ref="A222:A224"/>
    <mergeCell ref="H222:H224"/>
    <mergeCell ref="I222:I224"/>
    <mergeCell ref="A225:A228"/>
    <mergeCell ref="H225:H228"/>
    <mergeCell ref="I225:I228"/>
    <mergeCell ref="B226:B228"/>
    <mergeCell ref="G226:G228"/>
    <mergeCell ref="A235:B235"/>
    <mergeCell ref="E235:G235"/>
    <mergeCell ref="H235:I235"/>
    <mergeCell ref="A237:F237"/>
    <mergeCell ref="G237:J237"/>
    <mergeCell ref="C238:D238"/>
    <mergeCell ref="A231:J231"/>
    <mergeCell ref="F232:G232"/>
    <mergeCell ref="H232:I232"/>
    <mergeCell ref="F233:G233"/>
    <mergeCell ref="H233:I233"/>
    <mergeCell ref="F234:G234"/>
    <mergeCell ref="H234:I234"/>
    <mergeCell ref="A239:A245"/>
    <mergeCell ref="B239:B241"/>
    <mergeCell ref="G239:G241"/>
    <mergeCell ref="H239:H245"/>
    <mergeCell ref="I239:I245"/>
    <mergeCell ref="J239:J266"/>
    <mergeCell ref="B242:B245"/>
    <mergeCell ref="G242:G245"/>
    <mergeCell ref="A246:A248"/>
    <mergeCell ref="B246:B247"/>
    <mergeCell ref="G246:G247"/>
    <mergeCell ref="H246:H248"/>
    <mergeCell ref="I246:I248"/>
    <mergeCell ref="A249:A259"/>
    <mergeCell ref="H249:H259"/>
    <mergeCell ref="I249:I259"/>
    <mergeCell ref="B250:B252"/>
    <mergeCell ref="G250:G252"/>
    <mergeCell ref="B254:B256"/>
    <mergeCell ref="G254:G256"/>
    <mergeCell ref="B257:B259"/>
    <mergeCell ref="G257:G259"/>
    <mergeCell ref="A260:A262"/>
    <mergeCell ref="H260:H262"/>
    <mergeCell ref="I260:I262"/>
    <mergeCell ref="A263:A266"/>
    <mergeCell ref="H263:H266"/>
    <mergeCell ref="I263:I266"/>
    <mergeCell ref="B264:B266"/>
    <mergeCell ref="G264:G266"/>
    <mergeCell ref="A273:B273"/>
    <mergeCell ref="E273:G273"/>
    <mergeCell ref="H273:I273"/>
    <mergeCell ref="A275:F275"/>
    <mergeCell ref="G275:J275"/>
    <mergeCell ref="C276:D276"/>
    <mergeCell ref="A269:J269"/>
    <mergeCell ref="F270:G270"/>
    <mergeCell ref="H270:I270"/>
    <mergeCell ref="F271:G271"/>
    <mergeCell ref="H271:I271"/>
    <mergeCell ref="F272:G272"/>
    <mergeCell ref="H272:I272"/>
    <mergeCell ref="A277:A283"/>
    <mergeCell ref="B277:B279"/>
    <mergeCell ref="G277:G279"/>
    <mergeCell ref="H277:H283"/>
    <mergeCell ref="I277:I283"/>
    <mergeCell ref="J277:J304"/>
    <mergeCell ref="B280:B283"/>
    <mergeCell ref="G280:G283"/>
    <mergeCell ref="A284:A286"/>
    <mergeCell ref="B284:B285"/>
    <mergeCell ref="G284:G285"/>
    <mergeCell ref="H284:H286"/>
    <mergeCell ref="I284:I286"/>
    <mergeCell ref="A287:A297"/>
    <mergeCell ref="H287:H297"/>
    <mergeCell ref="I287:I297"/>
    <mergeCell ref="B288:B290"/>
    <mergeCell ref="G288:G290"/>
    <mergeCell ref="B292:B294"/>
    <mergeCell ref="G292:G294"/>
    <mergeCell ref="B295:B297"/>
    <mergeCell ref="G295:G297"/>
    <mergeCell ref="A298:A300"/>
    <mergeCell ref="H298:H300"/>
    <mergeCell ref="I298:I300"/>
    <mergeCell ref="A301:A304"/>
    <mergeCell ref="H301:H304"/>
    <mergeCell ref="I301:I304"/>
    <mergeCell ref="B302:B304"/>
    <mergeCell ref="G302:G304"/>
    <mergeCell ref="A311:B311"/>
    <mergeCell ref="E311:G311"/>
    <mergeCell ref="H311:I311"/>
    <mergeCell ref="G333:G335"/>
    <mergeCell ref="A336:A338"/>
    <mergeCell ref="H336:H338"/>
    <mergeCell ref="A313:F313"/>
    <mergeCell ref="G313:J313"/>
    <mergeCell ref="C314:D314"/>
    <mergeCell ref="A307:J307"/>
    <mergeCell ref="F308:G308"/>
    <mergeCell ref="H308:I308"/>
    <mergeCell ref="F309:G309"/>
    <mergeCell ref="H309:I309"/>
    <mergeCell ref="F310:G310"/>
    <mergeCell ref="H310:I310"/>
    <mergeCell ref="A349:B349"/>
    <mergeCell ref="E349:G349"/>
    <mergeCell ref="H349:I349"/>
    <mergeCell ref="A315:A321"/>
    <mergeCell ref="B315:B317"/>
    <mergeCell ref="G315:G317"/>
    <mergeCell ref="H315:H321"/>
    <mergeCell ref="I315:I321"/>
    <mergeCell ref="J315:J342"/>
    <mergeCell ref="B318:B321"/>
    <mergeCell ref="G318:G321"/>
    <mergeCell ref="A322:A324"/>
    <mergeCell ref="B322:B323"/>
    <mergeCell ref="G322:G323"/>
    <mergeCell ref="H322:H324"/>
    <mergeCell ref="I322:I324"/>
    <mergeCell ref="A325:A335"/>
    <mergeCell ref="H325:H335"/>
    <mergeCell ref="I325:I335"/>
    <mergeCell ref="B326:B328"/>
    <mergeCell ref="G326:G328"/>
    <mergeCell ref="B330:B332"/>
    <mergeCell ref="G330:G332"/>
    <mergeCell ref="B333:B335"/>
    <mergeCell ref="A345:J345"/>
    <mergeCell ref="F346:G346"/>
    <mergeCell ref="H346:I346"/>
    <mergeCell ref="F347:G347"/>
    <mergeCell ref="H347:I347"/>
    <mergeCell ref="F348:G348"/>
    <mergeCell ref="H348:I348"/>
    <mergeCell ref="I336:I338"/>
    <mergeCell ref="A339:A342"/>
    <mergeCell ref="H339:H342"/>
    <mergeCell ref="I339:I342"/>
    <mergeCell ref="B340:B342"/>
    <mergeCell ref="G340:G342"/>
    <mergeCell ref="A377:A380"/>
    <mergeCell ref="H377:H380"/>
    <mergeCell ref="I377:I380"/>
    <mergeCell ref="B378:B380"/>
    <mergeCell ref="A351:F351"/>
    <mergeCell ref="G351:J351"/>
    <mergeCell ref="C352:D352"/>
    <mergeCell ref="G378:G380"/>
    <mergeCell ref="A353:A359"/>
    <mergeCell ref="B353:B355"/>
    <mergeCell ref="G353:G355"/>
    <mergeCell ref="H353:H359"/>
    <mergeCell ref="I353:I359"/>
    <mergeCell ref="J353:J380"/>
    <mergeCell ref="B356:B359"/>
    <mergeCell ref="G356:G359"/>
    <mergeCell ref="A360:A362"/>
    <mergeCell ref="B360:B361"/>
    <mergeCell ref="G360:G361"/>
    <mergeCell ref="H360:H362"/>
    <mergeCell ref="I360:I362"/>
    <mergeCell ref="A363:A373"/>
    <mergeCell ref="H363:H373"/>
    <mergeCell ref="I363:I373"/>
    <mergeCell ref="B364:B366"/>
    <mergeCell ref="G364:G366"/>
    <mergeCell ref="B368:B370"/>
    <mergeCell ref="G368:G370"/>
    <mergeCell ref="B371:B373"/>
    <mergeCell ref="G371:G373"/>
    <mergeCell ref="A374:A376"/>
    <mergeCell ref="H374:H376"/>
    <mergeCell ref="I374:I376"/>
  </mergeCells>
  <conditionalFormatting sqref="G9 H39:K39 K40 L3:M4 A3:A4 B8:I8 A7 C4 D18:D20 K7:K38 K63:K66 H153:J153 H305:J305 H381:J381 H343:J343 H229:J230 H267:J268 K72:K148 K45:K48 H77:J77 K54:K58 H115:J116">
    <cfRule type="beginsWith" dxfId="428" priority="571" stopIfTrue="1" operator="beginsWith" text="Functioning At Risk">
      <formula>LEFT(A3,LEN("Functioning At Risk"))="Functioning At Risk"</formula>
    </cfRule>
    <cfRule type="beginsWith" dxfId="427" priority="572" stopIfTrue="1" operator="beginsWith" text="Not Functioning">
      <formula>LEFT(A3,LEN("Not Functioning"))="Not Functioning"</formula>
    </cfRule>
    <cfRule type="containsText" dxfId="426" priority="573" operator="containsText" text="Functioning">
      <formula>NOT(ISERROR(SEARCH("Functioning",A3)))</formula>
    </cfRule>
  </conditionalFormatting>
  <conditionalFormatting sqref="J4:J7">
    <cfRule type="beginsWith" dxfId="425" priority="568" stopIfTrue="1" operator="beginsWith" text="Functioning At Risk">
      <formula>LEFT(J4,LEN("Functioning At Risk"))="Functioning At Risk"</formula>
    </cfRule>
    <cfRule type="beginsWith" dxfId="424" priority="569" stopIfTrue="1" operator="beginsWith" text="Not Functioning">
      <formula>LEFT(J4,LEN("Not Functioning"))="Not Functioning"</formula>
    </cfRule>
    <cfRule type="containsText" dxfId="423" priority="570" operator="containsText" text="Functioning">
      <formula>NOT(ISERROR(SEARCH("Functioning",J4)))</formula>
    </cfRule>
  </conditionalFormatting>
  <conditionalFormatting sqref="B4">
    <cfRule type="beginsWith" dxfId="422" priority="565" stopIfTrue="1" operator="beginsWith" text="Functioning At Risk">
      <formula>LEFT(B4,LEN("Functioning At Risk"))="Functioning At Risk"</formula>
    </cfRule>
    <cfRule type="beginsWith" dxfId="421" priority="566" stopIfTrue="1" operator="beginsWith" text="Not Functioning">
      <formula>LEFT(B4,LEN("Not Functioning"))="Not Functioning"</formula>
    </cfRule>
    <cfRule type="containsText" dxfId="420" priority="567" operator="containsText" text="Functioning">
      <formula>NOT(ISERROR(SEARCH("Functioning",B4)))</formula>
    </cfRule>
  </conditionalFormatting>
  <conditionalFormatting sqref="E6">
    <cfRule type="beginsWith" dxfId="419" priority="559" stopIfTrue="1" operator="beginsWith" text="Functioning At Risk">
      <formula>LEFT(E6,LEN("Functioning At Risk"))="Functioning At Risk"</formula>
    </cfRule>
    <cfRule type="beginsWith" dxfId="418" priority="560" stopIfTrue="1" operator="beginsWith" text="Not Functioning">
      <formula>LEFT(E6,LEN("Not Functioning"))="Not Functioning"</formula>
    </cfRule>
    <cfRule type="containsText" dxfId="417" priority="561" operator="containsText" text="Functioning">
      <formula>NOT(ISERROR(SEARCH("Functioning",E6)))</formula>
    </cfRule>
  </conditionalFormatting>
  <conditionalFormatting sqref="E5">
    <cfRule type="beginsWith" dxfId="416" priority="553" stopIfTrue="1" operator="beginsWith" text="Functioning At Risk">
      <formula>LEFT(E5,LEN("Functioning At Risk"))="Functioning At Risk"</formula>
    </cfRule>
    <cfRule type="beginsWith" dxfId="415" priority="554" stopIfTrue="1" operator="beginsWith" text="Not Functioning">
      <formula>LEFT(E5,LEN("Not Functioning"))="Not Functioning"</formula>
    </cfRule>
    <cfRule type="containsText" dxfId="414" priority="555" operator="containsText" text="Functioning">
      <formula>NOT(ISERROR(SEARCH("Functioning",E5)))</formula>
    </cfRule>
  </conditionalFormatting>
  <conditionalFormatting sqref="E4">
    <cfRule type="beginsWith" dxfId="413" priority="550" stopIfTrue="1" operator="beginsWith" text="Functioning At Risk">
      <formula>LEFT(E4,LEN("Functioning At Risk"))="Functioning At Risk"</formula>
    </cfRule>
    <cfRule type="beginsWith" dxfId="412" priority="551" stopIfTrue="1" operator="beginsWith" text="Not Functioning">
      <formula>LEFT(E4,LEN("Not Functioning"))="Not Functioning"</formula>
    </cfRule>
    <cfRule type="containsText" dxfId="411" priority="552" operator="containsText" text="Functioning">
      <formula>NOT(ISERROR(SEARCH("Functioning",E4)))</formula>
    </cfRule>
  </conditionalFormatting>
  <conditionalFormatting sqref="B5:B6">
    <cfRule type="beginsWith" dxfId="410" priority="544" stopIfTrue="1" operator="beginsWith" text="Functioning At Risk">
      <formula>LEFT(B5,LEN("Functioning At Risk"))="Functioning At Risk"</formula>
    </cfRule>
    <cfRule type="beginsWith" dxfId="409" priority="545" stopIfTrue="1" operator="beginsWith" text="Not Functioning">
      <formula>LEFT(B5,LEN("Not Functioning"))="Not Functioning"</formula>
    </cfRule>
    <cfRule type="containsText" dxfId="408" priority="546" operator="containsText" text="Functioning">
      <formula>NOT(ISERROR(SEARCH("Functioning",B5)))</formula>
    </cfRule>
  </conditionalFormatting>
  <conditionalFormatting sqref="H4:H7">
    <cfRule type="beginsWith" dxfId="407" priority="541" stopIfTrue="1" operator="beginsWith" text="Functioning At Risk">
      <formula>LEFT(H4,LEN("Functioning At Risk"))="Functioning At Risk"</formula>
    </cfRule>
    <cfRule type="beginsWith" dxfId="406" priority="542" stopIfTrue="1" operator="beginsWith" text="Not Functioning">
      <formula>LEFT(H4,LEN("Not Functioning"))="Not Functioning"</formula>
    </cfRule>
    <cfRule type="containsText" dxfId="405" priority="543" operator="containsText" text="Functioning">
      <formula>NOT(ISERROR(SEARCH("Functioning",H4)))</formula>
    </cfRule>
  </conditionalFormatting>
  <conditionalFormatting sqref="G47 L41:M42 B46:I46 A41">
    <cfRule type="beginsWith" dxfId="404" priority="538" stopIfTrue="1" operator="beginsWith" text="Functioning At Risk">
      <formula>LEFT(A41,LEN("Functioning At Risk"))="Functioning At Risk"</formula>
    </cfRule>
    <cfRule type="beginsWith" dxfId="403" priority="539" stopIfTrue="1" operator="beginsWith" text="Not Functioning">
      <formula>LEFT(A41,LEN("Not Functioning"))="Not Functioning"</formula>
    </cfRule>
    <cfRule type="containsText" dxfId="402" priority="540" operator="containsText" text="Functioning">
      <formula>NOT(ISERROR(SEARCH("Functioning",A41)))</formula>
    </cfRule>
  </conditionalFormatting>
  <conditionalFormatting sqref="G85 L50:M51 B84:I84 A79">
    <cfRule type="beginsWith" dxfId="401" priority="535" stopIfTrue="1" operator="beginsWith" text="Functioning At Risk">
      <formula>LEFT(A50,LEN("Functioning At Risk"))="Functioning At Risk"</formula>
    </cfRule>
    <cfRule type="beginsWith" dxfId="400" priority="536" stopIfTrue="1" operator="beginsWith" text="Not Functioning">
      <formula>LEFT(A50,LEN("Not Functioning"))="Not Functioning"</formula>
    </cfRule>
    <cfRule type="containsText" dxfId="399" priority="537" operator="containsText" text="Functioning">
      <formula>NOT(ISERROR(SEARCH("Functioning",A50)))</formula>
    </cfRule>
  </conditionalFormatting>
  <conditionalFormatting sqref="G123 K67 L59:M60 B122:I122 A117">
    <cfRule type="beginsWith" dxfId="398" priority="532" stopIfTrue="1" operator="beginsWith" text="Functioning At Risk">
      <formula>LEFT(A59,LEN("Functioning At Risk"))="Functioning At Risk"</formula>
    </cfRule>
    <cfRule type="beginsWith" dxfId="397" priority="533" stopIfTrue="1" operator="beginsWith" text="Not Functioning">
      <formula>LEFT(A59,LEN("Not Functioning"))="Not Functioning"</formula>
    </cfRule>
    <cfRule type="containsText" dxfId="396" priority="534" operator="containsText" text="Functioning">
      <formula>NOT(ISERROR(SEARCH("Functioning",A59)))</formula>
    </cfRule>
  </conditionalFormatting>
  <conditionalFormatting sqref="L68:M69 B160:I160 A155">
    <cfRule type="beginsWith" dxfId="395" priority="529" stopIfTrue="1" operator="beginsWith" text="Functioning At Risk">
      <formula>LEFT(A68,LEN("Functioning At Risk"))="Functioning At Risk"</formula>
    </cfRule>
    <cfRule type="beginsWith" dxfId="394" priority="530" stopIfTrue="1" operator="beginsWith" text="Not Functioning">
      <formula>LEFT(A68,LEN("Not Functioning"))="Not Functioning"</formula>
    </cfRule>
    <cfRule type="containsText" dxfId="393" priority="531" operator="containsText" text="Functioning">
      <formula>NOT(ISERROR(SEARCH("Functioning",A68)))</formula>
    </cfRule>
  </conditionalFormatting>
  <conditionalFormatting sqref="G199 B198:I198 A193">
    <cfRule type="beginsWith" dxfId="392" priority="526" stopIfTrue="1" operator="beginsWith" text="Functioning At Risk">
      <formula>LEFT(A193,LEN("Functioning At Risk"))="Functioning At Risk"</formula>
    </cfRule>
    <cfRule type="beginsWith" dxfId="391" priority="527" stopIfTrue="1" operator="beginsWith" text="Not Functioning">
      <formula>LEFT(A193,LEN("Not Functioning"))="Not Functioning"</formula>
    </cfRule>
    <cfRule type="containsText" dxfId="390" priority="528" operator="containsText" text="Functioning">
      <formula>NOT(ISERROR(SEARCH("Functioning",A193)))</formula>
    </cfRule>
  </conditionalFormatting>
  <conditionalFormatting sqref="G237 B236:I236 A231">
    <cfRule type="beginsWith" dxfId="389" priority="523" stopIfTrue="1" operator="beginsWith" text="Functioning At Risk">
      <formula>LEFT(A231,LEN("Functioning At Risk"))="Functioning At Risk"</formula>
    </cfRule>
    <cfRule type="beginsWith" dxfId="388" priority="524" stopIfTrue="1" operator="beginsWith" text="Not Functioning">
      <formula>LEFT(A231,LEN("Not Functioning"))="Not Functioning"</formula>
    </cfRule>
    <cfRule type="containsText" dxfId="387" priority="525" operator="containsText" text="Functioning">
      <formula>NOT(ISERROR(SEARCH("Functioning",A231)))</formula>
    </cfRule>
  </conditionalFormatting>
  <conditionalFormatting sqref="G275 B274:I274 A269">
    <cfRule type="beginsWith" dxfId="386" priority="520" stopIfTrue="1" operator="beginsWith" text="Functioning At Risk">
      <formula>LEFT(A269,LEN("Functioning At Risk"))="Functioning At Risk"</formula>
    </cfRule>
    <cfRule type="beginsWith" dxfId="385" priority="521" stopIfTrue="1" operator="beginsWith" text="Not Functioning">
      <formula>LEFT(A269,LEN("Not Functioning"))="Not Functioning"</formula>
    </cfRule>
    <cfRule type="containsText" dxfId="384" priority="522" operator="containsText" text="Functioning">
      <formula>NOT(ISERROR(SEARCH("Functioning",A269)))</formula>
    </cfRule>
  </conditionalFormatting>
  <conditionalFormatting sqref="G313 B312:I312 A307">
    <cfRule type="beginsWith" dxfId="383" priority="517" stopIfTrue="1" operator="beginsWith" text="Functioning At Risk">
      <formula>LEFT(A307,LEN("Functioning At Risk"))="Functioning At Risk"</formula>
    </cfRule>
    <cfRule type="beginsWith" dxfId="382" priority="518" stopIfTrue="1" operator="beginsWith" text="Not Functioning">
      <formula>LEFT(A307,LEN("Not Functioning"))="Not Functioning"</formula>
    </cfRule>
    <cfRule type="containsText" dxfId="381" priority="519" operator="containsText" text="Functioning">
      <formula>NOT(ISERROR(SEARCH("Functioning",A307)))</formula>
    </cfRule>
  </conditionalFormatting>
  <conditionalFormatting sqref="G351 B350:I350 A345">
    <cfRule type="beginsWith" dxfId="380" priority="514" stopIfTrue="1" operator="beginsWith" text="Functioning At Risk">
      <formula>LEFT(A345,LEN("Functioning At Risk"))="Functioning At Risk"</formula>
    </cfRule>
    <cfRule type="beginsWith" dxfId="379" priority="515" stopIfTrue="1" operator="beginsWith" text="Not Functioning">
      <formula>LEFT(A345,LEN("Not Functioning"))="Not Functioning"</formula>
    </cfRule>
    <cfRule type="containsText" dxfId="378" priority="516" operator="containsText" text="Functioning">
      <formula>NOT(ISERROR(SEARCH("Functioning",A345)))</formula>
    </cfRule>
  </conditionalFormatting>
  <conditionalFormatting sqref="H42:H45">
    <cfRule type="beginsWith" dxfId="377" priority="487" stopIfTrue="1" operator="beginsWith" text="Functioning At Risk">
      <formula>LEFT(H42,LEN("Functioning At Risk"))="Functioning At Risk"</formula>
    </cfRule>
    <cfRule type="beginsWith" dxfId="376" priority="488" stopIfTrue="1" operator="beginsWith" text="Not Functioning">
      <formula>LEFT(H42,LEN("Not Functioning"))="Not Functioning"</formula>
    </cfRule>
    <cfRule type="containsText" dxfId="375" priority="489" operator="containsText" text="Functioning">
      <formula>NOT(ISERROR(SEARCH("Functioning",H42)))</formula>
    </cfRule>
  </conditionalFormatting>
  <conditionalFormatting sqref="A156 A159 C156">
    <cfRule type="beginsWith" dxfId="374" priority="430" stopIfTrue="1" operator="beginsWith" text="Functioning At Risk">
      <formula>LEFT(A156,LEN("Functioning At Risk"))="Functioning At Risk"</formula>
    </cfRule>
    <cfRule type="beginsWith" dxfId="373" priority="431" stopIfTrue="1" operator="beginsWith" text="Not Functioning">
      <formula>LEFT(A156,LEN("Not Functioning"))="Not Functioning"</formula>
    </cfRule>
    <cfRule type="containsText" dxfId="372" priority="432" operator="containsText" text="Functioning">
      <formula>NOT(ISERROR(SEARCH("Functioning",A156)))</formula>
    </cfRule>
  </conditionalFormatting>
  <conditionalFormatting sqref="A80 A83 C80:D80 D81:D83 F80:F82">
    <cfRule type="beginsWith" dxfId="371" priority="481" stopIfTrue="1" operator="beginsWith" text="Functioning At Risk">
      <formula>LEFT(A80,LEN("Functioning At Risk"))="Functioning At Risk"</formula>
    </cfRule>
    <cfRule type="beginsWith" dxfId="370" priority="482" stopIfTrue="1" operator="beginsWith" text="Not Functioning">
      <formula>LEFT(A80,LEN("Not Functioning"))="Not Functioning"</formula>
    </cfRule>
    <cfRule type="containsText" dxfId="369" priority="483" operator="containsText" text="Functioning">
      <formula>NOT(ISERROR(SEARCH("Functioning",A80)))</formula>
    </cfRule>
  </conditionalFormatting>
  <conditionalFormatting sqref="E81">
    <cfRule type="beginsWith" dxfId="368" priority="469" stopIfTrue="1" operator="beginsWith" text="Functioning At Risk">
      <formula>LEFT(E81,LEN("Functioning At Risk"))="Functioning At Risk"</formula>
    </cfRule>
    <cfRule type="beginsWith" dxfId="367" priority="470" stopIfTrue="1" operator="beginsWith" text="Not Functioning">
      <formula>LEFT(E81,LEN("Not Functioning"))="Not Functioning"</formula>
    </cfRule>
    <cfRule type="containsText" dxfId="366" priority="471" operator="containsText" text="Functioning">
      <formula>NOT(ISERROR(SEARCH("Functioning",E81)))</formula>
    </cfRule>
  </conditionalFormatting>
  <conditionalFormatting sqref="E80">
    <cfRule type="beginsWith" dxfId="365" priority="466" stopIfTrue="1" operator="beginsWith" text="Functioning At Risk">
      <formula>LEFT(E80,LEN("Functioning At Risk"))="Functioning At Risk"</formula>
    </cfRule>
    <cfRule type="beginsWith" dxfId="364" priority="467" stopIfTrue="1" operator="beginsWith" text="Not Functioning">
      <formula>LEFT(E80,LEN("Not Functioning"))="Not Functioning"</formula>
    </cfRule>
    <cfRule type="containsText" dxfId="363" priority="468" operator="containsText" text="Functioning">
      <formula>NOT(ISERROR(SEARCH("Functioning",E80)))</formula>
    </cfRule>
  </conditionalFormatting>
  <conditionalFormatting sqref="H80:H83">
    <cfRule type="beginsWith" dxfId="362" priority="463" stopIfTrue="1" operator="beginsWith" text="Functioning At Risk">
      <formula>LEFT(H80,LEN("Functioning At Risk"))="Functioning At Risk"</formula>
    </cfRule>
    <cfRule type="beginsWith" dxfId="361" priority="464" stopIfTrue="1" operator="beginsWith" text="Not Functioning">
      <formula>LEFT(H80,LEN("Not Functioning"))="Not Functioning"</formula>
    </cfRule>
    <cfRule type="containsText" dxfId="360" priority="465" operator="containsText" text="Functioning">
      <formula>NOT(ISERROR(SEARCH("Functioning",H80)))</formula>
    </cfRule>
  </conditionalFormatting>
  <conditionalFormatting sqref="A42 A45 C42">
    <cfRule type="beginsWith" dxfId="359" priority="508" stopIfTrue="1" operator="beginsWith" text="Functioning At Risk">
      <formula>LEFT(A42,LEN("Functioning At Risk"))="Functioning At Risk"</formula>
    </cfRule>
    <cfRule type="beginsWith" dxfId="358" priority="509" stopIfTrue="1" operator="beginsWith" text="Not Functioning">
      <formula>LEFT(A42,LEN("Not Functioning"))="Not Functioning"</formula>
    </cfRule>
    <cfRule type="containsText" dxfId="357" priority="510" operator="containsText" text="Functioning">
      <formula>NOT(ISERROR(SEARCH("Functioning",A42)))</formula>
    </cfRule>
  </conditionalFormatting>
  <conditionalFormatting sqref="E44">
    <cfRule type="beginsWith" dxfId="356" priority="502" stopIfTrue="1" operator="beginsWith" text="Functioning At Risk">
      <formula>LEFT(E44,LEN("Functioning At Risk"))="Functioning At Risk"</formula>
    </cfRule>
    <cfRule type="beginsWith" dxfId="355" priority="503" stopIfTrue="1" operator="beginsWith" text="Not Functioning">
      <formula>LEFT(E44,LEN("Not Functioning"))="Not Functioning"</formula>
    </cfRule>
    <cfRule type="containsText" dxfId="354" priority="504" operator="containsText" text="Functioning">
      <formula>NOT(ISERROR(SEARCH("Functioning",E44)))</formula>
    </cfRule>
  </conditionalFormatting>
  <conditionalFormatting sqref="E43">
    <cfRule type="beginsWith" dxfId="353" priority="496" stopIfTrue="1" operator="beginsWith" text="Functioning At Risk">
      <formula>LEFT(E43,LEN("Functioning At Risk"))="Functioning At Risk"</formula>
    </cfRule>
    <cfRule type="beginsWith" dxfId="352" priority="497" stopIfTrue="1" operator="beginsWith" text="Not Functioning">
      <formula>LEFT(E43,LEN("Not Functioning"))="Not Functioning"</formula>
    </cfRule>
    <cfRule type="containsText" dxfId="351" priority="498" operator="containsText" text="Functioning">
      <formula>NOT(ISERROR(SEARCH("Functioning",E43)))</formula>
    </cfRule>
  </conditionalFormatting>
  <conditionalFormatting sqref="E42">
    <cfRule type="beginsWith" dxfId="350" priority="493" stopIfTrue="1" operator="beginsWith" text="Functioning At Risk">
      <formula>LEFT(E42,LEN("Functioning At Risk"))="Functioning At Risk"</formula>
    </cfRule>
    <cfRule type="beginsWith" dxfId="349" priority="494" stopIfTrue="1" operator="beginsWith" text="Not Functioning">
      <formula>LEFT(E42,LEN("Not Functioning"))="Not Functioning"</formula>
    </cfRule>
    <cfRule type="containsText" dxfId="348" priority="495" operator="containsText" text="Functioning">
      <formula>NOT(ISERROR(SEARCH("Functioning",E42)))</formula>
    </cfRule>
  </conditionalFormatting>
  <conditionalFormatting sqref="B43:B44">
    <cfRule type="beginsWith" dxfId="347" priority="490" stopIfTrue="1" operator="beginsWith" text="Functioning At Risk">
      <formula>LEFT(B43,LEN("Functioning At Risk"))="Functioning At Risk"</formula>
    </cfRule>
    <cfRule type="beginsWith" dxfId="346" priority="491" stopIfTrue="1" operator="beginsWith" text="Not Functioning">
      <formula>LEFT(B43,LEN("Not Functioning"))="Not Functioning"</formula>
    </cfRule>
    <cfRule type="containsText" dxfId="345" priority="492" operator="containsText" text="Functioning">
      <formula>NOT(ISERROR(SEARCH("Functioning",B43)))</formula>
    </cfRule>
  </conditionalFormatting>
  <conditionalFormatting sqref="E82">
    <cfRule type="beginsWith" dxfId="344" priority="475" stopIfTrue="1" operator="beginsWith" text="Functioning At Risk">
      <formula>LEFT(E82,LEN("Functioning At Risk"))="Functioning At Risk"</formula>
    </cfRule>
    <cfRule type="beginsWith" dxfId="343" priority="476" stopIfTrue="1" operator="beginsWith" text="Not Functioning">
      <formula>LEFT(E82,LEN("Not Functioning"))="Not Functioning"</formula>
    </cfRule>
    <cfRule type="containsText" dxfId="342" priority="477" operator="containsText" text="Functioning">
      <formula>NOT(ISERROR(SEARCH("Functioning",E82)))</formula>
    </cfRule>
  </conditionalFormatting>
  <conditionalFormatting sqref="A118 A121 C118">
    <cfRule type="beginsWith" dxfId="341" priority="457" stopIfTrue="1" operator="beginsWith" text="Functioning At Risk">
      <formula>LEFT(A118,LEN("Functioning At Risk"))="Functioning At Risk"</formula>
    </cfRule>
    <cfRule type="beginsWith" dxfId="340" priority="458" stopIfTrue="1" operator="beginsWith" text="Not Functioning">
      <formula>LEFT(A118,LEN("Not Functioning"))="Not Functioning"</formula>
    </cfRule>
    <cfRule type="containsText" dxfId="339" priority="459" operator="containsText" text="Functioning">
      <formula>NOT(ISERROR(SEARCH("Functioning",A118)))</formula>
    </cfRule>
  </conditionalFormatting>
  <conditionalFormatting sqref="B119">
    <cfRule type="beginsWith" dxfId="338" priority="439" stopIfTrue="1" operator="beginsWith" text="Functioning At Risk">
      <formula>LEFT(B119,LEN("Functioning At Risk"))="Functioning At Risk"</formula>
    </cfRule>
    <cfRule type="beginsWith" dxfId="337" priority="440" stopIfTrue="1" operator="beginsWith" text="Not Functioning">
      <formula>LEFT(B119,LEN("Not Functioning"))="Not Functioning"</formula>
    </cfRule>
    <cfRule type="containsText" dxfId="336" priority="441" operator="containsText" text="Functioning">
      <formula>NOT(ISERROR(SEARCH("Functioning",B119)))</formula>
    </cfRule>
  </conditionalFormatting>
  <conditionalFormatting sqref="E119">
    <cfRule type="beginsWith" dxfId="335" priority="445" stopIfTrue="1" operator="beginsWith" text="Functioning At Risk">
      <formula>LEFT(E119,LEN("Functioning At Risk"))="Functioning At Risk"</formula>
    </cfRule>
    <cfRule type="beginsWith" dxfId="334" priority="446" stopIfTrue="1" operator="beginsWith" text="Not Functioning">
      <formula>LEFT(E119,LEN("Not Functioning"))="Not Functioning"</formula>
    </cfRule>
    <cfRule type="containsText" dxfId="333" priority="447" operator="containsText" text="Functioning">
      <formula>NOT(ISERROR(SEARCH("Functioning",E119)))</formula>
    </cfRule>
  </conditionalFormatting>
  <conditionalFormatting sqref="E118">
    <cfRule type="beginsWith" dxfId="332" priority="442" stopIfTrue="1" operator="beginsWith" text="Functioning At Risk">
      <formula>LEFT(E118,LEN("Functioning At Risk"))="Functioning At Risk"</formula>
    </cfRule>
    <cfRule type="beginsWith" dxfId="331" priority="443" stopIfTrue="1" operator="beginsWith" text="Not Functioning">
      <formula>LEFT(E118,LEN("Not Functioning"))="Not Functioning"</formula>
    </cfRule>
    <cfRule type="containsText" dxfId="330" priority="444" operator="containsText" text="Functioning">
      <formula>NOT(ISERROR(SEARCH("Functioning",E118)))</formula>
    </cfRule>
  </conditionalFormatting>
  <conditionalFormatting sqref="H118:H121">
    <cfRule type="beginsWith" dxfId="329" priority="436" stopIfTrue="1" operator="beginsWith" text="Functioning At Risk">
      <formula>LEFT(H118,LEN("Functioning At Risk"))="Functioning At Risk"</formula>
    </cfRule>
    <cfRule type="beginsWith" dxfId="328" priority="437" stopIfTrue="1" operator="beginsWith" text="Not Functioning">
      <formula>LEFT(H118,LEN("Not Functioning"))="Not Functioning"</formula>
    </cfRule>
    <cfRule type="containsText" dxfId="327" priority="438" operator="containsText" text="Functioning">
      <formula>NOT(ISERROR(SEARCH("Functioning",H118)))</formula>
    </cfRule>
  </conditionalFormatting>
  <conditionalFormatting sqref="E120">
    <cfRule type="beginsWith" dxfId="326" priority="451" stopIfTrue="1" operator="beginsWith" text="Functioning At Risk">
      <formula>LEFT(E120,LEN("Functioning At Risk"))="Functioning At Risk"</formula>
    </cfRule>
    <cfRule type="beginsWith" dxfId="325" priority="452" stopIfTrue="1" operator="beginsWith" text="Not Functioning">
      <formula>LEFT(E120,LEN("Not Functioning"))="Not Functioning"</formula>
    </cfRule>
    <cfRule type="containsText" dxfId="324" priority="453" operator="containsText" text="Functioning">
      <formula>NOT(ISERROR(SEARCH("Functioning",E120)))</formula>
    </cfRule>
  </conditionalFormatting>
  <conditionalFormatting sqref="E156">
    <cfRule type="beginsWith" dxfId="323" priority="412" stopIfTrue="1" operator="beginsWith" text="Functioning At Risk">
      <formula>LEFT(E156,LEN("Functioning At Risk"))="Functioning At Risk"</formula>
    </cfRule>
    <cfRule type="beginsWith" dxfId="322" priority="413" stopIfTrue="1" operator="beginsWith" text="Not Functioning">
      <formula>LEFT(E156,LEN("Not Functioning"))="Not Functioning"</formula>
    </cfRule>
    <cfRule type="containsText" dxfId="321" priority="414" operator="containsText" text="Functioning">
      <formula>NOT(ISERROR(SEARCH("Functioning",E156)))</formula>
    </cfRule>
  </conditionalFormatting>
  <conditionalFormatting sqref="B156:B158">
    <cfRule type="beginsWith" dxfId="320" priority="424" stopIfTrue="1" operator="beginsWith" text="Functioning At Risk">
      <formula>LEFT(B156,LEN("Functioning At Risk"))="Functioning At Risk"</formula>
    </cfRule>
    <cfRule type="beginsWith" dxfId="319" priority="425" stopIfTrue="1" operator="beginsWith" text="Not Functioning">
      <formula>LEFT(B156,LEN("Not Functioning"))="Not Functioning"</formula>
    </cfRule>
    <cfRule type="containsText" dxfId="318" priority="426" operator="containsText" text="Functioning">
      <formula>NOT(ISERROR(SEARCH("Functioning",B156)))</formula>
    </cfRule>
  </conditionalFormatting>
  <conditionalFormatting sqref="E157">
    <cfRule type="beginsWith" dxfId="317" priority="415" stopIfTrue="1" operator="beginsWith" text="Functioning At Risk">
      <formula>LEFT(E157,LEN("Functioning At Risk"))="Functioning At Risk"</formula>
    </cfRule>
    <cfRule type="beginsWith" dxfId="316" priority="416" stopIfTrue="1" operator="beginsWith" text="Not Functioning">
      <formula>LEFT(E157,LEN("Not Functioning"))="Not Functioning"</formula>
    </cfRule>
    <cfRule type="containsText" dxfId="315" priority="417" operator="containsText" text="Functioning">
      <formula>NOT(ISERROR(SEARCH("Functioning",E157)))</formula>
    </cfRule>
  </conditionalFormatting>
  <conditionalFormatting sqref="H156:H159">
    <cfRule type="beginsWith" dxfId="314" priority="409" stopIfTrue="1" operator="beginsWith" text="Functioning At Risk">
      <formula>LEFT(H156,LEN("Functioning At Risk"))="Functioning At Risk"</formula>
    </cfRule>
    <cfRule type="beginsWith" dxfId="313" priority="410" stopIfTrue="1" operator="beginsWith" text="Not Functioning">
      <formula>LEFT(H156,LEN("Not Functioning"))="Not Functioning"</formula>
    </cfRule>
    <cfRule type="containsText" dxfId="312" priority="411" operator="containsText" text="Functioning">
      <formula>NOT(ISERROR(SEARCH("Functioning",H156)))</formula>
    </cfRule>
  </conditionalFormatting>
  <conditionalFormatting sqref="E158">
    <cfRule type="beginsWith" dxfId="311" priority="421" stopIfTrue="1" operator="beginsWith" text="Functioning At Risk">
      <formula>LEFT(E158,LEN("Functioning At Risk"))="Functioning At Risk"</formula>
    </cfRule>
    <cfRule type="beginsWith" dxfId="310" priority="422" stopIfTrue="1" operator="beginsWith" text="Not Functioning">
      <formula>LEFT(E158,LEN("Not Functioning"))="Not Functioning"</formula>
    </cfRule>
    <cfRule type="containsText" dxfId="309" priority="423" operator="containsText" text="Functioning">
      <formula>NOT(ISERROR(SEARCH("Functioning",E158)))</formula>
    </cfRule>
  </conditionalFormatting>
  <conditionalFormatting sqref="E195">
    <cfRule type="beginsWith" dxfId="308" priority="388" stopIfTrue="1" operator="beginsWith" text="Functioning At Risk">
      <formula>LEFT(E195,LEN("Functioning At Risk"))="Functioning At Risk"</formula>
    </cfRule>
    <cfRule type="beginsWith" dxfId="307" priority="389" stopIfTrue="1" operator="beginsWith" text="Not Functioning">
      <formula>LEFT(E195,LEN("Not Functioning"))="Not Functioning"</formula>
    </cfRule>
    <cfRule type="containsText" dxfId="306" priority="390" operator="containsText" text="Functioning">
      <formula>NOT(ISERROR(SEARCH("Functioning",E195)))</formula>
    </cfRule>
  </conditionalFormatting>
  <conditionalFormatting sqref="B194:B196">
    <cfRule type="beginsWith" dxfId="305" priority="397" stopIfTrue="1" operator="beginsWith" text="Functioning At Risk">
      <formula>LEFT(B194,LEN("Functioning At Risk"))="Functioning At Risk"</formula>
    </cfRule>
    <cfRule type="beginsWith" dxfId="304" priority="398" stopIfTrue="1" operator="beginsWith" text="Not Functioning">
      <formula>LEFT(B194,LEN("Not Functioning"))="Not Functioning"</formula>
    </cfRule>
    <cfRule type="containsText" dxfId="303" priority="399" operator="containsText" text="Functioning">
      <formula>NOT(ISERROR(SEARCH("Functioning",B194)))</formula>
    </cfRule>
  </conditionalFormatting>
  <conditionalFormatting sqref="A194 A197 C194">
    <cfRule type="beginsWith" dxfId="302" priority="403" stopIfTrue="1" operator="beginsWith" text="Functioning At Risk">
      <formula>LEFT(A194,LEN("Functioning At Risk"))="Functioning At Risk"</formula>
    </cfRule>
    <cfRule type="beginsWith" dxfId="301" priority="404" stopIfTrue="1" operator="beginsWith" text="Not Functioning">
      <formula>LEFT(A194,LEN("Not Functioning"))="Not Functioning"</formula>
    </cfRule>
    <cfRule type="containsText" dxfId="300" priority="405" operator="containsText" text="Functioning">
      <formula>NOT(ISERROR(SEARCH("Functioning",A194)))</formula>
    </cfRule>
  </conditionalFormatting>
  <conditionalFormatting sqref="E194">
    <cfRule type="beginsWith" dxfId="299" priority="385" stopIfTrue="1" operator="beginsWith" text="Functioning At Risk">
      <formula>LEFT(E194,LEN("Functioning At Risk"))="Functioning At Risk"</formula>
    </cfRule>
    <cfRule type="beginsWith" dxfId="298" priority="386" stopIfTrue="1" operator="beginsWith" text="Not Functioning">
      <formula>LEFT(E194,LEN("Not Functioning"))="Not Functioning"</formula>
    </cfRule>
    <cfRule type="containsText" dxfId="297" priority="387" operator="containsText" text="Functioning">
      <formula>NOT(ISERROR(SEARCH("Functioning",E194)))</formula>
    </cfRule>
  </conditionalFormatting>
  <conditionalFormatting sqref="H194:H197">
    <cfRule type="beginsWith" dxfId="296" priority="382" stopIfTrue="1" operator="beginsWith" text="Functioning At Risk">
      <formula>LEFT(H194,LEN("Functioning At Risk"))="Functioning At Risk"</formula>
    </cfRule>
    <cfRule type="beginsWith" dxfId="295" priority="383" stopIfTrue="1" operator="beginsWith" text="Not Functioning">
      <formula>LEFT(H194,LEN("Not Functioning"))="Not Functioning"</formula>
    </cfRule>
    <cfRule type="containsText" dxfId="294" priority="384" operator="containsText" text="Functioning">
      <formula>NOT(ISERROR(SEARCH("Functioning",H194)))</formula>
    </cfRule>
  </conditionalFormatting>
  <conditionalFormatting sqref="E196">
    <cfRule type="beginsWith" dxfId="293" priority="394" stopIfTrue="1" operator="beginsWith" text="Functioning At Risk">
      <formula>LEFT(E196,LEN("Functioning At Risk"))="Functioning At Risk"</formula>
    </cfRule>
    <cfRule type="beginsWith" dxfId="292" priority="395" stopIfTrue="1" operator="beginsWith" text="Not Functioning">
      <formula>LEFT(E196,LEN("Not Functioning"))="Not Functioning"</formula>
    </cfRule>
    <cfRule type="containsText" dxfId="291" priority="396" operator="containsText" text="Functioning">
      <formula>NOT(ISERROR(SEARCH("Functioning",E196)))</formula>
    </cfRule>
  </conditionalFormatting>
  <conditionalFormatting sqref="E233">
    <cfRule type="beginsWith" dxfId="290" priority="364" stopIfTrue="1" operator="beginsWith" text="Functioning At Risk">
      <formula>LEFT(E233,LEN("Functioning At Risk"))="Functioning At Risk"</formula>
    </cfRule>
    <cfRule type="beginsWith" dxfId="289" priority="365" stopIfTrue="1" operator="beginsWith" text="Not Functioning">
      <formula>LEFT(E233,LEN("Not Functioning"))="Not Functioning"</formula>
    </cfRule>
    <cfRule type="containsText" dxfId="288" priority="366" operator="containsText" text="Functioning">
      <formula>NOT(ISERROR(SEARCH("Functioning",E233)))</formula>
    </cfRule>
  </conditionalFormatting>
  <conditionalFormatting sqref="A232 A235 C232">
    <cfRule type="beginsWith" dxfId="287" priority="376" stopIfTrue="1" operator="beginsWith" text="Functioning At Risk">
      <formula>LEFT(A232,LEN("Functioning At Risk"))="Functioning At Risk"</formula>
    </cfRule>
    <cfRule type="beginsWith" dxfId="286" priority="377" stopIfTrue="1" operator="beginsWith" text="Not Functioning">
      <formula>LEFT(A232,LEN("Not Functioning"))="Not Functioning"</formula>
    </cfRule>
    <cfRule type="containsText" dxfId="285" priority="378" operator="containsText" text="Functioning">
      <formula>NOT(ISERROR(SEARCH("Functioning",A232)))</formula>
    </cfRule>
  </conditionalFormatting>
  <conditionalFormatting sqref="E232">
    <cfRule type="beginsWith" dxfId="284" priority="361" stopIfTrue="1" operator="beginsWith" text="Functioning At Risk">
      <formula>LEFT(E232,LEN("Functioning At Risk"))="Functioning At Risk"</formula>
    </cfRule>
    <cfRule type="beginsWith" dxfId="283" priority="362" stopIfTrue="1" operator="beginsWith" text="Not Functioning">
      <formula>LEFT(E232,LEN("Not Functioning"))="Not Functioning"</formula>
    </cfRule>
    <cfRule type="containsText" dxfId="282" priority="363" operator="containsText" text="Functioning">
      <formula>NOT(ISERROR(SEARCH("Functioning",E232)))</formula>
    </cfRule>
  </conditionalFormatting>
  <conditionalFormatting sqref="H232:H235">
    <cfRule type="beginsWith" dxfId="281" priority="358" stopIfTrue="1" operator="beginsWith" text="Functioning At Risk">
      <formula>LEFT(H232,LEN("Functioning At Risk"))="Functioning At Risk"</formula>
    </cfRule>
    <cfRule type="beginsWith" dxfId="280" priority="359" stopIfTrue="1" operator="beginsWith" text="Not Functioning">
      <formula>LEFT(H232,LEN("Not Functioning"))="Not Functioning"</formula>
    </cfRule>
    <cfRule type="containsText" dxfId="279" priority="360" operator="containsText" text="Functioning">
      <formula>NOT(ISERROR(SEARCH("Functioning",H232)))</formula>
    </cfRule>
  </conditionalFormatting>
  <conditionalFormatting sqref="E234">
    <cfRule type="beginsWith" dxfId="278" priority="370" stopIfTrue="1" operator="beginsWith" text="Functioning At Risk">
      <formula>LEFT(E234,LEN("Functioning At Risk"))="Functioning At Risk"</formula>
    </cfRule>
    <cfRule type="beginsWith" dxfId="277" priority="371" stopIfTrue="1" operator="beginsWith" text="Not Functioning">
      <formula>LEFT(E234,LEN("Not Functioning"))="Not Functioning"</formula>
    </cfRule>
    <cfRule type="containsText" dxfId="276" priority="372" operator="containsText" text="Functioning">
      <formula>NOT(ISERROR(SEARCH("Functioning",E234)))</formula>
    </cfRule>
  </conditionalFormatting>
  <conditionalFormatting sqref="A270 A273 C270">
    <cfRule type="beginsWith" dxfId="275" priority="352" stopIfTrue="1" operator="beginsWith" text="Functioning At Risk">
      <formula>LEFT(A270,LEN("Functioning At Risk"))="Functioning At Risk"</formula>
    </cfRule>
    <cfRule type="beginsWith" dxfId="274" priority="353" stopIfTrue="1" operator="beginsWith" text="Not Functioning">
      <formula>LEFT(A270,LEN("Not Functioning"))="Not Functioning"</formula>
    </cfRule>
    <cfRule type="containsText" dxfId="273" priority="354" operator="containsText" text="Functioning">
      <formula>NOT(ISERROR(SEARCH("Functioning",A270)))</formula>
    </cfRule>
  </conditionalFormatting>
  <conditionalFormatting sqref="E271">
    <cfRule type="beginsWith" dxfId="272" priority="340" stopIfTrue="1" operator="beginsWith" text="Functioning At Risk">
      <formula>LEFT(E271,LEN("Functioning At Risk"))="Functioning At Risk"</formula>
    </cfRule>
    <cfRule type="beginsWith" dxfId="271" priority="341" stopIfTrue="1" operator="beginsWith" text="Not Functioning">
      <formula>LEFT(E271,LEN("Not Functioning"))="Not Functioning"</formula>
    </cfRule>
    <cfRule type="containsText" dxfId="270" priority="342" operator="containsText" text="Functioning">
      <formula>NOT(ISERROR(SEARCH("Functioning",E271)))</formula>
    </cfRule>
  </conditionalFormatting>
  <conditionalFormatting sqref="E270">
    <cfRule type="beginsWith" dxfId="269" priority="337" stopIfTrue="1" operator="beginsWith" text="Functioning At Risk">
      <formula>LEFT(E270,LEN("Functioning At Risk"))="Functioning At Risk"</formula>
    </cfRule>
    <cfRule type="beginsWith" dxfId="268" priority="338" stopIfTrue="1" operator="beginsWith" text="Not Functioning">
      <formula>LEFT(E270,LEN("Not Functioning"))="Not Functioning"</formula>
    </cfRule>
    <cfRule type="containsText" dxfId="267" priority="339" operator="containsText" text="Functioning">
      <formula>NOT(ISERROR(SEARCH("Functioning",E270)))</formula>
    </cfRule>
  </conditionalFormatting>
  <conditionalFormatting sqref="H270:H273">
    <cfRule type="beginsWith" dxfId="266" priority="334" stopIfTrue="1" operator="beginsWith" text="Functioning At Risk">
      <formula>LEFT(H270,LEN("Functioning At Risk"))="Functioning At Risk"</formula>
    </cfRule>
    <cfRule type="beginsWith" dxfId="265" priority="335" stopIfTrue="1" operator="beginsWith" text="Not Functioning">
      <formula>LEFT(H270,LEN("Not Functioning"))="Not Functioning"</formula>
    </cfRule>
    <cfRule type="containsText" dxfId="264" priority="336" operator="containsText" text="Functioning">
      <formula>NOT(ISERROR(SEARCH("Functioning",H270)))</formula>
    </cfRule>
  </conditionalFormatting>
  <conditionalFormatting sqref="E272">
    <cfRule type="beginsWith" dxfId="263" priority="346" stopIfTrue="1" operator="beginsWith" text="Functioning At Risk">
      <formula>LEFT(E272,LEN("Functioning At Risk"))="Functioning At Risk"</formula>
    </cfRule>
    <cfRule type="beginsWith" dxfId="262" priority="347" stopIfTrue="1" operator="beginsWith" text="Not Functioning">
      <formula>LEFT(E272,LEN("Not Functioning"))="Not Functioning"</formula>
    </cfRule>
    <cfRule type="containsText" dxfId="261" priority="348" operator="containsText" text="Functioning">
      <formula>NOT(ISERROR(SEARCH("Functioning",E272)))</formula>
    </cfRule>
  </conditionalFormatting>
  <conditionalFormatting sqref="E310">
    <cfRule type="beginsWith" dxfId="260" priority="322" stopIfTrue="1" operator="beginsWith" text="Functioning At Risk">
      <formula>LEFT(E310,LEN("Functioning At Risk"))="Functioning At Risk"</formula>
    </cfRule>
    <cfRule type="beginsWith" dxfId="259" priority="323" stopIfTrue="1" operator="beginsWith" text="Not Functioning">
      <formula>LEFT(E310,LEN("Not Functioning"))="Not Functioning"</formula>
    </cfRule>
    <cfRule type="containsText" dxfId="258" priority="324" operator="containsText" text="Functioning">
      <formula>NOT(ISERROR(SEARCH("Functioning",E310)))</formula>
    </cfRule>
  </conditionalFormatting>
  <conditionalFormatting sqref="A308 A311 C308">
    <cfRule type="beginsWith" dxfId="257" priority="328" stopIfTrue="1" operator="beginsWith" text="Functioning At Risk">
      <formula>LEFT(A308,LEN("Functioning At Risk"))="Functioning At Risk"</formula>
    </cfRule>
    <cfRule type="beginsWith" dxfId="256" priority="329" stopIfTrue="1" operator="beginsWith" text="Not Functioning">
      <formula>LEFT(A308,LEN("Not Functioning"))="Not Functioning"</formula>
    </cfRule>
    <cfRule type="containsText" dxfId="255" priority="330" operator="containsText" text="Functioning">
      <formula>NOT(ISERROR(SEARCH("Functioning",A308)))</formula>
    </cfRule>
  </conditionalFormatting>
  <conditionalFormatting sqref="E309">
    <cfRule type="beginsWith" dxfId="254" priority="316" stopIfTrue="1" operator="beginsWith" text="Functioning At Risk">
      <formula>LEFT(E309,LEN("Functioning At Risk"))="Functioning At Risk"</formula>
    </cfRule>
    <cfRule type="beginsWith" dxfId="253" priority="317" stopIfTrue="1" operator="beginsWith" text="Not Functioning">
      <formula>LEFT(E309,LEN("Not Functioning"))="Not Functioning"</formula>
    </cfRule>
    <cfRule type="containsText" dxfId="252" priority="318" operator="containsText" text="Functioning">
      <formula>NOT(ISERROR(SEARCH("Functioning",E309)))</formula>
    </cfRule>
  </conditionalFormatting>
  <conditionalFormatting sqref="E308">
    <cfRule type="beginsWith" dxfId="251" priority="313" stopIfTrue="1" operator="beginsWith" text="Functioning At Risk">
      <formula>LEFT(E308,LEN("Functioning At Risk"))="Functioning At Risk"</formula>
    </cfRule>
    <cfRule type="beginsWith" dxfId="250" priority="314" stopIfTrue="1" operator="beginsWith" text="Not Functioning">
      <formula>LEFT(E308,LEN("Not Functioning"))="Not Functioning"</formula>
    </cfRule>
    <cfRule type="containsText" dxfId="249" priority="315" operator="containsText" text="Functioning">
      <formula>NOT(ISERROR(SEARCH("Functioning",E308)))</formula>
    </cfRule>
  </conditionalFormatting>
  <conditionalFormatting sqref="H308:H311">
    <cfRule type="beginsWith" dxfId="248" priority="310" stopIfTrue="1" operator="beginsWith" text="Functioning At Risk">
      <formula>LEFT(H308,LEN("Functioning At Risk"))="Functioning At Risk"</formula>
    </cfRule>
    <cfRule type="beginsWith" dxfId="247" priority="311" stopIfTrue="1" operator="beginsWith" text="Not Functioning">
      <formula>LEFT(H308,LEN("Not Functioning"))="Not Functioning"</formula>
    </cfRule>
    <cfRule type="containsText" dxfId="246" priority="312" operator="containsText" text="Functioning">
      <formula>NOT(ISERROR(SEARCH("Functioning",H308)))</formula>
    </cfRule>
  </conditionalFormatting>
  <conditionalFormatting sqref="B346">
    <cfRule type="beginsWith" dxfId="245" priority="298" stopIfTrue="1" operator="beginsWith" text="Functioning At Risk">
      <formula>LEFT(B346,LEN("Functioning At Risk"))="Functioning At Risk"</formula>
    </cfRule>
    <cfRule type="beginsWith" dxfId="244" priority="299" stopIfTrue="1" operator="beginsWith" text="Not Functioning">
      <formula>LEFT(B346,LEN("Not Functioning"))="Not Functioning"</formula>
    </cfRule>
    <cfRule type="containsText" dxfId="243" priority="300" operator="containsText" text="Functioning">
      <formula>NOT(ISERROR(SEARCH("Functioning",B346)))</formula>
    </cfRule>
  </conditionalFormatting>
  <conditionalFormatting sqref="A346 A349 C346">
    <cfRule type="beginsWith" dxfId="242" priority="304" stopIfTrue="1" operator="beginsWith" text="Functioning At Risk">
      <formula>LEFT(A346,LEN("Functioning At Risk"))="Functioning At Risk"</formula>
    </cfRule>
    <cfRule type="beginsWith" dxfId="241" priority="305" stopIfTrue="1" operator="beginsWith" text="Not Functioning">
      <formula>LEFT(A346,LEN("Not Functioning"))="Not Functioning"</formula>
    </cfRule>
    <cfRule type="containsText" dxfId="240" priority="306" operator="containsText" text="Functioning">
      <formula>NOT(ISERROR(SEARCH("Functioning",A346)))</formula>
    </cfRule>
  </conditionalFormatting>
  <conditionalFormatting sqref="E347">
    <cfRule type="beginsWith" dxfId="239" priority="289" stopIfTrue="1" operator="beginsWith" text="Functioning At Risk">
      <formula>LEFT(E347,LEN("Functioning At Risk"))="Functioning At Risk"</formula>
    </cfRule>
    <cfRule type="beginsWith" dxfId="238" priority="290" stopIfTrue="1" operator="beginsWith" text="Not Functioning">
      <formula>LEFT(E347,LEN("Not Functioning"))="Not Functioning"</formula>
    </cfRule>
    <cfRule type="containsText" dxfId="237" priority="291" operator="containsText" text="Functioning">
      <formula>NOT(ISERROR(SEARCH("Functioning",E347)))</formula>
    </cfRule>
  </conditionalFormatting>
  <conditionalFormatting sqref="E346">
    <cfRule type="beginsWith" dxfId="236" priority="286" stopIfTrue="1" operator="beginsWith" text="Functioning At Risk">
      <formula>LEFT(E346,LEN("Functioning At Risk"))="Functioning At Risk"</formula>
    </cfRule>
    <cfRule type="beginsWith" dxfId="235" priority="287" stopIfTrue="1" operator="beginsWith" text="Not Functioning">
      <formula>LEFT(E346,LEN("Not Functioning"))="Not Functioning"</formula>
    </cfRule>
    <cfRule type="containsText" dxfId="234" priority="288" operator="containsText" text="Functioning">
      <formula>NOT(ISERROR(SEARCH("Functioning",E346)))</formula>
    </cfRule>
  </conditionalFormatting>
  <conditionalFormatting sqref="H346:H349">
    <cfRule type="beginsWith" dxfId="233" priority="283" stopIfTrue="1" operator="beginsWith" text="Functioning At Risk">
      <formula>LEFT(H346,LEN("Functioning At Risk"))="Functioning At Risk"</formula>
    </cfRule>
    <cfRule type="beginsWith" dxfId="232" priority="284" stopIfTrue="1" operator="beginsWith" text="Not Functioning">
      <formula>LEFT(H346,LEN("Not Functioning"))="Not Functioning"</formula>
    </cfRule>
    <cfRule type="containsText" dxfId="231" priority="285" operator="containsText" text="Functioning">
      <formula>NOT(ISERROR(SEARCH("Functioning",H346)))</formula>
    </cfRule>
  </conditionalFormatting>
  <conditionalFormatting sqref="E348">
    <cfRule type="beginsWith" dxfId="230" priority="295" stopIfTrue="1" operator="beginsWith" text="Functioning At Risk">
      <formula>LEFT(E348,LEN("Functioning At Risk"))="Functioning At Risk"</formula>
    </cfRule>
    <cfRule type="beginsWith" dxfId="229" priority="296" stopIfTrue="1" operator="beginsWith" text="Not Functioning">
      <formula>LEFT(E348,LEN("Not Functioning"))="Not Functioning"</formula>
    </cfRule>
    <cfRule type="containsText" dxfId="228" priority="297" operator="containsText" text="Functioning">
      <formula>NOT(ISERROR(SEARCH("Functioning",E348)))</formula>
    </cfRule>
  </conditionalFormatting>
  <conditionalFormatting sqref="B42">
    <cfRule type="beginsWith" dxfId="227" priority="277" stopIfTrue="1" operator="beginsWith" text="Functioning At Risk">
      <formula>LEFT(B42,LEN("Functioning At Risk"))="Functioning At Risk"</formula>
    </cfRule>
    <cfRule type="beginsWith" dxfId="226" priority="278" stopIfTrue="1" operator="beginsWith" text="Not Functioning">
      <formula>LEFT(B42,LEN("Not Functioning"))="Not Functioning"</formula>
    </cfRule>
    <cfRule type="containsText" dxfId="225" priority="279" operator="containsText" text="Functioning">
      <formula>NOT(ISERROR(SEARCH("Functioning",B42)))</formula>
    </cfRule>
  </conditionalFormatting>
  <conditionalFormatting sqref="B80">
    <cfRule type="beginsWith" dxfId="224" priority="274" stopIfTrue="1" operator="beginsWith" text="Functioning At Risk">
      <formula>LEFT(B80,LEN("Functioning At Risk"))="Functioning At Risk"</formula>
    </cfRule>
    <cfRule type="beginsWith" dxfId="223" priority="275" stopIfTrue="1" operator="beginsWith" text="Not Functioning">
      <formula>LEFT(B80,LEN("Not Functioning"))="Not Functioning"</formula>
    </cfRule>
    <cfRule type="containsText" dxfId="222" priority="276" operator="containsText" text="Functioning">
      <formula>NOT(ISERROR(SEARCH("Functioning",B80)))</formula>
    </cfRule>
  </conditionalFormatting>
  <conditionalFormatting sqref="B118">
    <cfRule type="beginsWith" dxfId="221" priority="271" stopIfTrue="1" operator="beginsWith" text="Functioning At Risk">
      <formula>LEFT(B118,LEN("Functioning At Risk"))="Functioning At Risk"</formula>
    </cfRule>
    <cfRule type="beginsWith" dxfId="220" priority="272" stopIfTrue="1" operator="beginsWith" text="Not Functioning">
      <formula>LEFT(B118,LEN("Not Functioning"))="Not Functioning"</formula>
    </cfRule>
    <cfRule type="containsText" dxfId="219" priority="273" operator="containsText" text="Functioning">
      <formula>NOT(ISERROR(SEARCH("Functioning",B118)))</formula>
    </cfRule>
  </conditionalFormatting>
  <conditionalFormatting sqref="B81:B82">
    <cfRule type="beginsWith" dxfId="218" priority="268" stopIfTrue="1" operator="beginsWith" text="Functioning At Risk">
      <formula>LEFT(B81,LEN("Functioning At Risk"))="Functioning At Risk"</formula>
    </cfRule>
    <cfRule type="beginsWith" dxfId="217" priority="269" stopIfTrue="1" operator="beginsWith" text="Not Functioning">
      <formula>LEFT(B81,LEN("Not Functioning"))="Not Functioning"</formula>
    </cfRule>
    <cfRule type="containsText" dxfId="216" priority="270" operator="containsText" text="Functioning">
      <formula>NOT(ISERROR(SEARCH("Functioning",B81)))</formula>
    </cfRule>
  </conditionalFormatting>
  <conditionalFormatting sqref="B120">
    <cfRule type="beginsWith" dxfId="215" priority="265" stopIfTrue="1" operator="beginsWith" text="Functioning At Risk">
      <formula>LEFT(B120,LEN("Functioning At Risk"))="Functioning At Risk"</formula>
    </cfRule>
    <cfRule type="beginsWith" dxfId="214" priority="266" stopIfTrue="1" operator="beginsWith" text="Not Functioning">
      <formula>LEFT(B120,LEN("Not Functioning"))="Not Functioning"</formula>
    </cfRule>
    <cfRule type="containsText" dxfId="213" priority="267" operator="containsText" text="Functioning">
      <formula>NOT(ISERROR(SEARCH("Functioning",B120)))</formula>
    </cfRule>
  </conditionalFormatting>
  <conditionalFormatting sqref="B232:B234">
    <cfRule type="beginsWith" dxfId="212" priority="262" stopIfTrue="1" operator="beginsWith" text="Functioning At Risk">
      <formula>LEFT(B232,LEN("Functioning At Risk"))="Functioning At Risk"</formula>
    </cfRule>
    <cfRule type="beginsWith" dxfId="211" priority="263" stopIfTrue="1" operator="beginsWith" text="Not Functioning">
      <formula>LEFT(B232,LEN("Not Functioning"))="Not Functioning"</formula>
    </cfRule>
    <cfRule type="containsText" dxfId="210" priority="264" operator="containsText" text="Functioning">
      <formula>NOT(ISERROR(SEARCH("Functioning",B232)))</formula>
    </cfRule>
  </conditionalFormatting>
  <conditionalFormatting sqref="B270:B272">
    <cfRule type="beginsWith" dxfId="209" priority="259" stopIfTrue="1" operator="beginsWith" text="Functioning At Risk">
      <formula>LEFT(B270,LEN("Functioning At Risk"))="Functioning At Risk"</formula>
    </cfRule>
    <cfRule type="beginsWith" dxfId="208" priority="260" stopIfTrue="1" operator="beginsWith" text="Not Functioning">
      <formula>LEFT(B270,LEN("Not Functioning"))="Not Functioning"</formula>
    </cfRule>
    <cfRule type="containsText" dxfId="207" priority="261" operator="containsText" text="Functioning">
      <formula>NOT(ISERROR(SEARCH("Functioning",B270)))</formula>
    </cfRule>
  </conditionalFormatting>
  <conditionalFormatting sqref="B308:B310">
    <cfRule type="beginsWith" dxfId="206" priority="256" stopIfTrue="1" operator="beginsWith" text="Functioning At Risk">
      <formula>LEFT(B308,LEN("Functioning At Risk"))="Functioning At Risk"</formula>
    </cfRule>
    <cfRule type="beginsWith" dxfId="205" priority="257" stopIfTrue="1" operator="beginsWith" text="Not Functioning">
      <formula>LEFT(B308,LEN("Not Functioning"))="Not Functioning"</formula>
    </cfRule>
    <cfRule type="containsText" dxfId="204" priority="258" operator="containsText" text="Functioning">
      <formula>NOT(ISERROR(SEARCH("Functioning",B308)))</formula>
    </cfRule>
  </conditionalFormatting>
  <conditionalFormatting sqref="B347:B348">
    <cfRule type="beginsWith" dxfId="203" priority="253" stopIfTrue="1" operator="beginsWith" text="Functioning At Risk">
      <formula>LEFT(B347,LEN("Functioning At Risk"))="Functioning At Risk"</formula>
    </cfRule>
    <cfRule type="beginsWith" dxfId="202" priority="254" stopIfTrue="1" operator="beginsWith" text="Not Functioning">
      <formula>LEFT(B347,LEN("Not Functioning"))="Not Functioning"</formula>
    </cfRule>
    <cfRule type="containsText" dxfId="201" priority="255" operator="containsText" text="Functioning">
      <formula>NOT(ISERROR(SEARCH("Functioning",B347)))</formula>
    </cfRule>
  </conditionalFormatting>
  <conditionalFormatting sqref="D132:D134">
    <cfRule type="beginsWith" dxfId="200" priority="250" stopIfTrue="1" operator="beginsWith" text="Functioning At Risk">
      <formula>LEFT(D132,LEN("Functioning At Risk"))="Functioning At Risk"</formula>
    </cfRule>
    <cfRule type="beginsWith" dxfId="199" priority="251" stopIfTrue="1" operator="beginsWith" text="Not Functioning">
      <formula>LEFT(D132,LEN("Not Functioning"))="Not Functioning"</formula>
    </cfRule>
    <cfRule type="containsText" dxfId="198" priority="252" operator="containsText" text="Functioning">
      <formula>NOT(ISERROR(SEARCH("Functioning",D132)))</formula>
    </cfRule>
  </conditionalFormatting>
  <conditionalFormatting sqref="G161">
    <cfRule type="beginsWith" dxfId="197" priority="247" stopIfTrue="1" operator="beginsWith" text="Functioning At Risk">
      <formula>LEFT(G161,LEN("Functioning At Risk"))="Functioning At Risk"</formula>
    </cfRule>
    <cfRule type="beginsWith" dxfId="196" priority="248" stopIfTrue="1" operator="beginsWith" text="Not Functioning">
      <formula>LEFT(G161,LEN("Not Functioning"))="Not Functioning"</formula>
    </cfRule>
    <cfRule type="containsText" dxfId="195" priority="249" operator="containsText" text="Functioning">
      <formula>NOT(ISERROR(SEARCH("Functioning",G161)))</formula>
    </cfRule>
  </conditionalFormatting>
  <conditionalFormatting sqref="D56:D58">
    <cfRule type="beginsWith" dxfId="194" priority="244" stopIfTrue="1" operator="beginsWith" text="Functioning At Risk">
      <formula>LEFT(D56,LEN("Functioning At Risk"))="Functioning At Risk"</formula>
    </cfRule>
    <cfRule type="beginsWith" dxfId="193" priority="245" stopIfTrue="1" operator="beginsWith" text="Not Functioning">
      <formula>LEFT(D56,LEN("Not Functioning"))="Not Functioning"</formula>
    </cfRule>
    <cfRule type="containsText" dxfId="192" priority="246" operator="containsText" text="Functioning">
      <formula>NOT(ISERROR(SEARCH("Functioning",D56)))</formula>
    </cfRule>
  </conditionalFormatting>
  <conditionalFormatting sqref="D94:D96">
    <cfRule type="beginsWith" dxfId="191" priority="241" stopIfTrue="1" operator="beginsWith" text="Functioning At Risk">
      <formula>LEFT(D94,LEN("Functioning At Risk"))="Functioning At Risk"</formula>
    </cfRule>
    <cfRule type="beginsWith" dxfId="190" priority="242" stopIfTrue="1" operator="beginsWith" text="Not Functioning">
      <formula>LEFT(D94,LEN("Not Functioning"))="Not Functioning"</formula>
    </cfRule>
    <cfRule type="containsText" dxfId="189" priority="243" operator="containsText" text="Functioning">
      <formula>NOT(ISERROR(SEARCH("Functioning",D94)))</formula>
    </cfRule>
  </conditionalFormatting>
  <conditionalFormatting sqref="D170:D172">
    <cfRule type="beginsWith" dxfId="188" priority="238" stopIfTrue="1" operator="beginsWith" text="Functioning At Risk">
      <formula>LEFT(D170,LEN("Functioning At Risk"))="Functioning At Risk"</formula>
    </cfRule>
    <cfRule type="beginsWith" dxfId="187" priority="239" stopIfTrue="1" operator="beginsWith" text="Not Functioning">
      <formula>LEFT(D170,LEN("Not Functioning"))="Not Functioning"</formula>
    </cfRule>
    <cfRule type="containsText" dxfId="186" priority="240" operator="containsText" text="Functioning">
      <formula>NOT(ISERROR(SEARCH("Functioning",D170)))</formula>
    </cfRule>
  </conditionalFormatting>
  <conditionalFormatting sqref="I191">
    <cfRule type="containsText" dxfId="185" priority="235" stopIfTrue="1" operator="containsText" text="Functioning At Risk">
      <formula>NOT(ISERROR(SEARCH("Functioning At Risk",I191)))</formula>
    </cfRule>
    <cfRule type="containsText" dxfId="184" priority="236" stopIfTrue="1" operator="containsText" text="Not Functioning">
      <formula>NOT(ISERROR(SEARCH("Not Functioning",I191)))</formula>
    </cfRule>
    <cfRule type="containsText" dxfId="183" priority="237" operator="containsText" text="Functioning">
      <formula>NOT(ISERROR(SEARCH("Functioning",I191)))</formula>
    </cfRule>
  </conditionalFormatting>
  <conditionalFormatting sqref="A200:B200 E200:J200 D208:D210">
    <cfRule type="beginsWith" dxfId="182" priority="232" stopIfTrue="1" operator="beginsWith" text="Functioning At Risk">
      <formula>LEFT(A200,LEN("Functioning At Risk"))="Functioning At Risk"</formula>
    </cfRule>
    <cfRule type="beginsWith" dxfId="181" priority="233" stopIfTrue="1" operator="beginsWith" text="Not Functioning">
      <formula>LEFT(A200,LEN("Not Functioning"))="Not Functioning"</formula>
    </cfRule>
    <cfRule type="containsText" dxfId="180" priority="234" operator="containsText" text="Functioning">
      <formula>NOT(ISERROR(SEARCH("Functioning",A200)))</formula>
    </cfRule>
  </conditionalFormatting>
  <conditionalFormatting sqref="D246:D248">
    <cfRule type="beginsWith" dxfId="179" priority="229" stopIfTrue="1" operator="beginsWith" text="Functioning At Risk">
      <formula>LEFT(D246,LEN("Functioning At Risk"))="Functioning At Risk"</formula>
    </cfRule>
    <cfRule type="beginsWith" dxfId="178" priority="230" stopIfTrue="1" operator="beginsWith" text="Not Functioning">
      <formula>LEFT(D246,LEN("Not Functioning"))="Not Functioning"</formula>
    </cfRule>
    <cfRule type="containsText" dxfId="177" priority="231" operator="containsText" text="Functioning">
      <formula>NOT(ISERROR(SEARCH("Functioning",D246)))</formula>
    </cfRule>
  </conditionalFormatting>
  <conditionalFormatting sqref="D284:D286">
    <cfRule type="beginsWith" dxfId="176" priority="226" stopIfTrue="1" operator="beginsWith" text="Functioning At Risk">
      <formula>LEFT(D284,LEN("Functioning At Risk"))="Functioning At Risk"</formula>
    </cfRule>
    <cfRule type="beginsWith" dxfId="175" priority="227" stopIfTrue="1" operator="beginsWith" text="Not Functioning">
      <formula>LEFT(D284,LEN("Not Functioning"))="Not Functioning"</formula>
    </cfRule>
    <cfRule type="containsText" dxfId="174" priority="228" operator="containsText" text="Functioning">
      <formula>NOT(ISERROR(SEARCH("Functioning",D284)))</formula>
    </cfRule>
  </conditionalFormatting>
  <conditionalFormatting sqref="D322:D324">
    <cfRule type="beginsWith" dxfId="173" priority="223" stopIfTrue="1" operator="beginsWith" text="Functioning At Risk">
      <formula>LEFT(D322,LEN("Functioning At Risk"))="Functioning At Risk"</formula>
    </cfRule>
    <cfRule type="beginsWith" dxfId="172" priority="224" stopIfTrue="1" operator="beginsWith" text="Not Functioning">
      <formula>LEFT(D322,LEN("Not Functioning"))="Not Functioning"</formula>
    </cfRule>
    <cfRule type="containsText" dxfId="171" priority="225" operator="containsText" text="Functioning">
      <formula>NOT(ISERROR(SEARCH("Functioning",D322)))</formula>
    </cfRule>
  </conditionalFormatting>
  <conditionalFormatting sqref="D360:D362">
    <cfRule type="beginsWith" dxfId="170" priority="220" stopIfTrue="1" operator="beginsWith" text="Functioning At Risk">
      <formula>LEFT(D360,LEN("Functioning At Risk"))="Functioning At Risk"</formula>
    </cfRule>
    <cfRule type="beginsWith" dxfId="169" priority="221" stopIfTrue="1" operator="beginsWith" text="Not Functioning">
      <formula>LEFT(D360,LEN("Not Functioning"))="Not Functioning"</formula>
    </cfRule>
    <cfRule type="containsText" dxfId="168" priority="222" operator="containsText" text="Functioning">
      <formula>NOT(ISERROR(SEARCH("Functioning",D360)))</formula>
    </cfRule>
  </conditionalFormatting>
  <conditionalFormatting sqref="I21 I11 I32:I38 I18">
    <cfRule type="containsText" dxfId="167" priority="562" stopIfTrue="1" operator="containsText" text="Functioning At Risk">
      <formula>NOT(ISERROR(SEARCH("Functioning At Risk",I11)))</formula>
    </cfRule>
    <cfRule type="containsText" dxfId="166" priority="563" stopIfTrue="1" operator="containsText" text="Not Functioning">
      <formula>NOT(ISERROR(SEARCH("Not Functioning",I11)))</formula>
    </cfRule>
    <cfRule type="containsText" dxfId="165" priority="564" operator="containsText" text="Functioning">
      <formula>NOT(ISERROR(SEARCH("Functioning",I11)))</formula>
    </cfRule>
  </conditionalFormatting>
  <conditionalFormatting sqref="I59 I49 I70:I76 I56">
    <cfRule type="containsText" dxfId="164" priority="163" stopIfTrue="1" operator="containsText" text="Functioning At Risk">
      <formula>NOT(ISERROR(SEARCH("Functioning At Risk",I49)))</formula>
    </cfRule>
    <cfRule type="containsText" dxfId="163" priority="164" stopIfTrue="1" operator="containsText" text="Not Functioning">
      <formula>NOT(ISERROR(SEARCH("Not Functioning",I49)))</formula>
    </cfRule>
    <cfRule type="containsText" dxfId="162" priority="165" operator="containsText" text="Functioning">
      <formula>NOT(ISERROR(SEARCH("Functioning",I49)))</formula>
    </cfRule>
  </conditionalFormatting>
  <conditionalFormatting sqref="I97 I87 I108:I114 I94">
    <cfRule type="containsText" dxfId="161" priority="160" stopIfTrue="1" operator="containsText" text="Functioning At Risk">
      <formula>NOT(ISERROR(SEARCH("Functioning At Risk",I87)))</formula>
    </cfRule>
    <cfRule type="containsText" dxfId="160" priority="161" stopIfTrue="1" operator="containsText" text="Not Functioning">
      <formula>NOT(ISERROR(SEARCH("Not Functioning",I87)))</formula>
    </cfRule>
    <cfRule type="containsText" dxfId="159" priority="162" operator="containsText" text="Functioning">
      <formula>NOT(ISERROR(SEARCH("Functioning",I87)))</formula>
    </cfRule>
  </conditionalFormatting>
  <conditionalFormatting sqref="I135 I125 I146:I152 I132">
    <cfRule type="containsText" dxfId="158" priority="157" stopIfTrue="1" operator="containsText" text="Functioning At Risk">
      <formula>NOT(ISERROR(SEARCH("Functioning At Risk",I125)))</formula>
    </cfRule>
    <cfRule type="containsText" dxfId="157" priority="158" stopIfTrue="1" operator="containsText" text="Not Functioning">
      <formula>NOT(ISERROR(SEARCH("Not Functioning",I125)))</formula>
    </cfRule>
    <cfRule type="containsText" dxfId="156" priority="159" operator="containsText" text="Functioning">
      <formula>NOT(ISERROR(SEARCH("Functioning",I125)))</formula>
    </cfRule>
  </conditionalFormatting>
  <conditionalFormatting sqref="I173 I163 I184:I190 I170">
    <cfRule type="containsText" dxfId="155" priority="154" stopIfTrue="1" operator="containsText" text="Functioning At Risk">
      <formula>NOT(ISERROR(SEARCH("Functioning At Risk",I163)))</formula>
    </cfRule>
    <cfRule type="containsText" dxfId="154" priority="155" stopIfTrue="1" operator="containsText" text="Not Functioning">
      <formula>NOT(ISERROR(SEARCH("Not Functioning",I163)))</formula>
    </cfRule>
    <cfRule type="containsText" dxfId="153" priority="156" operator="containsText" text="Functioning">
      <formula>NOT(ISERROR(SEARCH("Functioning",I163)))</formula>
    </cfRule>
  </conditionalFormatting>
  <conditionalFormatting sqref="I211 I201 I222:I228 I208">
    <cfRule type="containsText" dxfId="152" priority="151" stopIfTrue="1" operator="containsText" text="Functioning At Risk">
      <formula>NOT(ISERROR(SEARCH("Functioning At Risk",I201)))</formula>
    </cfRule>
    <cfRule type="containsText" dxfId="151" priority="152" stopIfTrue="1" operator="containsText" text="Not Functioning">
      <formula>NOT(ISERROR(SEARCH("Not Functioning",I201)))</formula>
    </cfRule>
    <cfRule type="containsText" dxfId="150" priority="153" operator="containsText" text="Functioning">
      <formula>NOT(ISERROR(SEARCH("Functioning",I201)))</formula>
    </cfRule>
  </conditionalFormatting>
  <conditionalFormatting sqref="I249 I239 I260:I266 I246">
    <cfRule type="containsText" dxfId="149" priority="148" stopIfTrue="1" operator="containsText" text="Functioning At Risk">
      <formula>NOT(ISERROR(SEARCH("Functioning At Risk",I239)))</formula>
    </cfRule>
    <cfRule type="containsText" dxfId="148" priority="149" stopIfTrue="1" operator="containsText" text="Not Functioning">
      <formula>NOT(ISERROR(SEARCH("Not Functioning",I239)))</formula>
    </cfRule>
    <cfRule type="containsText" dxfId="147" priority="150" operator="containsText" text="Functioning">
      <formula>NOT(ISERROR(SEARCH("Functioning",I239)))</formula>
    </cfRule>
  </conditionalFormatting>
  <conditionalFormatting sqref="I287 I277 I298:I304 I284">
    <cfRule type="containsText" dxfId="146" priority="145" stopIfTrue="1" operator="containsText" text="Functioning At Risk">
      <formula>NOT(ISERROR(SEARCH("Functioning At Risk",I277)))</formula>
    </cfRule>
    <cfRule type="containsText" dxfId="145" priority="146" stopIfTrue="1" operator="containsText" text="Not Functioning">
      <formula>NOT(ISERROR(SEARCH("Not Functioning",I277)))</formula>
    </cfRule>
    <cfRule type="containsText" dxfId="144" priority="147" operator="containsText" text="Functioning">
      <formula>NOT(ISERROR(SEARCH("Functioning",I277)))</formula>
    </cfRule>
  </conditionalFormatting>
  <conditionalFormatting sqref="I325 I315 I336:I342 I322">
    <cfRule type="containsText" dxfId="143" priority="142" stopIfTrue="1" operator="containsText" text="Functioning At Risk">
      <formula>NOT(ISERROR(SEARCH("Functioning At Risk",I315)))</formula>
    </cfRule>
    <cfRule type="containsText" dxfId="142" priority="143" stopIfTrue="1" operator="containsText" text="Not Functioning">
      <formula>NOT(ISERROR(SEARCH("Not Functioning",I315)))</formula>
    </cfRule>
    <cfRule type="containsText" dxfId="141" priority="144" operator="containsText" text="Functioning">
      <formula>NOT(ISERROR(SEARCH("Functioning",I315)))</formula>
    </cfRule>
  </conditionalFormatting>
  <conditionalFormatting sqref="I363 I353 I374:I380 I360">
    <cfRule type="containsText" dxfId="140" priority="139" stopIfTrue="1" operator="containsText" text="Functioning At Risk">
      <formula>NOT(ISERROR(SEARCH("Functioning At Risk",I353)))</formula>
    </cfRule>
    <cfRule type="containsText" dxfId="139" priority="140" stopIfTrue="1" operator="containsText" text="Not Functioning">
      <formula>NOT(ISERROR(SEARCH("Not Functioning",I353)))</formula>
    </cfRule>
    <cfRule type="containsText" dxfId="138" priority="141" operator="containsText" text="Functioning">
      <formula>NOT(ISERROR(SEARCH("Functioning",I353)))</formula>
    </cfRule>
  </conditionalFormatting>
  <conditionalFormatting sqref="A10:B10 E10:J10">
    <cfRule type="beginsWith" dxfId="137" priority="136" stopIfTrue="1" operator="beginsWith" text="Functioning At Risk">
      <formula>LEFT(A10,LEN("Functioning At Risk"))="Functioning At Risk"</formula>
    </cfRule>
    <cfRule type="beginsWith" dxfId="136" priority="137" stopIfTrue="1" operator="beginsWith" text="Not Functioning">
      <formula>LEFT(A10,LEN("Not Functioning"))="Not Functioning"</formula>
    </cfRule>
    <cfRule type="containsText" dxfId="135" priority="138" operator="containsText" text="Functioning">
      <formula>NOT(ISERROR(SEARCH("Functioning",A10)))</formula>
    </cfRule>
  </conditionalFormatting>
  <conditionalFormatting sqref="A48:B48 E48:J48">
    <cfRule type="beginsWith" dxfId="134" priority="133" stopIfTrue="1" operator="beginsWith" text="Functioning At Risk">
      <formula>LEFT(A48,LEN("Functioning At Risk"))="Functioning At Risk"</formula>
    </cfRule>
    <cfRule type="beginsWith" dxfId="133" priority="134" stopIfTrue="1" operator="beginsWith" text="Not Functioning">
      <formula>LEFT(A48,LEN("Not Functioning"))="Not Functioning"</formula>
    </cfRule>
    <cfRule type="containsText" dxfId="132" priority="135" operator="containsText" text="Functioning">
      <formula>NOT(ISERROR(SEARCH("Functioning",A48)))</formula>
    </cfRule>
  </conditionalFormatting>
  <conditionalFormatting sqref="A86:B86 E86:J86">
    <cfRule type="beginsWith" dxfId="131" priority="130" stopIfTrue="1" operator="beginsWith" text="Functioning At Risk">
      <formula>LEFT(A86,LEN("Functioning At Risk"))="Functioning At Risk"</formula>
    </cfRule>
    <cfRule type="beginsWith" dxfId="130" priority="131" stopIfTrue="1" operator="beginsWith" text="Not Functioning">
      <formula>LEFT(A86,LEN("Not Functioning"))="Not Functioning"</formula>
    </cfRule>
    <cfRule type="containsText" dxfId="129" priority="132" operator="containsText" text="Functioning">
      <formula>NOT(ISERROR(SEARCH("Functioning",A86)))</formula>
    </cfRule>
  </conditionalFormatting>
  <conditionalFormatting sqref="A124:B124 E124:J124">
    <cfRule type="beginsWith" dxfId="128" priority="127" stopIfTrue="1" operator="beginsWith" text="Functioning At Risk">
      <formula>LEFT(A124,LEN("Functioning At Risk"))="Functioning At Risk"</formula>
    </cfRule>
    <cfRule type="beginsWith" dxfId="127" priority="128" stopIfTrue="1" operator="beginsWith" text="Not Functioning">
      <formula>LEFT(A124,LEN("Not Functioning"))="Not Functioning"</formula>
    </cfRule>
    <cfRule type="containsText" dxfId="126" priority="129" operator="containsText" text="Functioning">
      <formula>NOT(ISERROR(SEARCH("Functioning",A124)))</formula>
    </cfRule>
  </conditionalFormatting>
  <conditionalFormatting sqref="A162:B162 E162:J162">
    <cfRule type="beginsWith" dxfId="125" priority="124" stopIfTrue="1" operator="beginsWith" text="Functioning At Risk">
      <formula>LEFT(A162,LEN("Functioning At Risk"))="Functioning At Risk"</formula>
    </cfRule>
    <cfRule type="beginsWith" dxfId="124" priority="125" stopIfTrue="1" operator="beginsWith" text="Not Functioning">
      <formula>LEFT(A162,LEN("Not Functioning"))="Not Functioning"</formula>
    </cfRule>
    <cfRule type="containsText" dxfId="123" priority="126" operator="containsText" text="Functioning">
      <formula>NOT(ISERROR(SEARCH("Functioning",A162)))</formula>
    </cfRule>
  </conditionalFormatting>
  <conditionalFormatting sqref="A238:B238 E238:J238">
    <cfRule type="beginsWith" dxfId="122" priority="121" stopIfTrue="1" operator="beginsWith" text="Functioning At Risk">
      <formula>LEFT(A238,LEN("Functioning At Risk"))="Functioning At Risk"</formula>
    </cfRule>
    <cfRule type="beginsWith" dxfId="121" priority="122" stopIfTrue="1" operator="beginsWith" text="Not Functioning">
      <formula>LEFT(A238,LEN("Not Functioning"))="Not Functioning"</formula>
    </cfRule>
    <cfRule type="containsText" dxfId="120" priority="123" operator="containsText" text="Functioning">
      <formula>NOT(ISERROR(SEARCH("Functioning",A238)))</formula>
    </cfRule>
  </conditionalFormatting>
  <conditionalFormatting sqref="A276:B276 E276:J276">
    <cfRule type="beginsWith" dxfId="119" priority="118" stopIfTrue="1" operator="beginsWith" text="Functioning At Risk">
      <formula>LEFT(A276,LEN("Functioning At Risk"))="Functioning At Risk"</formula>
    </cfRule>
    <cfRule type="beginsWith" dxfId="118" priority="119" stopIfTrue="1" operator="beginsWith" text="Not Functioning">
      <formula>LEFT(A276,LEN("Not Functioning"))="Not Functioning"</formula>
    </cfRule>
    <cfRule type="containsText" dxfId="117" priority="120" operator="containsText" text="Functioning">
      <formula>NOT(ISERROR(SEARCH("Functioning",A276)))</formula>
    </cfRule>
  </conditionalFormatting>
  <conditionalFormatting sqref="A314:B314 E314:J314">
    <cfRule type="beginsWith" dxfId="116" priority="115" stopIfTrue="1" operator="beginsWith" text="Functioning At Risk">
      <formula>LEFT(A314,LEN("Functioning At Risk"))="Functioning At Risk"</formula>
    </cfRule>
    <cfRule type="beginsWith" dxfId="115" priority="116" stopIfTrue="1" operator="beginsWith" text="Not Functioning">
      <formula>LEFT(A314,LEN("Not Functioning"))="Not Functioning"</formula>
    </cfRule>
    <cfRule type="containsText" dxfId="114" priority="117" operator="containsText" text="Functioning">
      <formula>NOT(ISERROR(SEARCH("Functioning",A314)))</formula>
    </cfRule>
  </conditionalFormatting>
  <conditionalFormatting sqref="A352:B352 E352:J352">
    <cfRule type="beginsWith" dxfId="113" priority="112" stopIfTrue="1" operator="beginsWith" text="Functioning At Risk">
      <formula>LEFT(A352,LEN("Functioning At Risk"))="Functioning At Risk"</formula>
    </cfRule>
    <cfRule type="beginsWith" dxfId="112" priority="113" stopIfTrue="1" operator="beginsWith" text="Not Functioning">
      <formula>LEFT(A352,LEN("Not Functioning"))="Not Functioning"</formula>
    </cfRule>
    <cfRule type="containsText" dxfId="111" priority="114" operator="containsText" text="Functioning">
      <formula>NOT(ISERROR(SEARCH("Functioning",A352)))</formula>
    </cfRule>
  </conditionalFormatting>
  <conditionalFormatting sqref="D346:D349">
    <cfRule type="beginsWith" dxfId="110" priority="58" stopIfTrue="1" operator="beginsWith" text="Functioning At Risk">
      <formula>LEFT(D346,LEN("Functioning At Risk"))="Functioning At Risk"</formula>
    </cfRule>
    <cfRule type="beginsWith" dxfId="109" priority="59" stopIfTrue="1" operator="beginsWith" text="Not Functioning">
      <formula>LEFT(D346,LEN("Not Functioning"))="Not Functioning"</formula>
    </cfRule>
    <cfRule type="containsText" dxfId="108" priority="60" operator="containsText" text="Functioning">
      <formula>NOT(ISERROR(SEARCH("Functioning",D346)))</formula>
    </cfRule>
  </conditionalFormatting>
  <conditionalFormatting sqref="D42:D45">
    <cfRule type="beginsWith" dxfId="107" priority="109" stopIfTrue="1" operator="beginsWith" text="Functioning At Risk">
      <formula>LEFT(D42,LEN("Functioning At Risk"))="Functioning At Risk"</formula>
    </cfRule>
    <cfRule type="beginsWith" dxfId="106" priority="110" stopIfTrue="1" operator="beginsWith" text="Not Functioning">
      <formula>LEFT(D42,LEN("Not Functioning"))="Not Functioning"</formula>
    </cfRule>
    <cfRule type="containsText" dxfId="105" priority="111" operator="containsText" text="Functioning">
      <formula>NOT(ISERROR(SEARCH("Functioning",D42)))</formula>
    </cfRule>
  </conditionalFormatting>
  <conditionalFormatting sqref="F42:F44">
    <cfRule type="beginsWith" dxfId="104" priority="106" stopIfTrue="1" operator="beginsWith" text="Functioning At Risk">
      <formula>LEFT(F42,LEN("Functioning At Risk"))="Functioning At Risk"</formula>
    </cfRule>
    <cfRule type="beginsWith" dxfId="103" priority="107" stopIfTrue="1" operator="beginsWith" text="Not Functioning">
      <formula>LEFT(F42,LEN("Not Functioning"))="Not Functioning"</formula>
    </cfRule>
    <cfRule type="containsText" dxfId="102" priority="108" operator="containsText" text="Functioning">
      <formula>NOT(ISERROR(SEARCH("Functioning",F42)))</formula>
    </cfRule>
  </conditionalFormatting>
  <conditionalFormatting sqref="F4:F6">
    <cfRule type="beginsWith" dxfId="101" priority="103" stopIfTrue="1" operator="beginsWith" text="Functioning At Risk">
      <formula>LEFT(F4,LEN("Functioning At Risk"))="Functioning At Risk"</formula>
    </cfRule>
    <cfRule type="beginsWith" dxfId="100" priority="104" stopIfTrue="1" operator="beginsWith" text="Not Functioning">
      <formula>LEFT(F4,LEN("Not Functioning"))="Not Functioning"</formula>
    </cfRule>
    <cfRule type="containsText" dxfId="99" priority="105" operator="containsText" text="Functioning">
      <formula>NOT(ISERROR(SEARCH("Functioning",F4)))</formula>
    </cfRule>
  </conditionalFormatting>
  <conditionalFormatting sqref="F118:F120">
    <cfRule type="beginsWith" dxfId="98" priority="100" stopIfTrue="1" operator="beginsWith" text="Functioning At Risk">
      <formula>LEFT(F118,LEN("Functioning At Risk"))="Functioning At Risk"</formula>
    </cfRule>
    <cfRule type="beginsWith" dxfId="97" priority="101" stopIfTrue="1" operator="beginsWith" text="Not Functioning">
      <formula>LEFT(F118,LEN("Not Functioning"))="Not Functioning"</formula>
    </cfRule>
    <cfRule type="containsText" dxfId="96" priority="102" operator="containsText" text="Functioning">
      <formula>NOT(ISERROR(SEARCH("Functioning",F118)))</formula>
    </cfRule>
  </conditionalFormatting>
  <conditionalFormatting sqref="F156:F158">
    <cfRule type="beginsWith" dxfId="95" priority="97" stopIfTrue="1" operator="beginsWith" text="Functioning At Risk">
      <formula>LEFT(F156,LEN("Functioning At Risk"))="Functioning At Risk"</formula>
    </cfRule>
    <cfRule type="beginsWith" dxfId="94" priority="98" stopIfTrue="1" operator="beginsWith" text="Not Functioning">
      <formula>LEFT(F156,LEN("Not Functioning"))="Not Functioning"</formula>
    </cfRule>
    <cfRule type="containsText" dxfId="93" priority="99" operator="containsText" text="Functioning">
      <formula>NOT(ISERROR(SEARCH("Functioning",F156)))</formula>
    </cfRule>
  </conditionalFormatting>
  <conditionalFormatting sqref="F194:F196">
    <cfRule type="beginsWith" dxfId="92" priority="94" stopIfTrue="1" operator="beginsWith" text="Functioning At Risk">
      <formula>LEFT(F194,LEN("Functioning At Risk"))="Functioning At Risk"</formula>
    </cfRule>
    <cfRule type="beginsWith" dxfId="91" priority="95" stopIfTrue="1" operator="beginsWith" text="Not Functioning">
      <formula>LEFT(F194,LEN("Not Functioning"))="Not Functioning"</formula>
    </cfRule>
    <cfRule type="containsText" dxfId="90" priority="96" operator="containsText" text="Functioning">
      <formula>NOT(ISERROR(SEARCH("Functioning",F194)))</formula>
    </cfRule>
  </conditionalFormatting>
  <conditionalFormatting sqref="F232:F234">
    <cfRule type="beginsWith" dxfId="89" priority="91" stopIfTrue="1" operator="beginsWith" text="Functioning At Risk">
      <formula>LEFT(F232,LEN("Functioning At Risk"))="Functioning At Risk"</formula>
    </cfRule>
    <cfRule type="beginsWith" dxfId="88" priority="92" stopIfTrue="1" operator="beginsWith" text="Not Functioning">
      <formula>LEFT(F232,LEN("Not Functioning"))="Not Functioning"</formula>
    </cfRule>
    <cfRule type="containsText" dxfId="87" priority="93" operator="containsText" text="Functioning">
      <formula>NOT(ISERROR(SEARCH("Functioning",F232)))</formula>
    </cfRule>
  </conditionalFormatting>
  <conditionalFormatting sqref="F270:F272">
    <cfRule type="beginsWith" dxfId="86" priority="88" stopIfTrue="1" operator="beginsWith" text="Functioning At Risk">
      <formula>LEFT(F270,LEN("Functioning At Risk"))="Functioning At Risk"</formula>
    </cfRule>
    <cfRule type="beginsWith" dxfId="85" priority="89" stopIfTrue="1" operator="beginsWith" text="Not Functioning">
      <formula>LEFT(F270,LEN("Not Functioning"))="Not Functioning"</formula>
    </cfRule>
    <cfRule type="containsText" dxfId="84" priority="90" operator="containsText" text="Functioning">
      <formula>NOT(ISERROR(SEARCH("Functioning",F270)))</formula>
    </cfRule>
  </conditionalFormatting>
  <conditionalFormatting sqref="F308:F310">
    <cfRule type="beginsWith" dxfId="83" priority="85" stopIfTrue="1" operator="beginsWith" text="Functioning At Risk">
      <formula>LEFT(F308,LEN("Functioning At Risk"))="Functioning At Risk"</formula>
    </cfRule>
    <cfRule type="beginsWith" dxfId="82" priority="86" stopIfTrue="1" operator="beginsWith" text="Not Functioning">
      <formula>LEFT(F308,LEN("Not Functioning"))="Not Functioning"</formula>
    </cfRule>
    <cfRule type="containsText" dxfId="81" priority="87" operator="containsText" text="Functioning">
      <formula>NOT(ISERROR(SEARCH("Functioning",F308)))</formula>
    </cfRule>
  </conditionalFormatting>
  <conditionalFormatting sqref="F346:F348">
    <cfRule type="beginsWith" dxfId="80" priority="82" stopIfTrue="1" operator="beginsWith" text="Functioning At Risk">
      <formula>LEFT(F346,LEN("Functioning At Risk"))="Functioning At Risk"</formula>
    </cfRule>
    <cfRule type="beginsWith" dxfId="79" priority="83" stopIfTrue="1" operator="beginsWith" text="Not Functioning">
      <formula>LEFT(F346,LEN("Not Functioning"))="Not Functioning"</formula>
    </cfRule>
    <cfRule type="containsText" dxfId="78" priority="84" operator="containsText" text="Functioning">
      <formula>NOT(ISERROR(SEARCH("Functioning",F346)))</formula>
    </cfRule>
  </conditionalFormatting>
  <conditionalFormatting sqref="D4:D7">
    <cfRule type="beginsWith" dxfId="77" priority="79" stopIfTrue="1" operator="beginsWith" text="Functioning At Risk">
      <formula>LEFT(D4,LEN("Functioning At Risk"))="Functioning At Risk"</formula>
    </cfRule>
    <cfRule type="beginsWith" dxfId="76" priority="80" stopIfTrue="1" operator="beginsWith" text="Not Functioning">
      <formula>LEFT(D4,LEN("Not Functioning"))="Not Functioning"</formula>
    </cfRule>
    <cfRule type="containsText" dxfId="75" priority="81" operator="containsText" text="Functioning">
      <formula>NOT(ISERROR(SEARCH("Functioning",D4)))</formula>
    </cfRule>
  </conditionalFormatting>
  <conditionalFormatting sqref="D118:D121">
    <cfRule type="beginsWith" dxfId="74" priority="76" stopIfTrue="1" operator="beginsWith" text="Functioning At Risk">
      <formula>LEFT(D118,LEN("Functioning At Risk"))="Functioning At Risk"</formula>
    </cfRule>
    <cfRule type="beginsWith" dxfId="73" priority="77" stopIfTrue="1" operator="beginsWith" text="Not Functioning">
      <formula>LEFT(D118,LEN("Not Functioning"))="Not Functioning"</formula>
    </cfRule>
    <cfRule type="containsText" dxfId="72" priority="78" operator="containsText" text="Functioning">
      <formula>NOT(ISERROR(SEARCH("Functioning",D118)))</formula>
    </cfRule>
  </conditionalFormatting>
  <conditionalFormatting sqref="D156:D159">
    <cfRule type="beginsWith" dxfId="71" priority="73" stopIfTrue="1" operator="beginsWith" text="Functioning At Risk">
      <formula>LEFT(D156,LEN("Functioning At Risk"))="Functioning At Risk"</formula>
    </cfRule>
    <cfRule type="beginsWith" dxfId="70" priority="74" stopIfTrue="1" operator="beginsWith" text="Not Functioning">
      <formula>LEFT(D156,LEN("Not Functioning"))="Not Functioning"</formula>
    </cfRule>
    <cfRule type="containsText" dxfId="69" priority="75" operator="containsText" text="Functioning">
      <formula>NOT(ISERROR(SEARCH("Functioning",D156)))</formula>
    </cfRule>
  </conditionalFormatting>
  <conditionalFormatting sqref="D194:D197">
    <cfRule type="beginsWith" dxfId="68" priority="70" stopIfTrue="1" operator="beginsWith" text="Functioning At Risk">
      <formula>LEFT(D194,LEN("Functioning At Risk"))="Functioning At Risk"</formula>
    </cfRule>
    <cfRule type="beginsWith" dxfId="67" priority="71" stopIfTrue="1" operator="beginsWith" text="Not Functioning">
      <formula>LEFT(D194,LEN("Not Functioning"))="Not Functioning"</formula>
    </cfRule>
    <cfRule type="containsText" dxfId="66" priority="72" operator="containsText" text="Functioning">
      <formula>NOT(ISERROR(SEARCH("Functioning",D194)))</formula>
    </cfRule>
  </conditionalFormatting>
  <conditionalFormatting sqref="D232:D235">
    <cfRule type="beginsWith" dxfId="65" priority="67" stopIfTrue="1" operator="beginsWith" text="Functioning At Risk">
      <formula>LEFT(D232,LEN("Functioning At Risk"))="Functioning At Risk"</formula>
    </cfRule>
    <cfRule type="beginsWith" dxfId="64" priority="68" stopIfTrue="1" operator="beginsWith" text="Not Functioning">
      <formula>LEFT(D232,LEN("Not Functioning"))="Not Functioning"</formula>
    </cfRule>
    <cfRule type="containsText" dxfId="63" priority="69" operator="containsText" text="Functioning">
      <formula>NOT(ISERROR(SEARCH("Functioning",D232)))</formula>
    </cfRule>
  </conditionalFormatting>
  <conditionalFormatting sqref="D270:D273">
    <cfRule type="beginsWith" dxfId="62" priority="64" stopIfTrue="1" operator="beginsWith" text="Functioning At Risk">
      <formula>LEFT(D270,LEN("Functioning At Risk"))="Functioning At Risk"</formula>
    </cfRule>
    <cfRule type="beginsWith" dxfId="61" priority="65" stopIfTrue="1" operator="beginsWith" text="Not Functioning">
      <formula>LEFT(D270,LEN("Not Functioning"))="Not Functioning"</formula>
    </cfRule>
    <cfRule type="containsText" dxfId="60" priority="66" operator="containsText" text="Functioning">
      <formula>NOT(ISERROR(SEARCH("Functioning",D270)))</formula>
    </cfRule>
  </conditionalFormatting>
  <conditionalFormatting sqref="D308:D311">
    <cfRule type="beginsWith" dxfId="59" priority="61" stopIfTrue="1" operator="beginsWith" text="Functioning At Risk">
      <formula>LEFT(D308,LEN("Functioning At Risk"))="Functioning At Risk"</formula>
    </cfRule>
    <cfRule type="beginsWith" dxfId="58" priority="62" stopIfTrue="1" operator="beginsWith" text="Not Functioning">
      <formula>LEFT(D308,LEN("Not Functioning"))="Not Functioning"</formula>
    </cfRule>
    <cfRule type="containsText" dxfId="57" priority="63" operator="containsText" text="Functioning">
      <formula>NOT(ISERROR(SEARCH("Functioning",D308)))</formula>
    </cfRule>
  </conditionalFormatting>
  <conditionalFormatting sqref="J42:J45">
    <cfRule type="beginsWith" dxfId="56" priority="55" stopIfTrue="1" operator="beginsWith" text="Functioning At Risk">
      <formula>LEFT(J42,LEN("Functioning At Risk"))="Functioning At Risk"</formula>
    </cfRule>
    <cfRule type="beginsWith" dxfId="55" priority="56" stopIfTrue="1" operator="beginsWith" text="Not Functioning">
      <formula>LEFT(J42,LEN("Not Functioning"))="Not Functioning"</formula>
    </cfRule>
    <cfRule type="containsText" dxfId="54" priority="57" operator="containsText" text="Functioning">
      <formula>NOT(ISERROR(SEARCH("Functioning",J42)))</formula>
    </cfRule>
  </conditionalFormatting>
  <conditionalFormatting sqref="J80:J83">
    <cfRule type="beginsWith" dxfId="53" priority="52" stopIfTrue="1" operator="beginsWith" text="Functioning At Risk">
      <formula>LEFT(J80,LEN("Functioning At Risk"))="Functioning At Risk"</formula>
    </cfRule>
    <cfRule type="beginsWith" dxfId="52" priority="53" stopIfTrue="1" operator="beginsWith" text="Not Functioning">
      <formula>LEFT(J80,LEN("Not Functioning"))="Not Functioning"</formula>
    </cfRule>
    <cfRule type="containsText" dxfId="51" priority="54" operator="containsText" text="Functioning">
      <formula>NOT(ISERROR(SEARCH("Functioning",J80)))</formula>
    </cfRule>
  </conditionalFormatting>
  <conditionalFormatting sqref="J118:J121">
    <cfRule type="beginsWith" dxfId="50" priority="49" stopIfTrue="1" operator="beginsWith" text="Functioning At Risk">
      <formula>LEFT(J118,LEN("Functioning At Risk"))="Functioning At Risk"</formula>
    </cfRule>
    <cfRule type="beginsWith" dxfId="49" priority="50" stopIfTrue="1" operator="beginsWith" text="Not Functioning">
      <formula>LEFT(J118,LEN("Not Functioning"))="Not Functioning"</formula>
    </cfRule>
    <cfRule type="containsText" dxfId="48" priority="51" operator="containsText" text="Functioning">
      <formula>NOT(ISERROR(SEARCH("Functioning",J118)))</formula>
    </cfRule>
  </conditionalFormatting>
  <conditionalFormatting sqref="J156:J159">
    <cfRule type="beginsWith" dxfId="47" priority="46" stopIfTrue="1" operator="beginsWith" text="Functioning At Risk">
      <formula>LEFT(J156,LEN("Functioning At Risk"))="Functioning At Risk"</formula>
    </cfRule>
    <cfRule type="beginsWith" dxfId="46" priority="47" stopIfTrue="1" operator="beginsWith" text="Not Functioning">
      <formula>LEFT(J156,LEN("Not Functioning"))="Not Functioning"</formula>
    </cfRule>
    <cfRule type="containsText" dxfId="45" priority="48" operator="containsText" text="Functioning">
      <formula>NOT(ISERROR(SEARCH("Functioning",J156)))</formula>
    </cfRule>
  </conditionalFormatting>
  <conditionalFormatting sqref="J194:J197">
    <cfRule type="beginsWith" dxfId="44" priority="43" stopIfTrue="1" operator="beginsWith" text="Functioning At Risk">
      <formula>LEFT(J194,LEN("Functioning At Risk"))="Functioning At Risk"</formula>
    </cfRule>
    <cfRule type="beginsWith" dxfId="43" priority="44" stopIfTrue="1" operator="beginsWith" text="Not Functioning">
      <formula>LEFT(J194,LEN("Not Functioning"))="Not Functioning"</formula>
    </cfRule>
    <cfRule type="containsText" dxfId="42" priority="45" operator="containsText" text="Functioning">
      <formula>NOT(ISERROR(SEARCH("Functioning",J194)))</formula>
    </cfRule>
  </conditionalFormatting>
  <conditionalFormatting sqref="J232:J235">
    <cfRule type="beginsWith" dxfId="41" priority="40" stopIfTrue="1" operator="beginsWith" text="Functioning At Risk">
      <formula>LEFT(J232,LEN("Functioning At Risk"))="Functioning At Risk"</formula>
    </cfRule>
    <cfRule type="beginsWith" dxfId="40" priority="41" stopIfTrue="1" operator="beginsWith" text="Not Functioning">
      <formula>LEFT(J232,LEN("Not Functioning"))="Not Functioning"</formula>
    </cfRule>
    <cfRule type="containsText" dxfId="39" priority="42" operator="containsText" text="Functioning">
      <formula>NOT(ISERROR(SEARCH("Functioning",J232)))</formula>
    </cfRule>
  </conditionalFormatting>
  <conditionalFormatting sqref="J270:J273">
    <cfRule type="beginsWith" dxfId="38" priority="37" stopIfTrue="1" operator="beginsWith" text="Functioning At Risk">
      <formula>LEFT(J270,LEN("Functioning At Risk"))="Functioning At Risk"</formula>
    </cfRule>
    <cfRule type="beginsWith" dxfId="37" priority="38" stopIfTrue="1" operator="beginsWith" text="Not Functioning">
      <formula>LEFT(J270,LEN("Not Functioning"))="Not Functioning"</formula>
    </cfRule>
    <cfRule type="containsText" dxfId="36" priority="39" operator="containsText" text="Functioning">
      <formula>NOT(ISERROR(SEARCH("Functioning",J270)))</formula>
    </cfRule>
  </conditionalFormatting>
  <conditionalFormatting sqref="J308:J311">
    <cfRule type="beginsWith" dxfId="35" priority="34" stopIfTrue="1" operator="beginsWith" text="Functioning At Risk">
      <formula>LEFT(J308,LEN("Functioning At Risk"))="Functioning At Risk"</formula>
    </cfRule>
    <cfRule type="beginsWith" dxfId="34" priority="35" stopIfTrue="1" operator="beginsWith" text="Not Functioning">
      <formula>LEFT(J308,LEN("Not Functioning"))="Not Functioning"</formula>
    </cfRule>
    <cfRule type="containsText" dxfId="33" priority="36" operator="containsText" text="Functioning">
      <formula>NOT(ISERROR(SEARCH("Functioning",J308)))</formula>
    </cfRule>
  </conditionalFormatting>
  <conditionalFormatting sqref="J346:J349">
    <cfRule type="beginsWith" dxfId="32" priority="31" stopIfTrue="1" operator="beginsWith" text="Functioning At Risk">
      <formula>LEFT(J346,LEN("Functioning At Risk"))="Functioning At Risk"</formula>
    </cfRule>
    <cfRule type="beginsWith" dxfId="31" priority="32" stopIfTrue="1" operator="beginsWith" text="Not Functioning">
      <formula>LEFT(J346,LEN("Not Functioning"))="Not Functioning"</formula>
    </cfRule>
    <cfRule type="containsText" dxfId="30" priority="33" operator="containsText" text="Functioning">
      <formula>NOT(ISERROR(SEARCH("Functioning",J346)))</formula>
    </cfRule>
  </conditionalFormatting>
  <conditionalFormatting sqref="C5">
    <cfRule type="beginsWith" dxfId="29" priority="28" stopIfTrue="1" operator="beginsWith" text="Functioning At Risk">
      <formula>LEFT(C5,LEN("Functioning At Risk"))="Functioning At Risk"</formula>
    </cfRule>
    <cfRule type="beginsWith" dxfId="28" priority="29" stopIfTrue="1" operator="beginsWith" text="Not Functioning">
      <formula>LEFT(C5,LEN("Not Functioning"))="Not Functioning"</formula>
    </cfRule>
    <cfRule type="containsText" dxfId="27" priority="30" operator="containsText" text="Functioning">
      <formula>NOT(ISERROR(SEARCH("Functioning",C5)))</formula>
    </cfRule>
  </conditionalFormatting>
  <conditionalFormatting sqref="C43">
    <cfRule type="beginsWith" dxfId="26" priority="25" stopIfTrue="1" operator="beginsWith" text="Functioning At Risk">
      <formula>LEFT(C43,LEN("Functioning At Risk"))="Functioning At Risk"</formula>
    </cfRule>
    <cfRule type="beginsWith" dxfId="25" priority="26" stopIfTrue="1" operator="beginsWith" text="Not Functioning">
      <formula>LEFT(C43,LEN("Not Functioning"))="Not Functioning"</formula>
    </cfRule>
    <cfRule type="containsText" dxfId="24" priority="27" operator="containsText" text="Functioning">
      <formula>NOT(ISERROR(SEARCH("Functioning",C43)))</formula>
    </cfRule>
  </conditionalFormatting>
  <conditionalFormatting sqref="C81">
    <cfRule type="beginsWith" dxfId="23" priority="22" stopIfTrue="1" operator="beginsWith" text="Functioning At Risk">
      <formula>LEFT(C81,LEN("Functioning At Risk"))="Functioning At Risk"</formula>
    </cfRule>
    <cfRule type="beginsWith" dxfId="22" priority="23" stopIfTrue="1" operator="beginsWith" text="Not Functioning">
      <formula>LEFT(C81,LEN("Not Functioning"))="Not Functioning"</formula>
    </cfRule>
    <cfRule type="containsText" dxfId="21" priority="24" operator="containsText" text="Functioning">
      <formula>NOT(ISERROR(SEARCH("Functioning",C81)))</formula>
    </cfRule>
  </conditionalFormatting>
  <conditionalFormatting sqref="C119">
    <cfRule type="beginsWith" dxfId="20" priority="19" stopIfTrue="1" operator="beginsWith" text="Functioning At Risk">
      <formula>LEFT(C119,LEN("Functioning At Risk"))="Functioning At Risk"</formula>
    </cfRule>
    <cfRule type="beginsWith" dxfId="19" priority="20" stopIfTrue="1" operator="beginsWith" text="Not Functioning">
      <formula>LEFT(C119,LEN("Not Functioning"))="Not Functioning"</formula>
    </cfRule>
    <cfRule type="containsText" dxfId="18" priority="21" operator="containsText" text="Functioning">
      <formula>NOT(ISERROR(SEARCH("Functioning",C119)))</formula>
    </cfRule>
  </conditionalFormatting>
  <conditionalFormatting sqref="C157">
    <cfRule type="beginsWith" dxfId="17" priority="16" stopIfTrue="1" operator="beginsWith" text="Functioning At Risk">
      <formula>LEFT(C157,LEN("Functioning At Risk"))="Functioning At Risk"</formula>
    </cfRule>
    <cfRule type="beginsWith" dxfId="16" priority="17" stopIfTrue="1" operator="beginsWith" text="Not Functioning">
      <formula>LEFT(C157,LEN("Not Functioning"))="Not Functioning"</formula>
    </cfRule>
    <cfRule type="containsText" dxfId="15" priority="18" operator="containsText" text="Functioning">
      <formula>NOT(ISERROR(SEARCH("Functioning",C157)))</formula>
    </cfRule>
  </conditionalFormatting>
  <conditionalFormatting sqref="C195">
    <cfRule type="beginsWith" dxfId="14" priority="13" stopIfTrue="1" operator="beginsWith" text="Functioning At Risk">
      <formula>LEFT(C195,LEN("Functioning At Risk"))="Functioning At Risk"</formula>
    </cfRule>
    <cfRule type="beginsWith" dxfId="13" priority="14" stopIfTrue="1" operator="beginsWith" text="Not Functioning">
      <formula>LEFT(C195,LEN("Not Functioning"))="Not Functioning"</formula>
    </cfRule>
    <cfRule type="containsText" dxfId="12" priority="15" operator="containsText" text="Functioning">
      <formula>NOT(ISERROR(SEARCH("Functioning",C195)))</formula>
    </cfRule>
  </conditionalFormatting>
  <conditionalFormatting sqref="C233">
    <cfRule type="beginsWith" dxfId="11" priority="10" stopIfTrue="1" operator="beginsWith" text="Functioning At Risk">
      <formula>LEFT(C233,LEN("Functioning At Risk"))="Functioning At Risk"</formula>
    </cfRule>
    <cfRule type="beginsWith" dxfId="10" priority="11" stopIfTrue="1" operator="beginsWith" text="Not Functioning">
      <formula>LEFT(C233,LEN("Not Functioning"))="Not Functioning"</formula>
    </cfRule>
    <cfRule type="containsText" dxfId="9" priority="12" operator="containsText" text="Functioning">
      <formula>NOT(ISERROR(SEARCH("Functioning",C233)))</formula>
    </cfRule>
  </conditionalFormatting>
  <conditionalFormatting sqref="C271">
    <cfRule type="beginsWith" dxfId="8" priority="7" stopIfTrue="1" operator="beginsWith" text="Functioning At Risk">
      <formula>LEFT(C271,LEN("Functioning At Risk"))="Functioning At Risk"</formula>
    </cfRule>
    <cfRule type="beginsWith" dxfId="7" priority="8" stopIfTrue="1" operator="beginsWith" text="Not Functioning">
      <formula>LEFT(C271,LEN("Not Functioning"))="Not Functioning"</formula>
    </cfRule>
    <cfRule type="containsText" dxfId="6" priority="9" operator="containsText" text="Functioning">
      <formula>NOT(ISERROR(SEARCH("Functioning",C271)))</formula>
    </cfRule>
  </conditionalFormatting>
  <conditionalFormatting sqref="C309">
    <cfRule type="beginsWith" dxfId="5" priority="4" stopIfTrue="1" operator="beginsWith" text="Functioning At Risk">
      <formula>LEFT(C309,LEN("Functioning At Risk"))="Functioning At Risk"</formula>
    </cfRule>
    <cfRule type="beginsWith" dxfId="4" priority="5" stopIfTrue="1" operator="beginsWith" text="Not Functioning">
      <formula>LEFT(C309,LEN("Not Functioning"))="Not Functioning"</formula>
    </cfRule>
    <cfRule type="containsText" dxfId="3" priority="6" operator="containsText" text="Functioning">
      <formula>NOT(ISERROR(SEARCH("Functioning",C309)))</formula>
    </cfRule>
  </conditionalFormatting>
  <conditionalFormatting sqref="C347">
    <cfRule type="beginsWith" dxfId="2" priority="1" stopIfTrue="1" operator="beginsWith" text="Functioning At Risk">
      <formula>LEFT(C347,LEN("Functioning At Risk"))="Functioning At Risk"</formula>
    </cfRule>
    <cfRule type="beginsWith" dxfId="1" priority="2" stopIfTrue="1" operator="beginsWith" text="Not Functioning">
      <formula>LEFT(C347,LEN("Not Functioning"))="Not Functioning"</formula>
    </cfRule>
    <cfRule type="containsText" dxfId="0" priority="3" operator="containsText" text="Functioning">
      <formula>NOT(ISERROR(SEARCH("Functioning",C347)))</formula>
    </cfRule>
  </conditionalFormatting>
  <dataValidations count="4">
    <dataValidation allowBlank="1" showErrorMessage="1" sqref="F346:G348 F80:G82 F308:F310 D4:D7 D118:D121 D156:D159 D194:D197 D232:D235 D42:D45 D270:D273 D308:D311 B43:B44 B5:B6 B119:B120 F232:G234 D346:D349 F270:G272 F194:G196 F156:G158 F118:G120 F4:G6 F42:G44 D80:D83" xr:uid="{075D77CC-D9AF-46EC-ADE6-A52B673376A7}"/>
    <dataValidation allowBlank="1" showErrorMessage="1" prompt="Leave field value blank if not a coldwater stream." sqref="F37:F38 F70:F73 F151:F152 F184:F187 F75:F76 F108:F111 F113:F114 F146:F149 F189:F191 F222:F225 F227:F228 F260:F263 F265:F266 F298:F301 F303:F304 F336:F339 F341:F342 F374:F377 F379:F380 F32:F35" xr:uid="{E77D8560-3477-42B8-95CC-46041A1375CE}"/>
    <dataValidation type="decimal" allowBlank="1" showErrorMessage="1" prompt="Select catchment conditon level from the completed catchment assessment form. " sqref="E11:E21 E49:E59 E87:E97 E125:E135 E163:E173 E201:E211 E239:E249 E277:E287 E315:E325 E353:E363" xr:uid="{B453BA7C-E737-42F1-97EA-DFD9873D69EE}">
      <formula1>0</formula1>
      <formula2>1000</formula2>
    </dataValidation>
    <dataValidation type="decimal" allowBlank="1" showInputMessage="1" showErrorMessage="1" sqref="E23:E38 E61:E76 E99:E114 E137:E152 E175:E190 E213:E228 E251:E266 E289:E304 E327:E342 E365:E380" xr:uid="{059DACB1-7CE2-4C20-82AD-F5314B9A1917}">
      <formula1>0</formula1>
      <formula2>1000</formula2>
    </dataValidation>
  </dataValidations>
  <pageMargins left="0.25" right="0.25" top="0.75" bottom="0.75" header="0.3" footer="0.3"/>
  <pageSetup paperSize="3" fitToWidth="0" fitToHeight="0" orientation="landscape" r:id="rId1"/>
  <headerFooter>
    <oddFooter>&amp;LAKSQTint v1.0 - Debit Calculator Workbook
Proposed Conditions</oddFooter>
  </headerFooter>
  <rowBreaks count="9" manualBreakCount="9">
    <brk id="39" max="9" man="1"/>
    <brk id="77" max="9" man="1"/>
    <brk id="115" max="9" man="1"/>
    <brk id="153" max="9" man="1"/>
    <brk id="191" max="9" man="1"/>
    <brk id="229" max="9" man="1"/>
    <brk id="267" max="9" man="1"/>
    <brk id="305" max="9" man="1"/>
    <brk id="343" max="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EC4B6CB4-B805-46BA-8260-C3D38C69D5B9}">
          <x14:formula1>
            <xm:f>'Pull Down Notes'!$B$23:$B$58</xm:f>
          </x14:formula1>
          <xm:sqref>E364 E136 E60 E98 E174 E212 E250 E288 E326 E22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326"/>
  <sheetViews>
    <sheetView topLeftCell="K1" workbookViewId="0">
      <selection activeCell="U2" sqref="U2"/>
    </sheetView>
  </sheetViews>
  <sheetFormatPr defaultColWidth="9.140625" defaultRowHeight="15" x14ac:dyDescent="0.25"/>
  <cols>
    <col min="1" max="1" width="5.5703125" style="4" customWidth="1"/>
    <col min="2" max="3" width="8.85546875" style="78" customWidth="1"/>
    <col min="4" max="4" width="8.85546875" style="105" customWidth="1"/>
    <col min="5" max="5" width="3.5703125" style="154" customWidth="1"/>
    <col min="6" max="6" width="9.85546875" style="105" customWidth="1"/>
    <col min="7" max="8" width="9.85546875" style="153" customWidth="1"/>
    <col min="9" max="9" width="16.42578125" style="54" customWidth="1"/>
    <col min="10" max="10" width="11.7109375" style="4" customWidth="1"/>
    <col min="11" max="11" width="11.42578125" style="78" customWidth="1"/>
    <col min="12" max="12" width="10.42578125" style="79" customWidth="1"/>
    <col min="13" max="14" width="10.42578125" style="152" customWidth="1"/>
    <col min="15" max="15" width="14.85546875" style="152" customWidth="1"/>
    <col min="16" max="16" width="12.85546875" style="154" customWidth="1"/>
    <col min="17" max="17" width="11.7109375" style="9" customWidth="1"/>
    <col min="18" max="19" width="9.85546875" style="4" customWidth="1"/>
    <col min="20" max="20" width="9.85546875" style="38" customWidth="1"/>
    <col min="21" max="21" width="11.7109375" style="9" customWidth="1"/>
    <col min="22" max="22" width="7.5703125" style="4" customWidth="1"/>
    <col min="23" max="23" width="8.7109375" style="4" customWidth="1"/>
    <col min="24" max="24" width="7.5703125" style="9" customWidth="1"/>
    <col min="25" max="25" width="7.5703125" style="4" customWidth="1"/>
    <col min="26" max="26" width="7.5703125" style="38" customWidth="1"/>
    <col min="27" max="28" width="7.5703125" style="4" customWidth="1"/>
    <col min="29" max="29" width="7.5703125" style="9" customWidth="1"/>
    <col min="30" max="30" width="7.5703125" style="4" customWidth="1"/>
    <col min="31" max="32" width="11.7109375" style="4" customWidth="1"/>
    <col min="33" max="16384" width="9.140625" style="4"/>
  </cols>
  <sheetData>
    <row r="1" spans="1:30" x14ac:dyDescent="0.25">
      <c r="A1" s="160" t="s">
        <v>136</v>
      </c>
      <c r="F1" s="5" t="s">
        <v>0</v>
      </c>
      <c r="G1" s="78"/>
      <c r="H1" s="79"/>
      <c r="J1" s="5" t="s">
        <v>192</v>
      </c>
      <c r="Q1" s="5" t="s">
        <v>206</v>
      </c>
      <c r="U1" s="183" t="s">
        <v>366</v>
      </c>
    </row>
    <row r="2" spans="1:30" ht="15" customHeight="1" x14ac:dyDescent="0.25">
      <c r="A2" s="58"/>
      <c r="B2" s="153" t="s">
        <v>62</v>
      </c>
      <c r="C2" s="153" t="s">
        <v>70</v>
      </c>
      <c r="D2" s="153" t="s">
        <v>46</v>
      </c>
      <c r="F2" s="4" t="s">
        <v>124</v>
      </c>
      <c r="G2" s="78"/>
      <c r="H2" s="79"/>
      <c r="J2" s="25"/>
      <c r="K2" s="331" t="s">
        <v>193</v>
      </c>
      <c r="L2" s="331"/>
      <c r="M2" s="508" t="s">
        <v>194</v>
      </c>
      <c r="N2" s="508"/>
      <c r="Q2" s="58" t="s">
        <v>97</v>
      </c>
      <c r="R2" s="58"/>
      <c r="S2" s="55"/>
      <c r="T2" s="154"/>
      <c r="U2" s="21"/>
      <c r="V2" s="4" t="s">
        <v>62</v>
      </c>
      <c r="W2" s="27" t="s">
        <v>70</v>
      </c>
      <c r="X2" s="9" t="s">
        <v>46</v>
      </c>
    </row>
    <row r="3" spans="1:30" ht="15" customHeight="1" x14ac:dyDescent="0.25">
      <c r="A3" s="4" t="s">
        <v>124</v>
      </c>
      <c r="B3" s="158"/>
      <c r="C3" s="58"/>
      <c r="D3" s="158"/>
      <c r="E3" s="83"/>
      <c r="F3" s="55" t="s">
        <v>60</v>
      </c>
      <c r="G3" s="80">
        <v>-1.4</v>
      </c>
      <c r="J3" s="9"/>
      <c r="K3" s="79" t="s">
        <v>127</v>
      </c>
      <c r="L3" s="79" t="s">
        <v>46</v>
      </c>
      <c r="M3" s="152" t="s">
        <v>127</v>
      </c>
      <c r="N3" s="152" t="s">
        <v>46</v>
      </c>
      <c r="Q3" s="107" t="s">
        <v>60</v>
      </c>
      <c r="R3" s="59">
        <v>-4.6666999999999996</v>
      </c>
      <c r="S3" s="60"/>
      <c r="T3" s="204"/>
      <c r="U3" s="21" t="s">
        <v>97</v>
      </c>
      <c r="W3" s="27"/>
    </row>
    <row r="4" spans="1:30" x14ac:dyDescent="0.25">
      <c r="A4" s="153" t="s">
        <v>60</v>
      </c>
      <c r="B4" s="159">
        <v>-4.7000000000000002E-3</v>
      </c>
      <c r="C4" s="58">
        <v>-6.6699999999999995E-2</v>
      </c>
      <c r="D4" s="158">
        <v>-4.2900000000000001E-2</v>
      </c>
      <c r="F4" s="55" t="s">
        <v>61</v>
      </c>
      <c r="G4" s="84">
        <v>2.4</v>
      </c>
      <c r="I4" s="154"/>
      <c r="J4" s="39" t="s">
        <v>124</v>
      </c>
      <c r="K4" s="80"/>
      <c r="L4" s="62"/>
      <c r="M4" s="62"/>
      <c r="N4" s="62"/>
      <c r="O4" s="62"/>
      <c r="P4" s="83"/>
      <c r="Q4" s="107" t="s">
        <v>61</v>
      </c>
      <c r="R4" s="59">
        <v>6.1333000000000002</v>
      </c>
      <c r="S4" s="60"/>
      <c r="T4" s="204"/>
      <c r="U4" s="21" t="s">
        <v>60</v>
      </c>
      <c r="V4" s="4">
        <v>-1.5800000000000002E-2</v>
      </c>
      <c r="W4" s="27">
        <v>-2.1100000000000001E-2</v>
      </c>
      <c r="X4" s="9">
        <v>-4.2900000000000001E-2</v>
      </c>
    </row>
    <row r="5" spans="1:30" x14ac:dyDescent="0.25">
      <c r="A5" s="153" t="s">
        <v>61</v>
      </c>
      <c r="B5" s="158">
        <v>0.40310000000000001</v>
      </c>
      <c r="C5" s="4">
        <v>1.7666999999999999</v>
      </c>
      <c r="D5" s="58">
        <v>1.3856999999999999</v>
      </c>
      <c r="F5" s="169"/>
      <c r="G5" s="171"/>
      <c r="H5" s="169"/>
      <c r="I5" s="172"/>
      <c r="J5" s="7" t="s">
        <v>60</v>
      </c>
      <c r="K5" s="91">
        <v>0.46449699999999999</v>
      </c>
      <c r="L5" s="92">
        <v>6.25E-2</v>
      </c>
      <c r="M5" s="92">
        <v>0.58219200000000004</v>
      </c>
      <c r="N5" s="92">
        <v>0.1</v>
      </c>
      <c r="O5" s="92"/>
      <c r="P5" s="184"/>
      <c r="Q5" s="173"/>
      <c r="R5" s="180"/>
      <c r="S5" s="195"/>
      <c r="T5" s="205"/>
      <c r="U5" s="21" t="s">
        <v>61</v>
      </c>
      <c r="V5" s="4">
        <v>1.2788999999999999</v>
      </c>
      <c r="W5" s="27">
        <v>1.6052999999999999</v>
      </c>
      <c r="X5" s="9">
        <v>2.5428999999999999</v>
      </c>
    </row>
    <row r="6" spans="1:30" x14ac:dyDescent="0.25">
      <c r="A6" s="174"/>
      <c r="B6" s="169"/>
      <c r="C6" s="169"/>
      <c r="D6" s="169"/>
      <c r="E6" s="172"/>
      <c r="F6" s="23" t="s">
        <v>247</v>
      </c>
      <c r="G6" s="43"/>
      <c r="H6" s="85"/>
      <c r="I6" s="82"/>
      <c r="J6" s="152" t="s">
        <v>61</v>
      </c>
      <c r="K6" s="91">
        <v>-2.2780999999999999E-2</v>
      </c>
      <c r="L6" s="92">
        <v>0.60624999999999996</v>
      </c>
      <c r="M6" s="92">
        <v>-1.9862999999999999E-2</v>
      </c>
      <c r="N6" s="92">
        <v>0.57999999999999996</v>
      </c>
      <c r="O6" s="92"/>
      <c r="P6" s="184"/>
      <c r="Q6" s="183" t="s">
        <v>207</v>
      </c>
      <c r="U6" s="241"/>
      <c r="V6" s="175"/>
      <c r="W6" s="242"/>
      <c r="X6" s="243"/>
      <c r="Y6" s="175"/>
      <c r="Z6" s="244"/>
    </row>
    <row r="7" spans="1:30" x14ac:dyDescent="0.25">
      <c r="A7" s="5" t="s">
        <v>187</v>
      </c>
      <c r="B7" s="43"/>
      <c r="C7" s="43"/>
      <c r="D7" s="43"/>
      <c r="E7" s="82"/>
      <c r="F7" s="58"/>
      <c r="G7" s="153" t="s">
        <v>127</v>
      </c>
      <c r="H7" s="153" t="s">
        <v>46</v>
      </c>
      <c r="I7" s="82"/>
      <c r="J7" s="5" t="s">
        <v>192</v>
      </c>
      <c r="Q7" s="58"/>
      <c r="R7" s="20" t="s">
        <v>127</v>
      </c>
      <c r="S7" s="110" t="s">
        <v>46</v>
      </c>
      <c r="U7" s="160" t="s">
        <v>209</v>
      </c>
      <c r="V7" s="3"/>
      <c r="W7" s="27"/>
      <c r="X7" s="1"/>
      <c r="Y7" s="3"/>
    </row>
    <row r="8" spans="1:30" x14ac:dyDescent="0.25">
      <c r="A8" s="4" t="s">
        <v>124</v>
      </c>
      <c r="B8" s="158"/>
      <c r="C8" s="43"/>
      <c r="D8" s="43"/>
      <c r="E8" s="82"/>
      <c r="F8" s="58" t="s">
        <v>97</v>
      </c>
      <c r="G8" s="58"/>
      <c r="H8" s="58"/>
      <c r="I8" s="82"/>
      <c r="J8" s="58"/>
      <c r="K8" s="331" t="s">
        <v>195</v>
      </c>
      <c r="L8" s="331"/>
      <c r="M8" s="331"/>
      <c r="N8" s="509" t="s">
        <v>196</v>
      </c>
      <c r="O8" s="509"/>
      <c r="P8" s="185"/>
      <c r="Q8" s="58" t="s">
        <v>97</v>
      </c>
      <c r="R8" s="58"/>
      <c r="S8" s="58"/>
      <c r="U8" s="58"/>
      <c r="V8" s="507" t="s">
        <v>210</v>
      </c>
      <c r="W8" s="507"/>
      <c r="X8" s="507" t="s">
        <v>211</v>
      </c>
      <c r="Y8" s="507"/>
    </row>
    <row r="9" spans="1:30" x14ac:dyDescent="0.25">
      <c r="A9" s="153" t="s">
        <v>60</v>
      </c>
      <c r="B9" s="159">
        <v>-0.03</v>
      </c>
      <c r="C9" s="43"/>
      <c r="D9" s="43"/>
      <c r="E9" s="82"/>
      <c r="F9" s="107" t="s">
        <v>60</v>
      </c>
      <c r="G9" s="58">
        <v>1</v>
      </c>
      <c r="H9" s="58">
        <v>0.15</v>
      </c>
      <c r="I9" s="82"/>
      <c r="J9" s="58"/>
      <c r="K9" s="166" t="s">
        <v>62</v>
      </c>
      <c r="L9" s="166" t="s">
        <v>70</v>
      </c>
      <c r="M9" s="166" t="s">
        <v>46</v>
      </c>
      <c r="N9" s="166" t="s">
        <v>127</v>
      </c>
      <c r="O9" s="166" t="s">
        <v>46</v>
      </c>
      <c r="P9" s="186"/>
      <c r="Q9" s="107" t="s">
        <v>60</v>
      </c>
      <c r="R9" s="59">
        <v>-7.7999999999999996E-3</v>
      </c>
      <c r="S9" s="60">
        <v>-4.2900000000000001E-2</v>
      </c>
      <c r="T9" s="154"/>
      <c r="U9" s="107"/>
      <c r="V9" s="153" t="s">
        <v>127</v>
      </c>
      <c r="W9" s="153" t="s">
        <v>46</v>
      </c>
      <c r="X9" s="153" t="s">
        <v>127</v>
      </c>
      <c r="Y9" s="153" t="s">
        <v>46</v>
      </c>
    </row>
    <row r="10" spans="1:30" x14ac:dyDescent="0.25">
      <c r="A10" s="153" t="s">
        <v>61</v>
      </c>
      <c r="B10" s="158">
        <v>1</v>
      </c>
      <c r="C10" s="43"/>
      <c r="D10" s="43"/>
      <c r="E10" s="82"/>
      <c r="F10" s="107" t="s">
        <v>61</v>
      </c>
      <c r="G10" s="58">
        <v>-1.7</v>
      </c>
      <c r="H10" s="58">
        <v>0.34</v>
      </c>
      <c r="I10" s="82"/>
      <c r="J10" s="20" t="s">
        <v>97</v>
      </c>
      <c r="K10" s="109"/>
      <c r="L10" s="109"/>
      <c r="M10" s="109"/>
      <c r="N10" s="109"/>
      <c r="O10" s="109"/>
      <c r="P10" s="187"/>
      <c r="Q10" s="107" t="s">
        <v>61</v>
      </c>
      <c r="R10" s="59">
        <v>0.77780000000000005</v>
      </c>
      <c r="S10" s="60">
        <v>1.1286</v>
      </c>
      <c r="T10" s="206"/>
      <c r="U10" s="58" t="s">
        <v>97</v>
      </c>
      <c r="X10" s="4"/>
      <c r="AD10" s="31"/>
    </row>
    <row r="11" spans="1:30" x14ac:dyDescent="0.25">
      <c r="A11" s="174"/>
      <c r="B11" s="169"/>
      <c r="C11" s="169"/>
      <c r="D11" s="169"/>
      <c r="E11" s="172"/>
      <c r="F11" s="23" t="s">
        <v>245</v>
      </c>
      <c r="G11" s="78"/>
      <c r="H11" s="79"/>
      <c r="I11" s="82"/>
      <c r="J11" s="105" t="s">
        <v>60</v>
      </c>
      <c r="K11" s="109">
        <v>8.1081E-2</v>
      </c>
      <c r="L11" s="109">
        <v>0.4</v>
      </c>
      <c r="M11" s="109">
        <v>6.0239999999999998E-3</v>
      </c>
      <c r="N11" s="109">
        <v>0.53937000000000002</v>
      </c>
      <c r="O11" s="109">
        <v>1.3158E-2</v>
      </c>
      <c r="P11" s="187"/>
      <c r="Q11" s="173"/>
      <c r="R11" s="180"/>
      <c r="S11" s="195"/>
      <c r="T11" s="207"/>
      <c r="U11" s="107" t="s">
        <v>60</v>
      </c>
      <c r="V11" s="4">
        <v>8.8000000000000005E-3</v>
      </c>
      <c r="W11" s="199">
        <v>1.4999999999999999E-2</v>
      </c>
      <c r="X11" s="4">
        <v>1.17E-2</v>
      </c>
      <c r="Y11" s="200">
        <v>7.4999999999999997E-3</v>
      </c>
      <c r="AA11" s="64"/>
      <c r="AB11" s="31"/>
      <c r="AC11" s="31"/>
      <c r="AD11" s="31"/>
    </row>
    <row r="12" spans="1:30" x14ac:dyDescent="0.25">
      <c r="A12" s="5" t="s">
        <v>188</v>
      </c>
      <c r="B12" s="43"/>
      <c r="C12" s="43"/>
      <c r="D12" s="43"/>
      <c r="E12" s="82"/>
      <c r="F12" s="58"/>
      <c r="G12" s="153" t="s">
        <v>127</v>
      </c>
      <c r="H12" s="153" t="s">
        <v>46</v>
      </c>
      <c r="I12" s="82"/>
      <c r="J12" s="153" t="s">
        <v>61</v>
      </c>
      <c r="K12" s="109">
        <v>0</v>
      </c>
      <c r="L12" s="109">
        <v>-1.18</v>
      </c>
      <c r="M12" s="109">
        <v>0.67168700000000003</v>
      </c>
      <c r="N12" s="109">
        <v>-8.2679999999999993E-3</v>
      </c>
      <c r="O12" s="109">
        <v>0.68289500000000003</v>
      </c>
      <c r="P12" s="187"/>
      <c r="Q12" s="183" t="s">
        <v>208</v>
      </c>
      <c r="R12" s="59"/>
      <c r="S12" s="59"/>
      <c r="T12" s="206"/>
      <c r="U12" s="107" t="s">
        <v>61</v>
      </c>
      <c r="V12" s="4">
        <v>0</v>
      </c>
      <c r="W12" s="199">
        <v>-0.5</v>
      </c>
      <c r="X12" s="4">
        <v>0</v>
      </c>
      <c r="Y12" s="201">
        <v>0.25</v>
      </c>
      <c r="AA12" s="64"/>
      <c r="AB12" s="31"/>
      <c r="AC12" s="31"/>
      <c r="AD12" s="31"/>
    </row>
    <row r="13" spans="1:30" x14ac:dyDescent="0.25">
      <c r="A13" s="58"/>
      <c r="B13" s="153" t="s">
        <v>127</v>
      </c>
      <c r="C13" s="153" t="s">
        <v>46</v>
      </c>
      <c r="D13" s="43"/>
      <c r="E13" s="82"/>
      <c r="F13" s="58" t="s">
        <v>97</v>
      </c>
      <c r="G13" s="58"/>
      <c r="H13" s="58"/>
      <c r="J13" s="169"/>
      <c r="K13" s="170"/>
      <c r="L13" s="170"/>
      <c r="M13" s="170"/>
      <c r="N13" s="170"/>
      <c r="O13" s="170"/>
      <c r="P13" s="188"/>
      <c r="Q13" s="58" t="s">
        <v>97</v>
      </c>
      <c r="R13" s="58"/>
      <c r="S13" s="58"/>
      <c r="U13" s="241"/>
      <c r="V13" s="175"/>
      <c r="W13" s="242"/>
      <c r="X13" s="243"/>
      <c r="Y13" s="175"/>
      <c r="Z13" s="244"/>
      <c r="AA13" s="64"/>
      <c r="AB13" s="31"/>
      <c r="AC13" s="31"/>
      <c r="AD13" s="31"/>
    </row>
    <row r="14" spans="1:30" x14ac:dyDescent="0.25">
      <c r="A14" s="4" t="s">
        <v>124</v>
      </c>
      <c r="B14" s="158"/>
      <c r="C14" s="58"/>
      <c r="D14" s="43"/>
      <c r="E14" s="82"/>
      <c r="F14" s="107" t="s">
        <v>60</v>
      </c>
      <c r="G14" s="58">
        <v>1</v>
      </c>
      <c r="H14" s="58">
        <v>7.3200000000000001E-2</v>
      </c>
      <c r="J14" s="5" t="s">
        <v>48</v>
      </c>
      <c r="Q14" s="107" t="s">
        <v>60</v>
      </c>
      <c r="R14" s="60">
        <v>1.7646999999999999E-2</v>
      </c>
      <c r="S14" s="58"/>
      <c r="U14" s="160" t="s">
        <v>323</v>
      </c>
      <c r="V14" s="139"/>
      <c r="W14" s="139"/>
      <c r="X14" s="197"/>
      <c r="Y14" s="139"/>
      <c r="Z14" s="202"/>
      <c r="AA14" s="64"/>
      <c r="AB14" s="31"/>
      <c r="AC14" s="31"/>
      <c r="AD14" s="31"/>
    </row>
    <row r="15" spans="1:30" x14ac:dyDescent="0.25">
      <c r="A15" s="153" t="s">
        <v>60</v>
      </c>
      <c r="B15" s="159">
        <v>-2.6700000000000002E-2</v>
      </c>
      <c r="C15" s="58">
        <v>-8.6E-3</v>
      </c>
      <c r="D15" s="43"/>
      <c r="E15" s="82"/>
      <c r="F15" s="107" t="s">
        <v>61</v>
      </c>
      <c r="G15" s="58">
        <v>-1.7</v>
      </c>
      <c r="H15" s="58">
        <v>0.52439999999999998</v>
      </c>
      <c r="J15" s="107"/>
      <c r="K15" s="105" t="s">
        <v>127</v>
      </c>
      <c r="L15" s="107" t="s">
        <v>46</v>
      </c>
      <c r="M15" s="107"/>
      <c r="N15" s="107"/>
      <c r="O15" s="107"/>
      <c r="P15" s="83"/>
      <c r="Q15" s="107" t="s">
        <v>61</v>
      </c>
      <c r="R15" s="60">
        <v>-0.32352900000000001</v>
      </c>
      <c r="S15" s="58"/>
      <c r="T15" s="208"/>
      <c r="U15" s="203" t="s">
        <v>97</v>
      </c>
      <c r="V15" s="63"/>
      <c r="W15" s="63"/>
      <c r="X15" s="198"/>
      <c r="Y15" s="63"/>
      <c r="Z15" s="202"/>
      <c r="AA15" s="64"/>
      <c r="AB15" s="31"/>
      <c r="AC15" s="31"/>
      <c r="AD15" s="31"/>
    </row>
    <row r="16" spans="1:30" x14ac:dyDescent="0.25">
      <c r="A16" s="153" t="s">
        <v>61</v>
      </c>
      <c r="B16" s="158">
        <v>1.6333</v>
      </c>
      <c r="C16" s="4">
        <v>1</v>
      </c>
      <c r="D16" s="43"/>
      <c r="E16" s="82"/>
      <c r="F16" s="23" t="s">
        <v>246</v>
      </c>
      <c r="G16" s="78"/>
      <c r="H16" s="78"/>
      <c r="J16" s="4" t="s">
        <v>126</v>
      </c>
      <c r="K16" s="58"/>
      <c r="L16" s="58"/>
      <c r="M16" s="58"/>
      <c r="N16" s="58"/>
      <c r="O16" s="58"/>
      <c r="P16" s="182"/>
      <c r="Q16" s="176"/>
      <c r="R16" s="180"/>
      <c r="S16" s="180"/>
      <c r="T16" s="207"/>
      <c r="U16" s="62" t="s">
        <v>60</v>
      </c>
      <c r="V16" s="4">
        <v>1.1111</v>
      </c>
      <c r="W16" s="63"/>
      <c r="X16" s="198"/>
      <c r="Y16" s="63"/>
      <c r="Z16" s="202"/>
      <c r="AA16" s="64"/>
      <c r="AB16" s="31"/>
      <c r="AC16" s="31"/>
      <c r="AD16" s="31"/>
    </row>
    <row r="17" spans="1:30" x14ac:dyDescent="0.25">
      <c r="A17" s="174"/>
      <c r="B17" s="169"/>
      <c r="C17" s="169"/>
      <c r="D17" s="169"/>
      <c r="E17" s="172"/>
      <c r="F17" s="58"/>
      <c r="G17" s="153" t="s">
        <v>127</v>
      </c>
      <c r="H17" s="107" t="s">
        <v>46</v>
      </c>
      <c r="J17" s="105" t="s">
        <v>60</v>
      </c>
      <c r="K17" s="58">
        <v>-1.0800000000000001E-2</v>
      </c>
      <c r="L17" s="58">
        <v>-0.06</v>
      </c>
      <c r="M17" s="58"/>
      <c r="N17" s="58"/>
      <c r="O17" s="58"/>
      <c r="P17" s="182"/>
      <c r="Q17" s="106"/>
      <c r="R17" s="61"/>
      <c r="S17" s="59"/>
      <c r="T17" s="209"/>
      <c r="U17" s="62" t="s">
        <v>61</v>
      </c>
      <c r="V17" s="4">
        <v>0</v>
      </c>
      <c r="W17" s="63"/>
      <c r="X17" s="198"/>
      <c r="Y17" s="63"/>
      <c r="Z17" s="202"/>
      <c r="AA17" s="64"/>
      <c r="AB17" s="31"/>
      <c r="AC17" s="31"/>
      <c r="AD17" s="31"/>
    </row>
    <row r="18" spans="1:30" x14ac:dyDescent="0.25">
      <c r="A18" s="5" t="s">
        <v>125</v>
      </c>
      <c r="F18" s="58" t="s">
        <v>97</v>
      </c>
      <c r="G18" s="107"/>
      <c r="H18" s="107"/>
      <c r="J18" s="105" t="s">
        <v>61</v>
      </c>
      <c r="K18" s="58">
        <v>0.80769999999999997</v>
      </c>
      <c r="L18" s="111">
        <v>1.3</v>
      </c>
      <c r="M18" s="111"/>
      <c r="N18" s="111"/>
      <c r="O18" s="111"/>
      <c r="P18" s="189"/>
      <c r="Q18" s="106"/>
      <c r="R18" s="1"/>
      <c r="S18" s="1"/>
      <c r="U18" s="245"/>
      <c r="V18" s="246"/>
      <c r="W18" s="246"/>
      <c r="X18" s="247"/>
      <c r="Y18" s="246"/>
      <c r="Z18" s="248"/>
      <c r="AA18" s="64"/>
      <c r="AB18" s="31"/>
      <c r="AC18" s="31"/>
      <c r="AD18" s="31"/>
    </row>
    <row r="19" spans="1:30" x14ac:dyDescent="0.25">
      <c r="A19" s="4" t="s">
        <v>124</v>
      </c>
      <c r="B19" s="158"/>
      <c r="F19" s="107" t="s">
        <v>60</v>
      </c>
      <c r="G19" s="58">
        <v>1.75</v>
      </c>
      <c r="H19" s="58">
        <v>0.375</v>
      </c>
      <c r="J19" s="169"/>
      <c r="K19" s="170"/>
      <c r="L19" s="170"/>
      <c r="M19" s="170"/>
      <c r="N19" s="170"/>
      <c r="O19" s="170"/>
      <c r="P19" s="188"/>
      <c r="Q19" s="183"/>
      <c r="R19" s="9"/>
      <c r="S19" s="9"/>
      <c r="U19" s="62"/>
      <c r="V19" s="63"/>
      <c r="W19" s="63"/>
      <c r="X19" s="198"/>
      <c r="Y19" s="63"/>
      <c r="Z19" s="202"/>
      <c r="AA19" s="64"/>
      <c r="AB19" s="31"/>
      <c r="AC19" s="31"/>
      <c r="AD19" s="31"/>
    </row>
    <row r="20" spans="1:30" x14ac:dyDescent="0.25">
      <c r="A20" s="153" t="s">
        <v>60</v>
      </c>
      <c r="B20" s="161">
        <v>-0.3</v>
      </c>
      <c r="F20" s="107" t="s">
        <v>61</v>
      </c>
      <c r="G20" s="58">
        <v>-1.75</v>
      </c>
      <c r="H20" s="58">
        <v>0.17499999999999999</v>
      </c>
      <c r="J20" s="5" t="s">
        <v>98</v>
      </c>
      <c r="K20" s="43"/>
      <c r="L20" s="85"/>
      <c r="M20" s="85"/>
      <c r="N20" s="85"/>
      <c r="O20" s="85"/>
      <c r="P20" s="164"/>
      <c r="Q20" s="39"/>
      <c r="R20" s="9"/>
      <c r="S20" s="1"/>
      <c r="T20" s="162"/>
      <c r="U20" s="62"/>
      <c r="V20" s="63"/>
      <c r="W20" s="63"/>
      <c r="X20" s="198"/>
      <c r="Y20" s="63"/>
      <c r="Z20" s="202"/>
      <c r="AA20" s="64"/>
      <c r="AB20" s="31"/>
      <c r="AC20" s="31"/>
      <c r="AD20" s="31"/>
    </row>
    <row r="21" spans="1:30" x14ac:dyDescent="0.25">
      <c r="A21" s="153" t="s">
        <v>61</v>
      </c>
      <c r="B21" s="158">
        <v>1</v>
      </c>
      <c r="F21" s="173"/>
      <c r="G21" s="173"/>
      <c r="H21" s="173"/>
      <c r="I21" s="172"/>
      <c r="J21" s="4" t="s">
        <v>126</v>
      </c>
      <c r="K21" s="4"/>
      <c r="L21" s="85"/>
      <c r="M21" s="85"/>
      <c r="N21" s="85"/>
      <c r="O21" s="85"/>
      <c r="P21" s="164"/>
      <c r="Q21" s="1"/>
      <c r="R21" s="22"/>
      <c r="S21" s="1"/>
      <c r="T21" s="208"/>
      <c r="U21" s="62"/>
      <c r="V21" s="63"/>
      <c r="W21" s="63"/>
      <c r="X21" s="198"/>
      <c r="Y21" s="63"/>
      <c r="Z21" s="202"/>
      <c r="AA21" s="64"/>
      <c r="AB21" s="31"/>
      <c r="AC21" s="31"/>
      <c r="AD21" s="31"/>
    </row>
    <row r="22" spans="1:30" x14ac:dyDescent="0.25">
      <c r="A22" s="175"/>
      <c r="B22" s="169"/>
      <c r="C22" s="169"/>
      <c r="D22" s="169"/>
      <c r="E22" s="172"/>
      <c r="F22" s="5" t="s">
        <v>189</v>
      </c>
      <c r="G22" s="84"/>
      <c r="H22" s="84"/>
      <c r="J22" s="105" t="s">
        <v>60</v>
      </c>
      <c r="K22" s="112">
        <v>-3.3300000000000003E-2</v>
      </c>
      <c r="L22" s="85"/>
      <c r="M22" s="85"/>
      <c r="N22" s="85"/>
      <c r="O22" s="85"/>
      <c r="P22" s="164"/>
      <c r="Q22" s="106"/>
      <c r="R22" s="9"/>
      <c r="S22" s="1"/>
      <c r="U22" s="62"/>
      <c r="V22" s="63"/>
      <c r="W22" s="63"/>
      <c r="X22" s="198"/>
      <c r="Y22" s="63"/>
      <c r="Z22" s="202"/>
      <c r="AA22" s="64"/>
      <c r="AB22" s="31"/>
      <c r="AC22" s="31"/>
      <c r="AD22" s="31"/>
    </row>
    <row r="23" spans="1:30" x14ac:dyDescent="0.25">
      <c r="F23" s="58"/>
      <c r="G23" s="153" t="s">
        <v>190</v>
      </c>
      <c r="H23" s="153" t="s">
        <v>72</v>
      </c>
      <c r="J23" s="105" t="s">
        <v>61</v>
      </c>
      <c r="K23" s="112">
        <v>1</v>
      </c>
      <c r="L23" s="85"/>
      <c r="M23" s="85"/>
      <c r="N23" s="85"/>
      <c r="O23" s="85"/>
      <c r="P23" s="164"/>
      <c r="Q23" s="106"/>
      <c r="R23" s="1"/>
      <c r="S23" s="1"/>
      <c r="T23" s="196"/>
      <c r="U23" s="62"/>
      <c r="V23" s="63"/>
      <c r="W23" s="63"/>
      <c r="X23" s="198"/>
      <c r="Y23" s="63"/>
      <c r="Z23" s="202"/>
      <c r="AA23" s="64"/>
      <c r="AB23" s="31"/>
      <c r="AC23" s="31"/>
      <c r="AD23" s="31"/>
    </row>
    <row r="24" spans="1:30" x14ac:dyDescent="0.25">
      <c r="F24" s="58" t="s">
        <v>97</v>
      </c>
      <c r="G24" s="107"/>
      <c r="H24" s="107"/>
      <c r="J24" s="169"/>
      <c r="K24" s="170"/>
      <c r="L24" s="170"/>
      <c r="M24" s="170"/>
      <c r="N24" s="170"/>
      <c r="O24" s="170"/>
      <c r="P24" s="188"/>
      <c r="Q24" s="106"/>
      <c r="R24" s="1"/>
      <c r="S24" s="1"/>
      <c r="T24" s="196"/>
      <c r="U24" s="62"/>
      <c r="V24" s="63"/>
      <c r="W24" s="63"/>
      <c r="X24" s="198"/>
      <c r="Y24" s="63"/>
      <c r="Z24" s="202"/>
      <c r="AA24" s="64"/>
      <c r="AB24" s="31"/>
      <c r="AC24" s="31"/>
      <c r="AD24" s="31"/>
    </row>
    <row r="25" spans="1:30" x14ac:dyDescent="0.25">
      <c r="F25" s="107" t="s">
        <v>60</v>
      </c>
      <c r="G25" s="58">
        <v>1.2500000000000001E-2</v>
      </c>
      <c r="H25" s="58">
        <v>-1.2500000000000001E-2</v>
      </c>
      <c r="J25" s="5" t="s">
        <v>197</v>
      </c>
      <c r="K25" s="112"/>
      <c r="L25" s="85"/>
      <c r="M25" s="85"/>
      <c r="N25" s="85"/>
      <c r="O25" s="85"/>
      <c r="P25" s="164"/>
      <c r="Q25" s="183"/>
      <c r="R25" s="9"/>
      <c r="S25" s="9"/>
      <c r="U25" s="62"/>
      <c r="V25" s="63"/>
      <c r="W25" s="63"/>
      <c r="X25" s="198"/>
      <c r="Y25" s="63"/>
      <c r="Z25" s="202"/>
      <c r="AA25" s="64"/>
      <c r="AB25" s="31"/>
      <c r="AC25" s="31"/>
      <c r="AD25" s="31"/>
    </row>
    <row r="26" spans="1:30" x14ac:dyDescent="0.25">
      <c r="D26" s="107"/>
      <c r="E26" s="83"/>
      <c r="F26" s="107" t="s">
        <v>61</v>
      </c>
      <c r="G26" s="58">
        <v>-0.25</v>
      </c>
      <c r="H26" s="58">
        <v>2.25</v>
      </c>
      <c r="J26" s="58"/>
      <c r="K26" s="507" t="s">
        <v>198</v>
      </c>
      <c r="L26" s="507"/>
      <c r="M26" s="507" t="s">
        <v>199</v>
      </c>
      <c r="N26" s="507"/>
      <c r="O26" s="85"/>
      <c r="P26" s="164"/>
      <c r="Q26" s="39"/>
      <c r="R26" s="9"/>
      <c r="S26" s="1"/>
      <c r="T26" s="162"/>
      <c r="U26" s="62"/>
      <c r="V26" s="63"/>
      <c r="W26" s="63"/>
      <c r="X26" s="198"/>
      <c r="Y26" s="63"/>
      <c r="Z26" s="202"/>
      <c r="AA26" s="64"/>
      <c r="AB26" s="31"/>
      <c r="AC26" s="31"/>
      <c r="AD26" s="31"/>
    </row>
    <row r="27" spans="1:30" x14ac:dyDescent="0.25">
      <c r="D27" s="84"/>
      <c r="E27" s="163"/>
      <c r="F27" s="158" t="s">
        <v>191</v>
      </c>
      <c r="G27" s="106"/>
      <c r="H27" s="106"/>
      <c r="J27" s="58"/>
      <c r="K27" s="153" t="s">
        <v>127</v>
      </c>
      <c r="L27" s="153" t="s">
        <v>46</v>
      </c>
      <c r="M27" s="153" t="s">
        <v>127</v>
      </c>
      <c r="N27" s="153" t="s">
        <v>46</v>
      </c>
      <c r="O27" s="85"/>
      <c r="P27" s="164"/>
      <c r="Q27" s="1"/>
      <c r="R27" s="22"/>
      <c r="S27" s="22"/>
      <c r="T27" s="208"/>
      <c r="U27" s="62"/>
      <c r="V27" s="63"/>
      <c r="W27" s="63"/>
      <c r="X27" s="198"/>
      <c r="Y27" s="63"/>
      <c r="Z27" s="202"/>
      <c r="AA27" s="64"/>
      <c r="AB27" s="31"/>
      <c r="AC27" s="31"/>
      <c r="AD27" s="31"/>
    </row>
    <row r="28" spans="1:30" x14ac:dyDescent="0.25">
      <c r="D28" s="85"/>
      <c r="E28" s="164"/>
      <c r="F28" s="176"/>
      <c r="G28" s="176"/>
      <c r="H28" s="176"/>
      <c r="I28" s="172"/>
      <c r="J28" s="58" t="s">
        <v>69</v>
      </c>
      <c r="K28" s="58"/>
      <c r="L28" s="58"/>
      <c r="M28" s="58"/>
      <c r="N28" s="58"/>
      <c r="O28" s="85"/>
      <c r="P28" s="164"/>
      <c r="Q28" s="106"/>
      <c r="R28" s="9"/>
      <c r="S28" s="1"/>
      <c r="U28" s="62"/>
      <c r="V28" s="63"/>
      <c r="W28" s="63"/>
      <c r="X28" s="198"/>
      <c r="Y28" s="63"/>
      <c r="Z28" s="202"/>
      <c r="AA28" s="64"/>
      <c r="AB28" s="31"/>
      <c r="AC28" s="31"/>
      <c r="AD28" s="31"/>
    </row>
    <row r="29" spans="1:30" x14ac:dyDescent="0.25">
      <c r="D29" s="108"/>
      <c r="F29" s="108"/>
      <c r="G29" s="152"/>
      <c r="H29" s="152"/>
      <c r="J29" s="107" t="s">
        <v>60</v>
      </c>
      <c r="K29" s="132">
        <v>-1.8200000000000001E-2</v>
      </c>
      <c r="L29" s="58">
        <v>-2.5000000000000001E-2</v>
      </c>
      <c r="M29" s="58">
        <v>-0.08</v>
      </c>
      <c r="N29" s="4">
        <v>-0.06</v>
      </c>
      <c r="O29" s="85"/>
      <c r="P29" s="164"/>
      <c r="Q29" s="106"/>
      <c r="R29" s="1"/>
      <c r="S29" s="1"/>
      <c r="T29" s="196"/>
      <c r="U29" s="62"/>
      <c r="V29" s="63"/>
      <c r="W29" s="63"/>
      <c r="X29" s="198"/>
      <c r="Y29" s="63"/>
      <c r="Z29" s="202"/>
      <c r="AA29" s="64"/>
      <c r="AB29" s="31"/>
      <c r="AC29" s="31"/>
      <c r="AD29" s="31"/>
    </row>
    <row r="30" spans="1:30" x14ac:dyDescent="0.25">
      <c r="D30" s="108"/>
      <c r="F30" s="106"/>
      <c r="G30" s="106"/>
      <c r="H30" s="106"/>
      <c r="J30" s="107" t="s">
        <v>61</v>
      </c>
      <c r="K30" s="58">
        <v>0.97270000000000001</v>
      </c>
      <c r="L30" s="58">
        <v>1.075</v>
      </c>
      <c r="M30" s="167">
        <v>1.1000000000000001</v>
      </c>
      <c r="N30" s="4">
        <v>1</v>
      </c>
      <c r="O30" s="85"/>
      <c r="P30" s="164"/>
      <c r="Q30" s="106"/>
      <c r="R30" s="1"/>
      <c r="S30" s="1"/>
      <c r="T30" s="196"/>
      <c r="U30" s="62"/>
      <c r="V30" s="63"/>
      <c r="W30" s="63"/>
      <c r="X30" s="198"/>
      <c r="Y30" s="63"/>
      <c r="Z30" s="202"/>
      <c r="AA30" s="64"/>
      <c r="AB30" s="31"/>
      <c r="AC30" s="31"/>
      <c r="AD30" s="31"/>
    </row>
    <row r="31" spans="1:30" x14ac:dyDescent="0.25">
      <c r="D31" s="106"/>
      <c r="E31" s="82"/>
      <c r="F31" s="106"/>
      <c r="G31" s="106"/>
      <c r="H31" s="106"/>
      <c r="J31" s="169"/>
      <c r="K31" s="170"/>
      <c r="L31" s="170"/>
      <c r="M31" s="170"/>
      <c r="N31" s="170"/>
      <c r="O31" s="170"/>
      <c r="P31" s="188"/>
      <c r="Q31" s="183"/>
      <c r="R31" s="1"/>
      <c r="S31" s="1"/>
      <c r="T31" s="208"/>
      <c r="U31" s="62"/>
      <c r="V31" s="63"/>
      <c r="W31" s="63"/>
      <c r="X31" s="198"/>
      <c r="Y31" s="63"/>
      <c r="Z31" s="202"/>
      <c r="AA31" s="64"/>
      <c r="AB31" s="31"/>
      <c r="AC31" s="31"/>
      <c r="AD31" s="31"/>
    </row>
    <row r="32" spans="1:30" x14ac:dyDescent="0.25">
      <c r="D32" s="106"/>
      <c r="E32" s="82"/>
      <c r="F32" s="106"/>
      <c r="G32" s="106"/>
      <c r="H32" s="106"/>
      <c r="J32" s="5" t="s">
        <v>138</v>
      </c>
      <c r="Q32" s="39"/>
      <c r="R32" s="9"/>
      <c r="S32" s="1"/>
      <c r="T32" s="162"/>
      <c r="U32" s="62"/>
      <c r="V32" s="63"/>
      <c r="W32" s="63"/>
      <c r="X32" s="198"/>
      <c r="Y32" s="63"/>
      <c r="Z32" s="202"/>
      <c r="AA32" s="64"/>
      <c r="AB32" s="31"/>
      <c r="AC32" s="31"/>
      <c r="AD32" s="31"/>
    </row>
    <row r="33" spans="1:30" x14ac:dyDescent="0.25">
      <c r="D33" s="108"/>
      <c r="F33" s="108"/>
      <c r="G33" s="152"/>
      <c r="H33" s="152"/>
      <c r="J33" s="58"/>
      <c r="K33" s="153" t="s">
        <v>127</v>
      </c>
      <c r="L33" s="107" t="s">
        <v>46</v>
      </c>
      <c r="M33" s="107"/>
      <c r="N33" s="107"/>
      <c r="O33" s="107"/>
      <c r="P33" s="83"/>
      <c r="Q33" s="1"/>
      <c r="R33" s="22"/>
      <c r="S33" s="22"/>
      <c r="T33" s="208"/>
      <c r="U33" s="62"/>
      <c r="V33" s="63"/>
      <c r="W33" s="63"/>
      <c r="X33" s="198"/>
      <c r="Y33" s="63"/>
      <c r="Z33" s="202"/>
      <c r="AA33" s="64"/>
      <c r="AB33" s="31"/>
      <c r="AC33" s="31"/>
      <c r="AD33" s="31"/>
    </row>
    <row r="34" spans="1:30" x14ac:dyDescent="0.25">
      <c r="D34" s="108"/>
      <c r="J34" s="58" t="s">
        <v>97</v>
      </c>
      <c r="K34" s="107"/>
      <c r="L34" s="107"/>
      <c r="M34" s="58"/>
      <c r="N34" s="58"/>
      <c r="O34" s="58"/>
      <c r="P34" s="182"/>
      <c r="Q34" s="106"/>
      <c r="R34" s="9"/>
      <c r="S34" s="1"/>
      <c r="T34" s="196"/>
      <c r="U34" s="62"/>
      <c r="V34" s="63"/>
      <c r="W34" s="63"/>
      <c r="X34" s="198"/>
      <c r="Y34" s="63"/>
      <c r="Z34" s="202"/>
      <c r="AA34" s="64"/>
      <c r="AB34" s="31"/>
      <c r="AC34" s="31"/>
      <c r="AD34" s="31"/>
    </row>
    <row r="35" spans="1:30" x14ac:dyDescent="0.25">
      <c r="D35" s="106"/>
      <c r="E35" s="82"/>
      <c r="J35" s="107" t="s">
        <v>60</v>
      </c>
      <c r="K35" s="58">
        <v>-0.33329999999999999</v>
      </c>
      <c r="L35" s="58">
        <v>-0.15790000000000001</v>
      </c>
      <c r="M35" s="58"/>
      <c r="N35" s="58"/>
      <c r="O35" s="58"/>
      <c r="P35" s="182"/>
      <c r="Q35" s="106"/>
      <c r="R35" s="1"/>
      <c r="S35" s="1"/>
      <c r="T35" s="210"/>
      <c r="U35" s="62"/>
      <c r="V35" s="63"/>
      <c r="W35" s="63"/>
      <c r="X35" s="198"/>
      <c r="Y35" s="63"/>
      <c r="Z35" s="202"/>
      <c r="AA35" s="64"/>
      <c r="AB35" s="31"/>
      <c r="AC35" s="31"/>
      <c r="AD35" s="31"/>
    </row>
    <row r="36" spans="1:30" x14ac:dyDescent="0.25">
      <c r="D36" s="106"/>
      <c r="E36" s="82"/>
      <c r="J36" s="107" t="s">
        <v>61</v>
      </c>
      <c r="K36" s="58">
        <v>2</v>
      </c>
      <c r="L36" s="58">
        <v>1.3158000000000001</v>
      </c>
      <c r="M36" s="111"/>
      <c r="N36" s="111"/>
      <c r="O36" s="111"/>
      <c r="P36" s="189"/>
      <c r="Q36" s="106"/>
      <c r="R36" s="1"/>
      <c r="S36" s="1"/>
      <c r="T36" s="196"/>
      <c r="U36" s="62"/>
      <c r="V36" s="63"/>
      <c r="W36" s="63"/>
      <c r="X36" s="198"/>
      <c r="Y36" s="63"/>
      <c r="Z36" s="202"/>
      <c r="AA36" s="64"/>
      <c r="AB36" s="31"/>
      <c r="AC36" s="31"/>
      <c r="AD36" s="31"/>
    </row>
    <row r="37" spans="1:30" x14ac:dyDescent="0.25">
      <c r="D37" s="106"/>
      <c r="E37" s="82"/>
      <c r="J37" s="5" t="s">
        <v>128</v>
      </c>
      <c r="L37" s="85"/>
      <c r="M37" s="85"/>
      <c r="N37" s="85"/>
      <c r="O37" s="85"/>
      <c r="P37" s="164"/>
      <c r="Q37" s="183"/>
      <c r="R37" s="9"/>
      <c r="S37" s="9"/>
      <c r="U37" s="62"/>
      <c r="V37" s="63"/>
      <c r="W37" s="63"/>
      <c r="X37" s="198"/>
      <c r="Y37" s="63"/>
      <c r="Z37" s="202"/>
      <c r="AA37" s="64"/>
      <c r="AB37" s="31"/>
      <c r="AC37" s="31"/>
      <c r="AD37" s="31"/>
    </row>
    <row r="38" spans="1:30" x14ac:dyDescent="0.25">
      <c r="D38" s="108"/>
      <c r="J38" s="4" t="s">
        <v>126</v>
      </c>
      <c r="K38" s="58"/>
      <c r="L38" s="81"/>
      <c r="M38" s="106"/>
      <c r="N38" s="106"/>
      <c r="O38" s="106"/>
      <c r="P38" s="82"/>
      <c r="Q38" s="39"/>
      <c r="R38" s="9"/>
      <c r="S38" s="1"/>
      <c r="T38" s="162"/>
      <c r="U38" s="62"/>
      <c r="V38" s="63"/>
      <c r="W38" s="63"/>
      <c r="X38" s="198"/>
      <c r="Y38" s="63"/>
      <c r="Z38" s="202"/>
      <c r="AA38" s="64"/>
      <c r="AB38" s="31"/>
      <c r="AC38" s="31"/>
      <c r="AD38" s="31"/>
    </row>
    <row r="39" spans="1:30" x14ac:dyDescent="0.25">
      <c r="J39" s="107" t="s">
        <v>60</v>
      </c>
      <c r="K39" s="58">
        <v>-0.1154</v>
      </c>
      <c r="L39" s="81"/>
      <c r="M39" s="106"/>
      <c r="N39" s="106"/>
      <c r="O39" s="106"/>
      <c r="P39" s="82"/>
      <c r="Q39" s="1"/>
      <c r="R39" s="22"/>
      <c r="S39" s="9"/>
      <c r="T39" s="196"/>
      <c r="U39" s="62"/>
      <c r="V39" s="63"/>
      <c r="W39" s="63"/>
      <c r="X39" s="198"/>
      <c r="Y39" s="63"/>
      <c r="Z39" s="202"/>
      <c r="AA39" s="64"/>
      <c r="AB39" s="31"/>
      <c r="AC39" s="31"/>
      <c r="AD39" s="31"/>
    </row>
    <row r="40" spans="1:30" x14ac:dyDescent="0.25">
      <c r="J40" s="107" t="s">
        <v>61</v>
      </c>
      <c r="K40" s="58">
        <v>1.3923000000000001</v>
      </c>
      <c r="L40" s="81"/>
      <c r="M40" s="106"/>
      <c r="N40" s="106"/>
      <c r="O40" s="106"/>
      <c r="P40" s="82"/>
      <c r="Q40" s="106"/>
      <c r="R40" s="9"/>
      <c r="S40" s="1"/>
      <c r="U40" s="62"/>
      <c r="V40" s="63"/>
      <c r="W40" s="63"/>
      <c r="X40" s="198"/>
      <c r="Y40" s="63"/>
      <c r="Z40" s="202"/>
      <c r="AA40" s="64"/>
      <c r="AB40" s="31"/>
      <c r="AC40" s="31"/>
      <c r="AD40" s="31"/>
    </row>
    <row r="41" spans="1:30" x14ac:dyDescent="0.25">
      <c r="J41" s="5" t="s">
        <v>139</v>
      </c>
      <c r="K41" s="58"/>
      <c r="L41" s="106"/>
      <c r="M41" s="106"/>
      <c r="N41" s="106"/>
      <c r="O41" s="106"/>
      <c r="P41" s="82"/>
      <c r="Q41" s="106"/>
      <c r="R41" s="9"/>
      <c r="S41" s="1"/>
      <c r="T41" s="196"/>
      <c r="U41" s="62"/>
      <c r="V41" s="63"/>
      <c r="W41" s="63"/>
      <c r="X41" s="198"/>
      <c r="Y41" s="63"/>
      <c r="Z41" s="202"/>
      <c r="AA41" s="64"/>
      <c r="AB41" s="31"/>
      <c r="AC41" s="31"/>
      <c r="AD41" s="31"/>
    </row>
    <row r="42" spans="1:30" x14ac:dyDescent="0.25">
      <c r="J42" s="58"/>
      <c r="K42" s="107" t="s">
        <v>71</v>
      </c>
      <c r="L42" s="107" t="s">
        <v>129</v>
      </c>
      <c r="M42" s="107"/>
      <c r="N42" s="107"/>
      <c r="O42" s="107"/>
      <c r="P42" s="83"/>
      <c r="Q42" s="106"/>
      <c r="R42" s="1"/>
      <c r="S42" s="1"/>
      <c r="T42" s="196"/>
      <c r="U42" s="62"/>
      <c r="V42" s="63"/>
      <c r="W42" s="63"/>
      <c r="X42" s="198"/>
      <c r="Y42" s="63"/>
      <c r="Z42" s="202"/>
      <c r="AA42" s="64"/>
      <c r="AB42" s="31"/>
      <c r="AC42" s="31"/>
      <c r="AD42" s="31"/>
    </row>
    <row r="43" spans="1:30" x14ac:dyDescent="0.25">
      <c r="F43" s="153"/>
      <c r="I43" s="154"/>
      <c r="J43" s="4" t="s">
        <v>124</v>
      </c>
      <c r="K43" s="58"/>
      <c r="L43" s="58"/>
      <c r="M43" s="58"/>
      <c r="N43" s="58"/>
      <c r="O43" s="58"/>
      <c r="P43" s="182"/>
      <c r="Q43" s="183"/>
      <c r="R43" s="9"/>
      <c r="S43" s="9"/>
      <c r="U43" s="62"/>
      <c r="V43" s="63"/>
      <c r="W43" s="63"/>
      <c r="X43" s="198"/>
      <c r="Y43" s="63"/>
      <c r="Z43" s="202"/>
      <c r="AA43" s="64"/>
      <c r="AB43" s="31"/>
      <c r="AC43" s="31"/>
      <c r="AD43" s="31"/>
    </row>
    <row r="44" spans="1:30" x14ac:dyDescent="0.25">
      <c r="F44" s="19"/>
      <c r="G44" s="19"/>
      <c r="H44" s="19"/>
      <c r="I44" s="162"/>
      <c r="J44" s="107" t="s">
        <v>60</v>
      </c>
      <c r="K44" s="168">
        <v>0.58730000000000004</v>
      </c>
      <c r="L44" s="168">
        <v>-0.30330000000000001</v>
      </c>
      <c r="M44" s="58"/>
      <c r="N44" s="58"/>
      <c r="O44" s="58"/>
      <c r="P44" s="182"/>
      <c r="Q44" s="39"/>
      <c r="R44" s="9"/>
      <c r="S44" s="1"/>
      <c r="T44" s="162"/>
      <c r="U44" s="62"/>
      <c r="V44" s="63"/>
      <c r="W44" s="63"/>
      <c r="X44" s="198"/>
      <c r="Y44" s="63"/>
      <c r="Z44" s="202"/>
      <c r="AA44" s="64"/>
      <c r="AB44" s="31"/>
      <c r="AC44" s="31"/>
      <c r="AD44" s="31"/>
    </row>
    <row r="45" spans="1:30" x14ac:dyDescent="0.25">
      <c r="J45" s="107" t="s">
        <v>61</v>
      </c>
      <c r="K45" s="168">
        <v>-1.0583</v>
      </c>
      <c r="L45" s="168">
        <v>2.5175999999999998</v>
      </c>
      <c r="M45" s="111"/>
      <c r="N45" s="111"/>
      <c r="O45" s="111"/>
      <c r="P45" s="189"/>
      <c r="Q45" s="1"/>
      <c r="R45" s="22"/>
      <c r="S45" s="22"/>
      <c r="T45" s="208"/>
      <c r="U45" s="62"/>
      <c r="V45" s="63"/>
      <c r="W45" s="63"/>
      <c r="X45" s="198"/>
      <c r="Y45" s="63"/>
      <c r="Z45" s="202"/>
      <c r="AA45" s="64"/>
      <c r="AB45" s="31"/>
      <c r="AC45" s="31"/>
      <c r="AD45" s="31"/>
    </row>
    <row r="46" spans="1:30" x14ac:dyDescent="0.25">
      <c r="J46" s="5" t="s">
        <v>137</v>
      </c>
      <c r="K46" s="43"/>
      <c r="L46" s="85"/>
      <c r="M46" s="85"/>
      <c r="N46" s="85"/>
      <c r="O46" s="85"/>
      <c r="P46" s="164"/>
      <c r="Q46" s="106"/>
      <c r="R46" s="9"/>
      <c r="S46" s="1"/>
      <c r="U46" s="62"/>
      <c r="V46" s="63"/>
      <c r="W46" s="63"/>
      <c r="X46" s="198"/>
      <c r="Y46" s="63"/>
      <c r="Z46" s="202"/>
      <c r="AA46" s="64"/>
      <c r="AB46" s="31"/>
      <c r="AC46" s="31"/>
      <c r="AD46" s="31"/>
    </row>
    <row r="47" spans="1:30" x14ac:dyDescent="0.25">
      <c r="J47" s="58"/>
      <c r="K47" s="107" t="s">
        <v>71</v>
      </c>
      <c r="L47" s="107" t="s">
        <v>129</v>
      </c>
      <c r="M47" s="107"/>
      <c r="N47" s="107"/>
      <c r="O47" s="107"/>
      <c r="P47" s="83"/>
      <c r="Q47" s="106"/>
      <c r="R47" s="1"/>
      <c r="S47" s="1"/>
      <c r="T47" s="196"/>
      <c r="U47" s="62"/>
      <c r="V47" s="63"/>
      <c r="W47" s="63"/>
      <c r="X47" s="198"/>
      <c r="Y47" s="63"/>
      <c r="Z47" s="202"/>
      <c r="AA47" s="64"/>
      <c r="AB47" s="31"/>
      <c r="AC47" s="31"/>
      <c r="AD47" s="31"/>
    </row>
    <row r="48" spans="1:30" x14ac:dyDescent="0.25">
      <c r="A48" s="5"/>
      <c r="B48" s="153"/>
      <c r="C48" s="153"/>
      <c r="D48" s="153"/>
      <c r="J48" s="4" t="s">
        <v>124</v>
      </c>
      <c r="K48" s="58"/>
      <c r="L48" s="58"/>
      <c r="M48" s="58"/>
      <c r="N48" s="58"/>
      <c r="O48" s="58"/>
      <c r="P48" s="182"/>
      <c r="Q48" s="106"/>
      <c r="R48" s="1"/>
      <c r="S48" s="1"/>
      <c r="T48" s="196"/>
      <c r="U48" s="62"/>
      <c r="V48" s="63"/>
      <c r="W48" s="63"/>
      <c r="X48" s="198"/>
      <c r="Y48" s="63"/>
      <c r="Z48" s="202"/>
      <c r="AA48" s="64"/>
      <c r="AB48" s="31"/>
      <c r="AC48" s="31"/>
      <c r="AD48" s="31"/>
    </row>
    <row r="49" spans="1:30" x14ac:dyDescent="0.25">
      <c r="B49" s="19"/>
      <c r="C49" s="19"/>
      <c r="D49" s="19"/>
      <c r="E49" s="162"/>
      <c r="J49" s="107" t="s">
        <v>60</v>
      </c>
      <c r="K49" s="168">
        <v>1</v>
      </c>
      <c r="L49" s="168">
        <v>-0.30330000000000001</v>
      </c>
      <c r="M49" s="113"/>
      <c r="N49" s="113"/>
      <c r="O49" s="113"/>
      <c r="P49" s="190"/>
      <c r="Q49" s="183"/>
      <c r="R49" s="9"/>
      <c r="S49" s="9"/>
      <c r="U49" s="62"/>
      <c r="V49" s="63"/>
      <c r="W49" s="63"/>
      <c r="X49" s="198"/>
      <c r="Y49" s="63"/>
      <c r="Z49" s="202"/>
      <c r="AA49" s="64"/>
      <c r="AB49" s="31"/>
      <c r="AC49" s="31"/>
      <c r="AD49" s="31"/>
    </row>
    <row r="50" spans="1:30" x14ac:dyDescent="0.25">
      <c r="J50" s="107" t="s">
        <v>61</v>
      </c>
      <c r="K50" s="168">
        <v>-3</v>
      </c>
      <c r="L50" s="168">
        <v>2.8209</v>
      </c>
      <c r="M50" s="113"/>
      <c r="N50" s="113"/>
      <c r="O50" s="113"/>
      <c r="P50" s="190"/>
      <c r="Q50" s="39"/>
      <c r="R50" s="9"/>
      <c r="S50" s="1"/>
      <c r="T50" s="162"/>
      <c r="U50" s="62"/>
      <c r="V50" s="63"/>
      <c r="W50" s="63"/>
      <c r="X50" s="198"/>
      <c r="Y50" s="63"/>
      <c r="Z50" s="202"/>
      <c r="AA50" s="64"/>
      <c r="AB50" s="31"/>
      <c r="AC50" s="31"/>
      <c r="AD50" s="31"/>
    </row>
    <row r="51" spans="1:30" x14ac:dyDescent="0.25">
      <c r="J51" s="169"/>
      <c r="K51" s="170"/>
      <c r="L51" s="170"/>
      <c r="M51" s="170"/>
      <c r="N51" s="170"/>
      <c r="O51" s="170"/>
      <c r="P51" s="188"/>
      <c r="Q51" s="1"/>
      <c r="R51" s="22"/>
      <c r="S51" s="22"/>
      <c r="T51" s="208"/>
      <c r="U51" s="62"/>
      <c r="V51" s="63"/>
      <c r="W51" s="63"/>
      <c r="X51" s="198"/>
      <c r="Y51" s="63"/>
      <c r="Z51" s="202"/>
      <c r="AA51" s="64"/>
      <c r="AB51" s="31"/>
      <c r="AC51" s="31"/>
      <c r="AD51" s="31"/>
    </row>
    <row r="52" spans="1:30" x14ac:dyDescent="0.25">
      <c r="J52" s="5" t="s">
        <v>40</v>
      </c>
      <c r="K52" s="51"/>
      <c r="L52" s="94"/>
      <c r="M52" s="94"/>
      <c r="N52" s="94"/>
      <c r="O52" s="94"/>
      <c r="P52" s="191"/>
      <c r="Q52" s="106"/>
      <c r="R52" s="9"/>
      <c r="S52" s="1"/>
      <c r="U52" s="62"/>
      <c r="V52" s="63"/>
      <c r="W52" s="63"/>
      <c r="X52" s="198"/>
      <c r="Y52" s="63"/>
      <c r="Z52" s="202"/>
      <c r="AA52" s="64"/>
      <c r="AB52" s="31"/>
      <c r="AC52" s="31"/>
      <c r="AD52" s="31"/>
    </row>
    <row r="53" spans="1:30" x14ac:dyDescent="0.25">
      <c r="J53" s="58"/>
      <c r="K53" s="507" t="s">
        <v>200</v>
      </c>
      <c r="L53" s="507"/>
      <c r="M53" s="507" t="s">
        <v>201</v>
      </c>
      <c r="N53" s="507"/>
      <c r="O53" s="94"/>
      <c r="P53" s="191"/>
      <c r="Q53" s="106"/>
      <c r="R53" s="1"/>
      <c r="S53" s="1"/>
      <c r="T53" s="196"/>
      <c r="U53" s="62"/>
      <c r="V53" s="63"/>
      <c r="W53" s="63"/>
      <c r="X53" s="198"/>
      <c r="Y53" s="63"/>
      <c r="Z53" s="202"/>
      <c r="AA53" s="64"/>
      <c r="AB53" s="31"/>
      <c r="AC53" s="31"/>
      <c r="AD53" s="31"/>
    </row>
    <row r="54" spans="1:30" x14ac:dyDescent="0.25">
      <c r="A54" s="5"/>
      <c r="J54" s="107"/>
      <c r="K54" s="153" t="s">
        <v>127</v>
      </c>
      <c r="L54" s="107" t="s">
        <v>46</v>
      </c>
      <c r="M54" s="153" t="s">
        <v>127</v>
      </c>
      <c r="N54" s="107" t="s">
        <v>46</v>
      </c>
      <c r="O54" s="107"/>
      <c r="P54" s="83"/>
      <c r="Q54" s="106"/>
      <c r="R54" s="1"/>
      <c r="S54" s="1"/>
      <c r="T54" s="196"/>
      <c r="U54" s="62"/>
      <c r="V54" s="63"/>
      <c r="W54" s="63"/>
      <c r="X54" s="198"/>
      <c r="Y54" s="63"/>
      <c r="Z54" s="202"/>
      <c r="AA54" s="64"/>
      <c r="AB54" s="31"/>
      <c r="AC54" s="31"/>
      <c r="AD54" s="31"/>
    </row>
    <row r="55" spans="1:30" x14ac:dyDescent="0.25">
      <c r="A55" s="58"/>
      <c r="B55" s="107"/>
      <c r="C55" s="107"/>
      <c r="J55" s="20" t="s">
        <v>164</v>
      </c>
      <c r="K55" s="58"/>
      <c r="L55" s="58"/>
      <c r="M55" s="58"/>
      <c r="N55" s="58"/>
      <c r="O55" s="58"/>
      <c r="P55" s="182"/>
      <c r="Q55" s="1"/>
      <c r="R55" s="22"/>
      <c r="S55" s="1"/>
      <c r="T55" s="196"/>
      <c r="U55" s="62"/>
      <c r="V55" s="63"/>
      <c r="W55" s="63"/>
      <c r="X55" s="198"/>
      <c r="Y55" s="63"/>
      <c r="Z55" s="202"/>
      <c r="AA55" s="64"/>
      <c r="AB55" s="31"/>
      <c r="AC55" s="31"/>
      <c r="AD55" s="31"/>
    </row>
    <row r="56" spans="1:30" x14ac:dyDescent="0.25">
      <c r="B56" s="58"/>
      <c r="C56" s="58"/>
      <c r="J56" s="153" t="s">
        <v>60</v>
      </c>
      <c r="K56" s="4">
        <v>0.875</v>
      </c>
      <c r="L56" s="168">
        <v>0.3</v>
      </c>
      <c r="M56" s="4">
        <v>0.58330000000000004</v>
      </c>
      <c r="N56" s="168">
        <v>0.3</v>
      </c>
      <c r="O56" s="58"/>
      <c r="P56" s="182"/>
      <c r="Q56" s="106"/>
      <c r="R56" s="1"/>
      <c r="S56" s="1"/>
      <c r="T56" s="196"/>
      <c r="U56" s="62"/>
      <c r="V56" s="63"/>
      <c r="W56" s="63"/>
      <c r="X56" s="198"/>
      <c r="Y56" s="63"/>
      <c r="Z56" s="202"/>
      <c r="AA56" s="64"/>
      <c r="AB56" s="31"/>
      <c r="AC56" s="31"/>
      <c r="AD56" s="31"/>
    </row>
    <row r="57" spans="1:30" x14ac:dyDescent="0.25">
      <c r="A57" s="118"/>
      <c r="B57" s="58"/>
      <c r="C57" s="58"/>
      <c r="J57" s="153" t="s">
        <v>61</v>
      </c>
      <c r="K57" s="4">
        <v>-0.875</v>
      </c>
      <c r="L57" s="168">
        <v>0.16</v>
      </c>
      <c r="M57" s="4">
        <v>-0.58330000000000004</v>
      </c>
      <c r="N57" s="168">
        <v>0.04</v>
      </c>
      <c r="O57" s="58"/>
      <c r="P57" s="182"/>
      <c r="Q57" s="106"/>
      <c r="R57" s="1"/>
      <c r="S57" s="1"/>
      <c r="T57" s="196"/>
      <c r="U57" s="62"/>
      <c r="V57" s="63"/>
      <c r="W57" s="63"/>
      <c r="X57" s="198"/>
      <c r="Y57" s="63"/>
      <c r="Z57" s="202"/>
      <c r="AA57" s="64"/>
      <c r="AB57" s="31"/>
      <c r="AC57" s="31"/>
      <c r="AD57" s="31"/>
    </row>
    <row r="58" spans="1:30" x14ac:dyDescent="0.25">
      <c r="A58" s="118"/>
      <c r="B58" s="58"/>
      <c r="C58" s="111"/>
      <c r="J58" s="177"/>
      <c r="K58" s="169"/>
      <c r="L58" s="178"/>
      <c r="M58" s="178"/>
      <c r="N58" s="178"/>
      <c r="O58" s="178"/>
      <c r="P58" s="192"/>
      <c r="Q58" s="106"/>
      <c r="R58" s="1"/>
      <c r="S58" s="1"/>
      <c r="T58" s="196"/>
      <c r="U58" s="62"/>
      <c r="V58" s="63"/>
      <c r="W58" s="63"/>
      <c r="X58" s="198"/>
      <c r="Y58" s="63"/>
      <c r="Z58" s="202"/>
      <c r="AA58" s="64"/>
      <c r="AB58" s="31"/>
      <c r="AC58" s="31"/>
      <c r="AD58" s="31"/>
    </row>
    <row r="59" spans="1:30" x14ac:dyDescent="0.25">
      <c r="J59" s="23" t="s">
        <v>140</v>
      </c>
      <c r="K59" s="43"/>
      <c r="L59" s="81"/>
      <c r="M59" s="106"/>
      <c r="N59" s="106"/>
      <c r="O59" s="106"/>
      <c r="P59" s="82"/>
      <c r="Q59" s="183"/>
      <c r="R59" s="9"/>
      <c r="S59" s="9"/>
      <c r="U59" s="62"/>
      <c r="V59" s="63"/>
      <c r="W59" s="63"/>
      <c r="X59" s="198"/>
      <c r="Y59" s="63"/>
      <c r="Z59" s="202"/>
      <c r="AA59" s="64"/>
      <c r="AB59" s="31"/>
      <c r="AC59" s="31"/>
      <c r="AD59" s="31"/>
    </row>
    <row r="60" spans="1:30" x14ac:dyDescent="0.25">
      <c r="J60" s="20"/>
      <c r="K60" s="507" t="s">
        <v>71</v>
      </c>
      <c r="L60" s="507"/>
      <c r="M60" s="507" t="s">
        <v>72</v>
      </c>
      <c r="N60" s="507"/>
      <c r="Q60" s="39"/>
      <c r="R60" s="9"/>
      <c r="S60" s="9"/>
      <c r="U60" s="62"/>
      <c r="V60" s="63"/>
      <c r="W60" s="63"/>
      <c r="X60" s="198"/>
      <c r="Y60" s="63"/>
      <c r="Z60" s="202"/>
      <c r="AA60" s="64"/>
      <c r="AB60" s="31"/>
      <c r="AC60" s="31"/>
      <c r="AD60" s="31"/>
    </row>
    <row r="61" spans="1:30" x14ac:dyDescent="0.25">
      <c r="F61" s="106"/>
      <c r="G61" s="106"/>
      <c r="H61" s="106"/>
      <c r="I61" s="82"/>
      <c r="K61" s="153" t="s">
        <v>127</v>
      </c>
      <c r="L61" s="107" t="s">
        <v>46</v>
      </c>
      <c r="M61" s="153" t="s">
        <v>127</v>
      </c>
      <c r="N61" s="107" t="s">
        <v>46</v>
      </c>
      <c r="O61" s="62"/>
      <c r="P61" s="83"/>
      <c r="Q61" s="1"/>
      <c r="R61" s="11"/>
      <c r="S61" s="11"/>
      <c r="T61" s="211"/>
      <c r="U61" s="62"/>
      <c r="V61" s="63"/>
      <c r="W61" s="63"/>
      <c r="X61" s="198"/>
      <c r="Y61" s="63"/>
      <c r="Z61" s="202"/>
      <c r="AA61" s="64"/>
      <c r="AB61" s="31"/>
      <c r="AC61" s="31"/>
      <c r="AD61" s="31"/>
    </row>
    <row r="62" spans="1:30" x14ac:dyDescent="0.25">
      <c r="F62" s="42"/>
      <c r="G62" s="42"/>
      <c r="H62" s="42"/>
      <c r="I62" s="86"/>
      <c r="J62" s="20" t="s">
        <v>69</v>
      </c>
      <c r="K62" s="153"/>
      <c r="L62" s="107"/>
      <c r="M62" s="153"/>
      <c r="N62" s="107"/>
      <c r="O62" s="62"/>
      <c r="P62" s="83"/>
      <c r="Q62" s="106"/>
      <c r="R62" s="1"/>
      <c r="S62" s="1"/>
      <c r="U62" s="62"/>
      <c r="V62" s="63"/>
      <c r="W62" s="63"/>
      <c r="X62" s="198"/>
      <c r="Y62" s="63"/>
      <c r="Z62" s="202"/>
      <c r="AA62" s="64"/>
      <c r="AB62" s="31"/>
      <c r="AC62" s="31"/>
      <c r="AD62" s="31"/>
    </row>
    <row r="63" spans="1:30" x14ac:dyDescent="0.25">
      <c r="F63" s="87"/>
      <c r="G63" s="87"/>
      <c r="H63" s="87"/>
      <c r="I63" s="88"/>
      <c r="J63" s="43" t="s">
        <v>60</v>
      </c>
      <c r="K63" s="4">
        <v>1.7899999999999999E-2</v>
      </c>
      <c r="L63" s="4">
        <v>2.7300000000000001E-2</v>
      </c>
      <c r="M63" s="58">
        <v>-2.2599999999999999E-2</v>
      </c>
      <c r="N63" s="4">
        <v>-3.3300000000000003E-2</v>
      </c>
      <c r="Q63" s="106"/>
      <c r="R63" s="1"/>
      <c r="S63" s="1"/>
      <c r="U63" s="62"/>
      <c r="V63" s="63"/>
      <c r="W63" s="63"/>
      <c r="X63" s="198"/>
      <c r="Y63" s="63"/>
      <c r="Z63" s="202"/>
      <c r="AA63" s="64"/>
      <c r="AB63" s="31"/>
      <c r="AC63" s="31"/>
      <c r="AD63" s="31"/>
    </row>
    <row r="64" spans="1:30" x14ac:dyDescent="0.25">
      <c r="F64" s="106"/>
      <c r="G64" s="106"/>
      <c r="H64" s="106"/>
      <c r="I64" s="82"/>
      <c r="J64" s="43" t="s">
        <v>61</v>
      </c>
      <c r="K64" s="8">
        <v>0</v>
      </c>
      <c r="L64" s="168">
        <v>-0.36359999999999998</v>
      </c>
      <c r="M64" s="58">
        <v>2.2581000000000002</v>
      </c>
      <c r="N64" s="4">
        <v>3</v>
      </c>
      <c r="O64" s="93"/>
      <c r="P64" s="193"/>
      <c r="Q64" s="106"/>
      <c r="R64" s="1"/>
      <c r="S64" s="1"/>
      <c r="U64" s="62"/>
      <c r="V64" s="63"/>
      <c r="W64" s="63"/>
      <c r="X64" s="198"/>
      <c r="Y64" s="63"/>
      <c r="Z64" s="202"/>
      <c r="AA64" s="64"/>
      <c r="AB64" s="31"/>
      <c r="AC64" s="31"/>
      <c r="AD64" s="31"/>
    </row>
    <row r="65" spans="1:30" x14ac:dyDescent="0.25">
      <c r="F65" s="106"/>
      <c r="G65" s="106"/>
      <c r="H65" s="106"/>
      <c r="I65" s="82"/>
      <c r="J65" s="23" t="s">
        <v>141</v>
      </c>
      <c r="K65" s="43"/>
      <c r="L65" s="106"/>
      <c r="M65" s="106"/>
      <c r="N65" s="106"/>
      <c r="O65" s="106"/>
      <c r="P65" s="82"/>
      <c r="Q65" s="183"/>
      <c r="R65" s="1"/>
      <c r="S65" s="1"/>
      <c r="T65" s="208"/>
      <c r="U65" s="62"/>
      <c r="V65" s="63"/>
      <c r="W65" s="63"/>
      <c r="X65" s="198"/>
      <c r="Y65" s="63"/>
      <c r="Z65" s="202"/>
      <c r="AA65" s="64"/>
      <c r="AB65" s="31"/>
      <c r="AC65" s="31"/>
      <c r="AD65" s="31"/>
    </row>
    <row r="66" spans="1:30" x14ac:dyDescent="0.25">
      <c r="A66" s="1"/>
      <c r="B66" s="81"/>
      <c r="C66" s="81"/>
      <c r="D66" s="106"/>
      <c r="E66" s="82"/>
      <c r="F66" s="106"/>
      <c r="G66" s="106"/>
      <c r="H66" s="106"/>
      <c r="I66" s="82"/>
      <c r="J66" s="58"/>
      <c r="K66" s="507" t="s">
        <v>71</v>
      </c>
      <c r="L66" s="507"/>
      <c r="M66" s="507" t="s">
        <v>72</v>
      </c>
      <c r="N66" s="507"/>
      <c r="O66" s="107"/>
      <c r="P66" s="83"/>
      <c r="Q66" s="39"/>
      <c r="R66" s="9"/>
      <c r="S66" s="9"/>
      <c r="U66" s="62"/>
      <c r="V66" s="63"/>
      <c r="W66" s="63"/>
      <c r="X66" s="198"/>
      <c r="Y66" s="63"/>
      <c r="Z66" s="202"/>
      <c r="AA66" s="64"/>
      <c r="AB66" s="31"/>
      <c r="AC66" s="31"/>
      <c r="AD66" s="31"/>
    </row>
    <row r="67" spans="1:30" x14ac:dyDescent="0.25">
      <c r="A67" s="2"/>
      <c r="B67" s="42"/>
      <c r="C67" s="42"/>
      <c r="D67" s="42"/>
      <c r="E67" s="86"/>
      <c r="F67" s="106"/>
      <c r="G67" s="106"/>
      <c r="H67" s="106"/>
      <c r="I67" s="82"/>
      <c r="J67" s="58"/>
      <c r="K67" s="153" t="s">
        <v>127</v>
      </c>
      <c r="L67" s="107" t="s">
        <v>46</v>
      </c>
      <c r="M67" s="153" t="s">
        <v>127</v>
      </c>
      <c r="N67" s="107" t="s">
        <v>46</v>
      </c>
      <c r="O67" s="107"/>
      <c r="P67" s="83"/>
      <c r="Q67" s="1"/>
      <c r="R67" s="11"/>
      <c r="S67" s="11"/>
      <c r="T67" s="211"/>
      <c r="U67" s="62"/>
      <c r="V67" s="63"/>
      <c r="W67" s="63"/>
      <c r="X67" s="198"/>
      <c r="Y67" s="63"/>
      <c r="Z67" s="202"/>
      <c r="AA67" s="64"/>
      <c r="AB67" s="31"/>
      <c r="AC67" s="31"/>
      <c r="AD67" s="31"/>
    </row>
    <row r="68" spans="1:30" x14ac:dyDescent="0.25">
      <c r="A68" s="2"/>
      <c r="B68" s="87"/>
      <c r="C68" s="87"/>
      <c r="D68" s="87"/>
      <c r="E68" s="88"/>
      <c r="F68" s="106"/>
      <c r="G68" s="106"/>
      <c r="H68" s="106"/>
      <c r="I68" s="82"/>
      <c r="J68" s="4" t="s">
        <v>126</v>
      </c>
      <c r="K68" s="58"/>
      <c r="L68" s="58"/>
      <c r="M68" s="58"/>
      <c r="N68" s="58"/>
      <c r="O68" s="58"/>
      <c r="P68" s="182"/>
      <c r="Q68" s="106"/>
      <c r="R68" s="1"/>
      <c r="S68" s="1"/>
      <c r="U68" s="62"/>
      <c r="V68" s="63"/>
      <c r="W68" s="63"/>
      <c r="X68" s="198"/>
      <c r="Y68" s="63"/>
      <c r="Z68" s="202"/>
      <c r="AA68" s="64"/>
      <c r="AB68" s="31"/>
      <c r="AC68" s="31"/>
      <c r="AD68" s="31"/>
    </row>
    <row r="69" spans="1:30" x14ac:dyDescent="0.25">
      <c r="A69" s="1"/>
      <c r="B69" s="81"/>
      <c r="C69" s="81"/>
      <c r="D69" s="106"/>
      <c r="E69" s="82"/>
      <c r="F69" s="43"/>
      <c r="G69" s="43"/>
      <c r="H69" s="43"/>
      <c r="I69" s="82"/>
      <c r="J69" s="105" t="s">
        <v>60</v>
      </c>
      <c r="K69" s="4">
        <v>1.1299999999999999E-2</v>
      </c>
      <c r="L69" s="4">
        <v>0.05</v>
      </c>
      <c r="M69" s="58">
        <v>-5.3800000000000001E-2</v>
      </c>
      <c r="N69" s="4">
        <v>-0.15</v>
      </c>
      <c r="O69" s="58"/>
      <c r="P69" s="182"/>
      <c r="Q69" s="106"/>
      <c r="R69" s="21"/>
      <c r="S69" s="21"/>
      <c r="U69" s="62"/>
      <c r="V69" s="63"/>
      <c r="W69" s="63"/>
      <c r="X69" s="198"/>
      <c r="Y69" s="63"/>
      <c r="Z69" s="202"/>
      <c r="AA69" s="64"/>
      <c r="AB69" s="31"/>
      <c r="AC69" s="31"/>
      <c r="AD69" s="31"/>
    </row>
    <row r="70" spans="1:30" x14ac:dyDescent="0.25">
      <c r="A70" s="1"/>
      <c r="B70" s="81"/>
      <c r="C70" s="81"/>
      <c r="D70" s="106"/>
      <c r="E70" s="82"/>
      <c r="J70" s="105" t="s">
        <v>61</v>
      </c>
      <c r="K70" s="4">
        <v>0</v>
      </c>
      <c r="L70" s="4">
        <v>-2.4</v>
      </c>
      <c r="M70" s="58">
        <v>5.3845999999999998</v>
      </c>
      <c r="N70" s="8">
        <v>13.75</v>
      </c>
      <c r="O70" s="58"/>
      <c r="P70" s="182"/>
      <c r="Q70" s="106"/>
      <c r="R70" s="1"/>
      <c r="S70" s="1"/>
      <c r="U70" s="62"/>
      <c r="V70" s="63"/>
      <c r="W70" s="63"/>
      <c r="X70" s="198"/>
      <c r="Y70" s="63"/>
      <c r="Z70" s="202"/>
      <c r="AA70" s="64"/>
      <c r="AB70" s="31"/>
      <c r="AC70" s="31"/>
      <c r="AD70" s="31"/>
    </row>
    <row r="71" spans="1:30" x14ac:dyDescent="0.25">
      <c r="A71" s="1"/>
      <c r="B71" s="81"/>
      <c r="C71" s="81"/>
      <c r="D71" s="106"/>
      <c r="E71" s="82"/>
      <c r="J71" s="169"/>
      <c r="K71" s="179"/>
      <c r="L71" s="176"/>
      <c r="M71" s="176"/>
      <c r="N71" s="176"/>
      <c r="O71" s="176"/>
      <c r="P71" s="172"/>
      <c r="Q71" s="183"/>
      <c r="R71" s="9"/>
      <c r="S71" s="9"/>
      <c r="U71" s="62"/>
      <c r="V71" s="63"/>
      <c r="W71" s="63"/>
      <c r="X71" s="198"/>
      <c r="Y71" s="63"/>
      <c r="Z71" s="202"/>
      <c r="AA71" s="64"/>
      <c r="AB71" s="31"/>
      <c r="AC71" s="31"/>
      <c r="AD71" s="31"/>
    </row>
    <row r="72" spans="1:30" x14ac:dyDescent="0.25">
      <c r="A72" s="1"/>
      <c r="B72" s="81"/>
      <c r="C72" s="81"/>
      <c r="D72" s="106"/>
      <c r="E72" s="82"/>
      <c r="J72" s="5" t="s">
        <v>142</v>
      </c>
      <c r="K72" s="80"/>
      <c r="Q72" s="39"/>
      <c r="R72" s="9"/>
      <c r="S72" s="9"/>
      <c r="U72" s="62"/>
      <c r="V72" s="63"/>
      <c r="W72" s="63"/>
      <c r="X72" s="198"/>
      <c r="Y72" s="63"/>
      <c r="Z72" s="202"/>
      <c r="AA72" s="64"/>
      <c r="AB72" s="31"/>
      <c r="AC72" s="31"/>
      <c r="AD72" s="31"/>
    </row>
    <row r="73" spans="1:30" ht="30" x14ac:dyDescent="0.25">
      <c r="A73" s="1"/>
      <c r="B73" s="81"/>
      <c r="C73" s="81"/>
      <c r="D73" s="106"/>
      <c r="E73" s="82"/>
      <c r="J73" s="58"/>
      <c r="K73" s="114" t="s">
        <v>75</v>
      </c>
      <c r="L73" s="510" t="s">
        <v>144</v>
      </c>
      <c r="M73" s="510"/>
      <c r="N73" s="165"/>
      <c r="O73" s="165"/>
      <c r="P73" s="194"/>
      <c r="Q73" s="1"/>
      <c r="R73" s="11"/>
      <c r="S73" s="11"/>
      <c r="T73" s="211"/>
      <c r="U73" s="62"/>
      <c r="V73" s="63"/>
      <c r="W73" s="63"/>
      <c r="X73" s="198"/>
      <c r="Y73" s="63"/>
      <c r="Z73" s="202"/>
      <c r="AA73" s="64"/>
      <c r="AB73" s="31"/>
      <c r="AC73" s="31"/>
      <c r="AD73" s="31"/>
    </row>
    <row r="74" spans="1:30" x14ac:dyDescent="0.25">
      <c r="A74" s="3"/>
      <c r="B74" s="43"/>
      <c r="C74" s="43"/>
      <c r="D74" s="43"/>
      <c r="E74" s="82"/>
      <c r="J74" s="58"/>
      <c r="K74" s="114"/>
      <c r="L74" s="4" t="s">
        <v>62</v>
      </c>
      <c r="M74" s="4" t="s">
        <v>143</v>
      </c>
      <c r="N74" s="4"/>
      <c r="O74" s="4"/>
      <c r="Q74" s="106"/>
      <c r="R74" s="1"/>
      <c r="S74" s="1"/>
      <c r="U74" s="62"/>
      <c r="V74" s="63"/>
      <c r="W74" s="63"/>
      <c r="X74" s="198"/>
      <c r="Y74" s="63"/>
      <c r="Z74" s="202"/>
      <c r="AA74" s="64"/>
      <c r="AB74" s="31"/>
      <c r="AC74" s="31"/>
      <c r="AD74" s="31"/>
    </row>
    <row r="75" spans="1:30" x14ac:dyDescent="0.25">
      <c r="A75" s="1"/>
      <c r="J75" s="4" t="s">
        <v>126</v>
      </c>
      <c r="K75" s="58"/>
      <c r="L75" s="4"/>
      <c r="M75" s="58"/>
      <c r="N75" s="4"/>
      <c r="O75" s="4"/>
      <c r="Q75" s="106"/>
      <c r="R75" s="1"/>
      <c r="S75" s="1"/>
      <c r="U75" s="62"/>
      <c r="V75" s="63"/>
      <c r="W75" s="63"/>
      <c r="X75" s="198"/>
      <c r="Y75" s="63"/>
      <c r="Z75" s="202"/>
      <c r="AA75" s="64"/>
      <c r="AB75" s="31"/>
      <c r="AC75" s="31"/>
      <c r="AD75" s="31"/>
    </row>
    <row r="76" spans="1:30" x14ac:dyDescent="0.25">
      <c r="A76" s="1"/>
      <c r="J76" s="107" t="s">
        <v>60</v>
      </c>
      <c r="K76" s="58">
        <v>0.01</v>
      </c>
      <c r="L76" s="59">
        <v>5.0000000000000001E-3</v>
      </c>
      <c r="M76" s="58">
        <v>1.7500000000000002E-2</v>
      </c>
      <c r="N76" s="58"/>
      <c r="O76" s="58"/>
      <c r="Q76" s="106"/>
      <c r="R76" s="1"/>
      <c r="S76" s="1"/>
      <c r="U76" s="62"/>
      <c r="V76" s="63"/>
      <c r="W76" s="63"/>
      <c r="X76" s="198"/>
      <c r="Y76" s="63"/>
      <c r="Z76" s="202"/>
      <c r="AA76" s="64"/>
      <c r="AB76" s="31"/>
      <c r="AC76" s="31"/>
      <c r="AD76" s="31"/>
    </row>
    <row r="77" spans="1:30" x14ac:dyDescent="0.25">
      <c r="J77" s="107" t="s">
        <v>61</v>
      </c>
      <c r="K77" s="58">
        <v>0</v>
      </c>
      <c r="L77" s="59">
        <v>0</v>
      </c>
      <c r="M77" s="58">
        <v>-0.75</v>
      </c>
      <c r="N77" s="58"/>
      <c r="O77" s="58"/>
      <c r="Q77" s="183"/>
      <c r="R77" s="9"/>
      <c r="S77" s="9"/>
      <c r="U77" s="62"/>
      <c r="V77" s="63"/>
      <c r="W77" s="63"/>
      <c r="X77" s="198"/>
      <c r="Y77" s="63"/>
      <c r="Z77" s="202"/>
      <c r="AA77" s="64"/>
      <c r="AB77" s="31"/>
      <c r="AC77" s="31"/>
      <c r="AD77" s="31"/>
    </row>
    <row r="78" spans="1:30" ht="28.5" customHeight="1" x14ac:dyDescent="0.25">
      <c r="J78" s="173"/>
      <c r="K78" s="170"/>
      <c r="L78" s="180"/>
      <c r="M78" s="170"/>
      <c r="N78" s="170"/>
      <c r="O78" s="170"/>
      <c r="P78" s="172"/>
      <c r="Q78" s="39"/>
      <c r="R78" s="9"/>
      <c r="S78" s="9"/>
      <c r="U78" s="62"/>
      <c r="V78" s="63"/>
      <c r="W78" s="63"/>
      <c r="X78" s="198"/>
      <c r="Y78" s="63"/>
      <c r="Z78" s="202"/>
      <c r="AA78" s="64"/>
      <c r="AB78" s="31"/>
      <c r="AC78" s="31"/>
      <c r="AD78" s="31"/>
    </row>
    <row r="79" spans="1:30" ht="33" customHeight="1" x14ac:dyDescent="0.25">
      <c r="J79" s="5" t="s">
        <v>202</v>
      </c>
      <c r="L79" s="81"/>
      <c r="M79" s="106"/>
      <c r="N79" s="106"/>
      <c r="O79" s="106"/>
      <c r="P79" s="82"/>
      <c r="Q79" s="1"/>
      <c r="R79" s="22"/>
      <c r="S79" s="22"/>
      <c r="T79" s="208"/>
      <c r="U79" s="62"/>
      <c r="V79" s="63"/>
      <c r="W79" s="63"/>
      <c r="X79" s="198"/>
      <c r="Y79" s="63"/>
      <c r="Z79" s="202"/>
      <c r="AA79" s="64"/>
      <c r="AB79" s="31"/>
      <c r="AC79" s="31"/>
      <c r="AD79" s="31"/>
    </row>
    <row r="80" spans="1:30" x14ac:dyDescent="0.25">
      <c r="J80" s="58"/>
      <c r="K80" s="511" t="s">
        <v>203</v>
      </c>
      <c r="L80" s="511"/>
      <c r="M80" s="511"/>
      <c r="N80" s="511" t="s">
        <v>204</v>
      </c>
      <c r="O80" s="511"/>
      <c r="P80" s="511"/>
      <c r="Q80" s="106"/>
      <c r="R80" s="1"/>
      <c r="S80" s="1"/>
      <c r="U80" s="62"/>
      <c r="V80" s="63"/>
      <c r="W80" s="63"/>
      <c r="X80" s="198"/>
      <c r="Y80" s="63"/>
      <c r="Z80" s="202"/>
      <c r="AA80" s="64"/>
      <c r="AB80" s="31"/>
      <c r="AC80" s="31"/>
      <c r="AD80" s="31"/>
    </row>
    <row r="81" spans="6:30" x14ac:dyDescent="0.25">
      <c r="J81" s="58"/>
      <c r="K81" s="4" t="s">
        <v>62</v>
      </c>
      <c r="L81" s="4" t="s">
        <v>70</v>
      </c>
      <c r="M81" s="4" t="s">
        <v>46</v>
      </c>
      <c r="N81" s="4" t="s">
        <v>62</v>
      </c>
      <c r="O81" s="4" t="s">
        <v>70</v>
      </c>
      <c r="P81" s="38" t="s">
        <v>46</v>
      </c>
      <c r="Q81" s="106"/>
      <c r="R81" s="1"/>
      <c r="S81" s="1"/>
      <c r="U81" s="62"/>
      <c r="V81" s="63"/>
      <c r="W81" s="63"/>
      <c r="X81" s="198"/>
      <c r="Y81" s="63"/>
      <c r="Z81" s="202"/>
      <c r="AA81" s="64"/>
      <c r="AB81" s="31"/>
      <c r="AC81" s="31"/>
      <c r="AD81" s="31"/>
    </row>
    <row r="82" spans="6:30" x14ac:dyDescent="0.25">
      <c r="J82" s="4" t="s">
        <v>126</v>
      </c>
      <c r="K82" s="58"/>
      <c r="L82" s="58"/>
      <c r="M82" s="58"/>
      <c r="N82" s="4"/>
      <c r="O82" s="58"/>
      <c r="P82" s="182"/>
      <c r="Q82" s="106"/>
      <c r="R82" s="1"/>
      <c r="S82" s="1"/>
      <c r="U82" s="62"/>
      <c r="V82" s="63"/>
      <c r="W82" s="63"/>
      <c r="X82" s="198"/>
      <c r="Y82" s="63"/>
      <c r="Z82" s="202"/>
      <c r="AA82" s="64"/>
      <c r="AB82" s="31"/>
      <c r="AC82" s="31"/>
      <c r="AD82" s="31"/>
    </row>
    <row r="83" spans="6:30" x14ac:dyDescent="0.25">
      <c r="J83" s="153" t="s">
        <v>60</v>
      </c>
      <c r="K83" s="58">
        <v>5</v>
      </c>
      <c r="L83" s="58">
        <v>0.51949999999999996</v>
      </c>
      <c r="M83" s="58">
        <v>0.40539999999999998</v>
      </c>
      <c r="N83" s="58">
        <v>0.31909999999999999</v>
      </c>
      <c r="O83" s="4">
        <v>1.4815</v>
      </c>
      <c r="P83" s="38">
        <v>0.6522</v>
      </c>
      <c r="Q83" s="183"/>
      <c r="R83" s="1"/>
      <c r="S83" s="1"/>
      <c r="T83" s="208"/>
      <c r="U83" s="62"/>
      <c r="V83" s="63"/>
      <c r="W83" s="63"/>
      <c r="X83" s="198"/>
      <c r="Y83" s="63"/>
      <c r="Z83" s="202"/>
      <c r="AA83" s="64"/>
      <c r="AB83" s="31"/>
      <c r="AC83" s="31"/>
      <c r="AD83" s="31"/>
    </row>
    <row r="84" spans="6:30" x14ac:dyDescent="0.25">
      <c r="J84" s="153" t="s">
        <v>61</v>
      </c>
      <c r="K84" s="58">
        <v>0</v>
      </c>
      <c r="L84" s="58">
        <v>0.26879999999999998</v>
      </c>
      <c r="M84" s="58">
        <v>0.36349999999999999</v>
      </c>
      <c r="N84" s="58">
        <v>0</v>
      </c>
      <c r="O84" s="4">
        <v>-1.0926</v>
      </c>
      <c r="P84" s="38">
        <v>-8.9099999999999999E-2</v>
      </c>
      <c r="Q84" s="39"/>
      <c r="R84" s="9"/>
      <c r="S84" s="508"/>
      <c r="T84" s="508"/>
      <c r="U84" s="62"/>
      <c r="V84" s="63"/>
      <c r="W84" s="63"/>
      <c r="X84" s="198"/>
      <c r="Y84" s="63"/>
      <c r="Z84" s="202"/>
      <c r="AA84" s="64"/>
      <c r="AB84" s="31"/>
      <c r="AC84" s="31"/>
      <c r="AD84" s="31"/>
    </row>
    <row r="85" spans="6:30" x14ac:dyDescent="0.25">
      <c r="J85" s="5" t="s">
        <v>202</v>
      </c>
      <c r="K85" s="3"/>
      <c r="L85" s="135"/>
      <c r="M85" s="135"/>
      <c r="N85" s="135"/>
      <c r="O85" s="135"/>
      <c r="P85" s="83"/>
      <c r="Q85" s="1"/>
      <c r="R85" s="22"/>
      <c r="S85" s="22"/>
      <c r="T85" s="208"/>
      <c r="U85" s="62"/>
      <c r="V85" s="63"/>
      <c r="W85" s="63"/>
      <c r="X85" s="198"/>
      <c r="Y85" s="63"/>
      <c r="Z85" s="202"/>
      <c r="AA85" s="64"/>
      <c r="AB85" s="31"/>
      <c r="AC85" s="31"/>
      <c r="AD85" s="31"/>
    </row>
    <row r="86" spans="6:30" x14ac:dyDescent="0.25">
      <c r="J86" s="58"/>
      <c r="K86" s="511" t="s">
        <v>195</v>
      </c>
      <c r="L86" s="511"/>
      <c r="M86" s="511"/>
      <c r="N86" s="511" t="s">
        <v>205</v>
      </c>
      <c r="O86" s="511"/>
      <c r="P86" s="511"/>
      <c r="Q86" s="106"/>
      <c r="R86" s="1"/>
      <c r="S86" s="1"/>
      <c r="U86" s="62"/>
      <c r="V86" s="63"/>
      <c r="W86" s="63"/>
      <c r="X86" s="198"/>
      <c r="Y86" s="63"/>
      <c r="Z86" s="202"/>
      <c r="AA86" s="64"/>
      <c r="AB86" s="31"/>
      <c r="AC86" s="31"/>
      <c r="AD86" s="31"/>
    </row>
    <row r="87" spans="6:30" x14ac:dyDescent="0.25">
      <c r="J87" s="58"/>
      <c r="K87" s="4" t="s">
        <v>62</v>
      </c>
      <c r="L87" s="4" t="s">
        <v>70</v>
      </c>
      <c r="M87" s="4" t="s">
        <v>46</v>
      </c>
      <c r="N87" s="4" t="s">
        <v>62</v>
      </c>
      <c r="O87" s="4" t="s">
        <v>70</v>
      </c>
      <c r="P87" s="38" t="s">
        <v>46</v>
      </c>
      <c r="Q87" s="106"/>
      <c r="R87" s="1"/>
      <c r="S87" s="1"/>
      <c r="U87" s="62"/>
      <c r="V87" s="63"/>
      <c r="W87" s="63"/>
      <c r="X87" s="198"/>
      <c r="Y87" s="63"/>
      <c r="Z87" s="202"/>
      <c r="AA87" s="64"/>
      <c r="AB87" s="31"/>
      <c r="AC87" s="31"/>
      <c r="AD87" s="31"/>
    </row>
    <row r="88" spans="6:30" x14ac:dyDescent="0.25">
      <c r="J88" s="4" t="s">
        <v>126</v>
      </c>
      <c r="K88" s="58"/>
      <c r="L88" s="58"/>
      <c r="M88" s="4"/>
      <c r="N88" s="58"/>
      <c r="O88" s="58"/>
      <c r="P88" s="182"/>
      <c r="Q88" s="183"/>
      <c r="R88" s="9"/>
      <c r="S88" s="9"/>
      <c r="U88" s="62"/>
      <c r="V88" s="63"/>
      <c r="W88" s="63"/>
      <c r="X88" s="198"/>
      <c r="Y88" s="63"/>
      <c r="Z88" s="202"/>
      <c r="AA88" s="64"/>
      <c r="AB88" s="31"/>
      <c r="AC88" s="31"/>
      <c r="AD88" s="31"/>
    </row>
    <row r="89" spans="6:30" x14ac:dyDescent="0.25">
      <c r="J89" s="153" t="s">
        <v>60</v>
      </c>
      <c r="K89" s="58">
        <v>0.25209999999999999</v>
      </c>
      <c r="L89" s="58">
        <v>2.2222</v>
      </c>
      <c r="M89" s="58">
        <v>0.66669999999999996</v>
      </c>
      <c r="N89" s="4">
        <v>0.2419</v>
      </c>
      <c r="O89" s="4">
        <v>1.9048</v>
      </c>
      <c r="P89" s="38">
        <v>0.71430000000000005</v>
      </c>
      <c r="Q89" s="39"/>
      <c r="R89" s="9"/>
      <c r="S89" s="25"/>
      <c r="T89" s="162"/>
      <c r="U89" s="62"/>
      <c r="V89" s="63"/>
      <c r="W89" s="63"/>
      <c r="X89" s="198"/>
      <c r="Y89" s="63"/>
      <c r="Z89" s="202"/>
      <c r="AA89" s="64"/>
      <c r="AB89" s="31"/>
      <c r="AC89" s="31"/>
      <c r="AD89" s="31"/>
    </row>
    <row r="90" spans="6:30" x14ac:dyDescent="0.25">
      <c r="J90" s="153" t="s">
        <v>61</v>
      </c>
      <c r="K90" s="58">
        <v>0</v>
      </c>
      <c r="L90" s="58">
        <v>-2.3443999999999998</v>
      </c>
      <c r="M90" s="4">
        <v>-0.21329999999999999</v>
      </c>
      <c r="N90" s="58">
        <v>0</v>
      </c>
      <c r="O90" s="4">
        <v>-2.0619000000000001</v>
      </c>
      <c r="P90" s="38">
        <v>-0.3357</v>
      </c>
      <c r="Q90" s="1"/>
      <c r="R90" s="22"/>
      <c r="S90" s="22"/>
      <c r="T90" s="208"/>
      <c r="U90" s="62"/>
      <c r="V90" s="63"/>
      <c r="W90" s="63"/>
      <c r="X90" s="198"/>
      <c r="Y90" s="63"/>
      <c r="Z90" s="202"/>
      <c r="AA90" s="64"/>
      <c r="AB90" s="31"/>
      <c r="AC90" s="31"/>
      <c r="AD90" s="31"/>
    </row>
    <row r="91" spans="6:30" x14ac:dyDescent="0.25">
      <c r="J91" s="174"/>
      <c r="K91" s="169"/>
      <c r="L91" s="176"/>
      <c r="M91" s="176"/>
      <c r="N91" s="176"/>
      <c r="O91" s="176"/>
      <c r="P91" s="172"/>
      <c r="Q91" s="106"/>
      <c r="R91" s="1"/>
      <c r="S91" s="1"/>
      <c r="U91" s="62"/>
      <c r="V91" s="63"/>
      <c r="W91" s="63"/>
      <c r="X91" s="198"/>
      <c r="Y91" s="63"/>
      <c r="Z91" s="202"/>
      <c r="AA91" s="64"/>
      <c r="AB91" s="31"/>
      <c r="AC91" s="31"/>
      <c r="AD91" s="31"/>
    </row>
    <row r="92" spans="6:30" x14ac:dyDescent="0.25">
      <c r="J92" s="23" t="s">
        <v>145</v>
      </c>
      <c r="K92" s="136"/>
      <c r="L92" s="106"/>
      <c r="M92" s="106"/>
      <c r="N92" s="106"/>
      <c r="O92" s="106"/>
      <c r="P92" s="82"/>
      <c r="Q92" s="106"/>
      <c r="R92" s="1"/>
      <c r="S92" s="1"/>
      <c r="U92" s="62"/>
      <c r="V92" s="63"/>
      <c r="W92" s="63"/>
      <c r="X92" s="198"/>
      <c r="Y92" s="63"/>
      <c r="Z92" s="202"/>
      <c r="AA92" s="64"/>
      <c r="AB92" s="31"/>
      <c r="AC92" s="31"/>
      <c r="AD92" s="31"/>
    </row>
    <row r="93" spans="6:30" x14ac:dyDescent="0.25">
      <c r="J93" s="3" t="s">
        <v>126</v>
      </c>
      <c r="K93" s="3"/>
      <c r="L93" s="3"/>
      <c r="M93" s="3"/>
      <c r="N93" s="3"/>
      <c r="O93" s="3"/>
      <c r="P93" s="82"/>
      <c r="Q93" s="106"/>
      <c r="R93" s="1"/>
      <c r="S93" s="1"/>
      <c r="T93" s="208"/>
      <c r="U93" s="62"/>
      <c r="V93" s="63"/>
      <c r="W93" s="63"/>
      <c r="X93" s="198"/>
      <c r="Y93" s="63"/>
      <c r="Z93" s="202"/>
      <c r="AA93" s="64"/>
      <c r="AB93" s="31"/>
      <c r="AC93" s="31"/>
      <c r="AD93" s="31"/>
    </row>
    <row r="94" spans="6:30" x14ac:dyDescent="0.25">
      <c r="F94" s="106"/>
      <c r="G94" s="106"/>
      <c r="H94" s="106"/>
      <c r="I94" s="82"/>
      <c r="J94" s="43" t="s">
        <v>60</v>
      </c>
      <c r="K94" s="181">
        <v>0.06</v>
      </c>
      <c r="L94" s="137"/>
      <c r="M94" s="137"/>
      <c r="N94" s="137"/>
      <c r="O94" s="137"/>
      <c r="P94" s="82"/>
      <c r="Q94" s="183"/>
      <c r="R94" s="9"/>
      <c r="S94" s="9"/>
      <c r="U94" s="62"/>
      <c r="V94" s="63"/>
      <c r="W94" s="63"/>
      <c r="X94" s="198"/>
      <c r="Y94" s="63"/>
      <c r="Z94" s="202"/>
      <c r="AA94" s="64"/>
      <c r="AB94" s="31"/>
      <c r="AC94" s="31"/>
      <c r="AD94" s="31"/>
    </row>
    <row r="95" spans="6:30" x14ac:dyDescent="0.25">
      <c r="F95" s="89"/>
      <c r="G95" s="89"/>
      <c r="H95" s="89"/>
      <c r="I95" s="90"/>
      <c r="J95" s="43" t="s">
        <v>61</v>
      </c>
      <c r="K95" s="181">
        <v>-5</v>
      </c>
      <c r="L95" s="137"/>
      <c r="M95" s="137"/>
      <c r="N95" s="137"/>
      <c r="O95" s="137"/>
      <c r="P95" s="82"/>
      <c r="Q95" s="39"/>
      <c r="R95" s="9"/>
      <c r="S95" s="9"/>
      <c r="U95" s="62"/>
      <c r="V95" s="63"/>
      <c r="W95" s="63"/>
      <c r="X95" s="198"/>
      <c r="Y95" s="63"/>
      <c r="Z95" s="202"/>
      <c r="AA95" s="64"/>
      <c r="AB95" s="31"/>
      <c r="AC95" s="31"/>
      <c r="AD95" s="31"/>
    </row>
    <row r="96" spans="6:30" x14ac:dyDescent="0.25">
      <c r="F96" s="89"/>
      <c r="G96" s="89"/>
      <c r="H96" s="89"/>
      <c r="I96" s="90"/>
      <c r="J96" s="175"/>
      <c r="K96" s="176"/>
      <c r="L96" s="176"/>
      <c r="M96" s="176"/>
      <c r="N96" s="176"/>
      <c r="O96" s="176"/>
      <c r="P96" s="172"/>
      <c r="Q96" s="39"/>
      <c r="R96" s="53"/>
      <c r="S96" s="508"/>
      <c r="T96" s="508"/>
      <c r="U96" s="62"/>
      <c r="V96" s="63"/>
      <c r="W96" s="63"/>
      <c r="X96" s="198"/>
      <c r="Y96" s="63"/>
      <c r="Z96" s="202"/>
      <c r="AA96" s="64"/>
      <c r="AB96" s="31"/>
      <c r="AC96" s="31"/>
      <c r="AD96" s="31"/>
    </row>
    <row r="97" spans="1:30" x14ac:dyDescent="0.25">
      <c r="F97" s="89"/>
      <c r="G97" s="89"/>
      <c r="H97" s="89"/>
      <c r="I97" s="90"/>
      <c r="K97" s="81"/>
      <c r="L97" s="81"/>
      <c r="M97" s="106"/>
      <c r="N97" s="106"/>
      <c r="O97" s="106"/>
      <c r="P97" s="82"/>
      <c r="Q97" s="1"/>
      <c r="R97" s="22"/>
      <c r="S97" s="22"/>
      <c r="T97" s="208"/>
      <c r="U97" s="62"/>
      <c r="V97" s="63"/>
      <c r="W97" s="63"/>
      <c r="X97" s="198"/>
      <c r="Y97" s="63"/>
      <c r="Z97" s="202"/>
      <c r="AA97" s="64"/>
      <c r="AB97" s="31"/>
      <c r="AC97" s="31"/>
      <c r="AD97" s="31"/>
    </row>
    <row r="98" spans="1:30" x14ac:dyDescent="0.25">
      <c r="F98" s="87"/>
      <c r="G98" s="87"/>
      <c r="H98" s="87"/>
      <c r="I98" s="88"/>
      <c r="K98" s="81"/>
      <c r="L98" s="81"/>
      <c r="M98" s="106"/>
      <c r="N98" s="106"/>
      <c r="O98" s="106"/>
      <c r="P98" s="82"/>
      <c r="Q98" s="106"/>
      <c r="R98" s="1"/>
      <c r="S98" s="1"/>
      <c r="U98" s="62"/>
      <c r="V98" s="63"/>
      <c r="W98" s="63"/>
      <c r="X98" s="198"/>
      <c r="Y98" s="63"/>
      <c r="Z98" s="202"/>
      <c r="AA98" s="64"/>
      <c r="AB98" s="31"/>
      <c r="AC98" s="31"/>
      <c r="AD98" s="31"/>
    </row>
    <row r="99" spans="1:30" x14ac:dyDescent="0.25">
      <c r="A99" s="1"/>
      <c r="B99" s="81"/>
      <c r="C99" s="81"/>
      <c r="D99" s="106"/>
      <c r="E99" s="82"/>
      <c r="K99" s="81"/>
      <c r="L99" s="81"/>
      <c r="M99" s="106"/>
      <c r="N99" s="106"/>
      <c r="O99" s="106"/>
      <c r="P99" s="82"/>
      <c r="Q99" s="106"/>
      <c r="R99" s="1"/>
      <c r="S99" s="1"/>
      <c r="U99" s="62"/>
      <c r="V99" s="63"/>
      <c r="W99" s="63"/>
      <c r="X99" s="198"/>
      <c r="Y99" s="63"/>
      <c r="Z99" s="202"/>
      <c r="AA99" s="64"/>
      <c r="AB99" s="31"/>
      <c r="AC99" s="31"/>
      <c r="AD99" s="31"/>
    </row>
    <row r="100" spans="1:30" x14ac:dyDescent="0.25">
      <c r="A100" s="42"/>
      <c r="B100" s="89"/>
      <c r="C100" s="89"/>
      <c r="D100" s="89"/>
      <c r="E100" s="90"/>
      <c r="K100" s="81"/>
      <c r="L100" s="81"/>
      <c r="M100" s="106"/>
      <c r="N100" s="106"/>
      <c r="O100" s="106"/>
      <c r="P100" s="82"/>
      <c r="Q100" s="106"/>
      <c r="R100" s="1"/>
      <c r="S100" s="1"/>
      <c r="T100" s="208"/>
      <c r="U100" s="62"/>
      <c r="V100" s="63"/>
      <c r="W100" s="63"/>
      <c r="X100" s="198"/>
      <c r="Y100" s="63"/>
      <c r="Z100" s="202"/>
      <c r="AA100" s="64"/>
      <c r="AB100" s="31"/>
      <c r="AC100" s="31"/>
      <c r="AD100" s="31"/>
    </row>
    <row r="101" spans="1:30" x14ac:dyDescent="0.25">
      <c r="A101" s="42"/>
      <c r="B101" s="89"/>
      <c r="C101" s="89"/>
      <c r="D101" s="89"/>
      <c r="E101" s="90"/>
      <c r="K101" s="81"/>
      <c r="L101" s="81"/>
      <c r="M101" s="106"/>
      <c r="N101" s="106"/>
      <c r="O101" s="106"/>
      <c r="P101" s="82"/>
      <c r="Q101" s="1"/>
      <c r="R101" s="1"/>
      <c r="S101" s="6"/>
      <c r="U101" s="62"/>
      <c r="V101" s="63"/>
      <c r="W101" s="63"/>
      <c r="X101" s="198"/>
      <c r="Y101" s="63"/>
      <c r="Z101" s="202"/>
      <c r="AA101" s="64"/>
      <c r="AB101" s="31"/>
      <c r="AC101" s="31"/>
      <c r="AD101" s="31"/>
    </row>
    <row r="102" spans="1:30" x14ac:dyDescent="0.25">
      <c r="A102" s="42"/>
      <c r="B102" s="89"/>
      <c r="C102" s="89"/>
      <c r="D102" s="89"/>
      <c r="E102" s="90"/>
      <c r="K102" s="81"/>
      <c r="L102" s="81"/>
      <c r="M102" s="106"/>
      <c r="N102" s="106"/>
      <c r="O102" s="106"/>
      <c r="P102" s="82"/>
      <c r="R102" s="9"/>
      <c r="S102" s="9"/>
      <c r="U102" s="62"/>
      <c r="V102" s="63"/>
      <c r="W102" s="63"/>
      <c r="X102" s="198"/>
      <c r="Y102" s="63"/>
      <c r="Z102" s="202"/>
      <c r="AA102" s="64"/>
      <c r="AB102" s="31"/>
      <c r="AC102" s="31"/>
      <c r="AD102" s="31"/>
    </row>
    <row r="103" spans="1:30" x14ac:dyDescent="0.25">
      <c r="A103" s="2"/>
      <c r="B103" s="87"/>
      <c r="C103" s="87"/>
      <c r="D103" s="87"/>
      <c r="E103" s="88"/>
      <c r="F103" s="43"/>
      <c r="G103" s="43"/>
      <c r="H103" s="43"/>
      <c r="I103" s="82"/>
      <c r="K103" s="81"/>
      <c r="L103" s="81"/>
      <c r="M103" s="106"/>
      <c r="N103" s="106"/>
      <c r="O103" s="106"/>
      <c r="P103" s="82"/>
      <c r="R103" s="9"/>
      <c r="S103" s="9"/>
      <c r="U103" s="62"/>
      <c r="V103" s="63"/>
      <c r="W103" s="63"/>
      <c r="X103" s="198"/>
      <c r="Y103" s="63"/>
      <c r="Z103" s="202"/>
      <c r="AA103" s="64"/>
      <c r="AB103" s="31"/>
      <c r="AC103" s="31"/>
      <c r="AD103" s="31"/>
    </row>
    <row r="104" spans="1:30" x14ac:dyDescent="0.25">
      <c r="F104" s="43"/>
      <c r="G104" s="43"/>
      <c r="H104" s="43"/>
      <c r="I104" s="82"/>
      <c r="K104" s="81"/>
      <c r="L104" s="81"/>
      <c r="M104" s="106"/>
      <c r="N104" s="106"/>
      <c r="O104" s="106"/>
      <c r="P104" s="82"/>
      <c r="R104" s="9"/>
      <c r="S104" s="9"/>
      <c r="U104" s="62"/>
      <c r="V104" s="63"/>
      <c r="W104" s="63"/>
      <c r="X104" s="198"/>
      <c r="Y104" s="63"/>
      <c r="Z104" s="202"/>
      <c r="AA104" s="64"/>
      <c r="AB104" s="31"/>
      <c r="AC104" s="31"/>
      <c r="AD104" s="31"/>
    </row>
    <row r="105" spans="1:30" x14ac:dyDescent="0.25">
      <c r="R105" s="9"/>
      <c r="S105" s="9"/>
      <c r="U105" s="62"/>
      <c r="V105" s="63"/>
      <c r="W105" s="63"/>
      <c r="X105" s="198"/>
      <c r="Y105" s="63"/>
      <c r="Z105" s="202"/>
      <c r="AA105" s="64"/>
      <c r="AB105" s="31"/>
      <c r="AC105" s="31"/>
      <c r="AD105" s="31"/>
    </row>
    <row r="106" spans="1:30" x14ac:dyDescent="0.25">
      <c r="R106" s="9"/>
      <c r="S106" s="9"/>
      <c r="U106" s="62"/>
      <c r="V106" s="63"/>
      <c r="W106" s="63"/>
      <c r="X106" s="198"/>
      <c r="Y106" s="63"/>
      <c r="Z106" s="202"/>
      <c r="AA106" s="64"/>
      <c r="AB106" s="31"/>
      <c r="AC106" s="31"/>
    </row>
    <row r="107" spans="1:30" x14ac:dyDescent="0.25">
      <c r="R107" s="9"/>
      <c r="S107" s="9"/>
      <c r="U107" s="62"/>
      <c r="V107" s="63"/>
      <c r="W107" s="63"/>
      <c r="X107" s="198"/>
      <c r="Y107" s="63"/>
      <c r="Z107" s="202"/>
    </row>
    <row r="108" spans="1:30" x14ac:dyDescent="0.25">
      <c r="A108" s="3"/>
      <c r="B108" s="43"/>
      <c r="C108" s="43"/>
      <c r="D108" s="43"/>
      <c r="E108" s="82"/>
      <c r="R108" s="9"/>
      <c r="S108" s="9"/>
      <c r="U108" s="62"/>
      <c r="V108" s="63"/>
      <c r="W108" s="63"/>
      <c r="X108" s="198"/>
      <c r="Y108" s="63"/>
      <c r="Z108" s="202"/>
    </row>
    <row r="109" spans="1:30" x14ac:dyDescent="0.25">
      <c r="A109" s="3"/>
      <c r="B109" s="43"/>
      <c r="C109" s="43"/>
      <c r="D109" s="43"/>
      <c r="E109" s="82"/>
      <c r="R109" s="9"/>
      <c r="S109" s="9"/>
      <c r="Z109" s="202"/>
    </row>
    <row r="110" spans="1:30" x14ac:dyDescent="0.25">
      <c r="A110" s="1"/>
      <c r="R110" s="9"/>
      <c r="S110" s="9"/>
    </row>
    <row r="111" spans="1:30" x14ac:dyDescent="0.25">
      <c r="A111" s="1"/>
      <c r="R111" s="9"/>
      <c r="S111" s="9"/>
    </row>
    <row r="112" spans="1:30" x14ac:dyDescent="0.25">
      <c r="R112" s="9"/>
      <c r="S112" s="9"/>
    </row>
    <row r="113" spans="18:19" x14ac:dyDescent="0.25">
      <c r="R113" s="9"/>
      <c r="S113" s="9"/>
    </row>
    <row r="114" spans="18:19" x14ac:dyDescent="0.25">
      <c r="R114" s="9"/>
      <c r="S114" s="9"/>
    </row>
    <row r="115" spans="18:19" x14ac:dyDescent="0.25">
      <c r="R115" s="9"/>
      <c r="S115" s="9"/>
    </row>
    <row r="116" spans="18:19" x14ac:dyDescent="0.25">
      <c r="R116" s="9"/>
      <c r="S116" s="9"/>
    </row>
    <row r="117" spans="18:19" x14ac:dyDescent="0.25">
      <c r="R117" s="9"/>
      <c r="S117" s="9"/>
    </row>
    <row r="118" spans="18:19" x14ac:dyDescent="0.25">
      <c r="R118" s="9"/>
      <c r="S118" s="9"/>
    </row>
    <row r="119" spans="18:19" x14ac:dyDescent="0.25">
      <c r="R119" s="9"/>
      <c r="S119" s="9"/>
    </row>
    <row r="120" spans="18:19" x14ac:dyDescent="0.25">
      <c r="R120" s="9"/>
      <c r="S120" s="9"/>
    </row>
    <row r="121" spans="18:19" x14ac:dyDescent="0.25">
      <c r="R121" s="9"/>
      <c r="S121" s="9"/>
    </row>
    <row r="122" spans="18:19" x14ac:dyDescent="0.25">
      <c r="R122" s="9"/>
      <c r="S122" s="9"/>
    </row>
    <row r="123" spans="18:19" x14ac:dyDescent="0.25">
      <c r="R123" s="9"/>
      <c r="S123" s="9"/>
    </row>
    <row r="124" spans="18:19" x14ac:dyDescent="0.25">
      <c r="R124" s="9"/>
      <c r="S124" s="9"/>
    </row>
    <row r="125" spans="18:19" x14ac:dyDescent="0.25">
      <c r="R125" s="9"/>
      <c r="S125" s="9"/>
    </row>
    <row r="126" spans="18:19" x14ac:dyDescent="0.25">
      <c r="R126" s="9"/>
      <c r="S126" s="9"/>
    </row>
    <row r="127" spans="18:19" x14ac:dyDescent="0.25">
      <c r="R127" s="9"/>
      <c r="S127" s="9"/>
    </row>
    <row r="323" spans="21:22" x14ac:dyDescent="0.25">
      <c r="U323" s="11"/>
      <c r="V323" s="9"/>
    </row>
    <row r="324" spans="21:22" x14ac:dyDescent="0.25">
      <c r="V324" s="9"/>
    </row>
    <row r="325" spans="21:22" x14ac:dyDescent="0.25">
      <c r="V325" s="9"/>
    </row>
    <row r="326" spans="21:22" x14ac:dyDescent="0.25">
      <c r="V326" s="9"/>
    </row>
  </sheetData>
  <sheetProtection algorithmName="SHA-512" hashValue="L8R0CMhf7Yokt5gryUjWF0I6IxUJLV2Au8lW81TPU/tjUQAImGZ88EJTgNk0ZuQASNjuVtUWfYM98R6O+B9dAg==" saltValue="veroY6dAzKAVykEIz1wnwQ==" spinCount="100000" sheet="1" objects="1" scenarios="1"/>
  <mergeCells count="21">
    <mergeCell ref="S96:T96"/>
    <mergeCell ref="S84:T84"/>
    <mergeCell ref="L73:M73"/>
    <mergeCell ref="K80:M80"/>
    <mergeCell ref="N80:P80"/>
    <mergeCell ref="K86:M86"/>
    <mergeCell ref="N86:P86"/>
    <mergeCell ref="K2:L2"/>
    <mergeCell ref="M2:N2"/>
    <mergeCell ref="K8:M8"/>
    <mergeCell ref="N8:O8"/>
    <mergeCell ref="K26:L26"/>
    <mergeCell ref="M26:N26"/>
    <mergeCell ref="V8:W8"/>
    <mergeCell ref="X8:Y8"/>
    <mergeCell ref="K53:L53"/>
    <mergeCell ref="M53:N53"/>
    <mergeCell ref="K66:L66"/>
    <mergeCell ref="M66:N66"/>
    <mergeCell ref="K60:L60"/>
    <mergeCell ref="M60:N60"/>
  </mergeCells>
  <printOptions gridLines="1"/>
  <pageMargins left="0.7" right="0.7" top="0.75" bottom="0.75" header="0.3" footer="0.3"/>
  <pageSetup scale="20" fitToWidth="3" fitToHeight="0" orientation="portrait" r:id="rId1"/>
  <rowBreaks count="5" manualBreakCount="5">
    <brk id="155" max="16383" man="1"/>
    <brk id="199" max="16383" man="1"/>
    <brk id="350" max="16383" man="1"/>
    <brk id="507" max="16383" man="1"/>
    <brk id="66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06"/>
  <sheetViews>
    <sheetView topLeftCell="A43" workbookViewId="0">
      <selection activeCell="E50" sqref="E50"/>
    </sheetView>
  </sheetViews>
  <sheetFormatPr defaultRowHeight="15" x14ac:dyDescent="0.25"/>
  <cols>
    <col min="1" max="1" width="10.5703125" style="5" customWidth="1"/>
    <col min="2" max="2" width="15.5703125" customWidth="1"/>
    <col min="6" max="6" width="15" customWidth="1"/>
  </cols>
  <sheetData>
    <row r="1" spans="1:19" s="4" customFormat="1" x14ac:dyDescent="0.25">
      <c r="A1" s="5" t="s">
        <v>65</v>
      </c>
      <c r="E1" s="5" t="s">
        <v>163</v>
      </c>
      <c r="F1"/>
      <c r="G1"/>
      <c r="H1"/>
    </row>
    <row r="2" spans="1:19" x14ac:dyDescent="0.25">
      <c r="F2" s="4" t="s">
        <v>193</v>
      </c>
      <c r="L2" s="4"/>
      <c r="M2" s="4"/>
      <c r="N2" s="4"/>
      <c r="O2" s="4"/>
      <c r="P2" s="4"/>
      <c r="Q2" s="4"/>
      <c r="R2" s="4"/>
      <c r="S2" s="4"/>
    </row>
    <row r="3" spans="1:19" s="4" customFormat="1" x14ac:dyDescent="0.25">
      <c r="A3" s="5"/>
      <c r="B3" s="4" t="s">
        <v>13</v>
      </c>
      <c r="F3" s="4" t="s">
        <v>194</v>
      </c>
    </row>
    <row r="4" spans="1:19" x14ac:dyDescent="0.25">
      <c r="B4" s="4" t="s">
        <v>116</v>
      </c>
      <c r="E4" s="4"/>
      <c r="F4" s="4" t="s">
        <v>195</v>
      </c>
      <c r="G4" s="4"/>
      <c r="H4" s="4"/>
      <c r="L4" s="4"/>
      <c r="M4" s="4"/>
      <c r="N4" s="4"/>
      <c r="O4" s="4"/>
      <c r="P4" s="4"/>
      <c r="Q4" s="4"/>
      <c r="R4" s="4"/>
      <c r="S4" s="4"/>
    </row>
    <row r="5" spans="1:19" x14ac:dyDescent="0.25">
      <c r="B5" t="s">
        <v>6</v>
      </c>
      <c r="E5" s="4"/>
      <c r="F5" s="4" t="s">
        <v>214</v>
      </c>
      <c r="L5" s="4"/>
      <c r="M5" s="4"/>
      <c r="N5" s="4"/>
      <c r="O5" s="4"/>
      <c r="P5" s="4"/>
      <c r="Q5" s="4"/>
      <c r="R5" s="4"/>
    </row>
    <row r="6" spans="1:19" x14ac:dyDescent="0.25">
      <c r="B6" t="s">
        <v>7</v>
      </c>
      <c r="E6" s="4"/>
      <c r="F6" s="4" t="s">
        <v>205</v>
      </c>
      <c r="G6" s="4"/>
      <c r="H6" s="4"/>
    </row>
    <row r="7" spans="1:19" s="4" customFormat="1" x14ac:dyDescent="0.25">
      <c r="A7" s="5"/>
      <c r="B7" t="s">
        <v>4</v>
      </c>
      <c r="F7" s="4" t="s">
        <v>204</v>
      </c>
    </row>
    <row r="8" spans="1:19" s="4" customFormat="1" x14ac:dyDescent="0.25">
      <c r="A8" s="5"/>
      <c r="B8" s="4" t="s">
        <v>117</v>
      </c>
    </row>
    <row r="9" spans="1:19" x14ac:dyDescent="0.25">
      <c r="B9" s="4" t="s">
        <v>134</v>
      </c>
      <c r="E9" s="5" t="s">
        <v>215</v>
      </c>
    </row>
    <row r="10" spans="1:19" s="4" customFormat="1" x14ac:dyDescent="0.25">
      <c r="A10" s="5"/>
      <c r="B10" t="s">
        <v>5</v>
      </c>
    </row>
    <row r="11" spans="1:19" s="4" customFormat="1" x14ac:dyDescent="0.25">
      <c r="A11" s="5"/>
      <c r="B11" s="4" t="s">
        <v>46</v>
      </c>
      <c r="F11" s="4" t="s">
        <v>216</v>
      </c>
      <c r="G11"/>
      <c r="H11"/>
    </row>
    <row r="12" spans="1:19" s="4" customFormat="1" x14ac:dyDescent="0.25">
      <c r="A12" s="5"/>
      <c r="B12" s="4" t="s">
        <v>47</v>
      </c>
      <c r="F12" s="4" t="s">
        <v>217</v>
      </c>
    </row>
    <row r="13" spans="1:19" x14ac:dyDescent="0.25">
      <c r="B13" s="4" t="s">
        <v>49</v>
      </c>
      <c r="E13" s="4"/>
      <c r="F13" s="4" t="s">
        <v>151</v>
      </c>
      <c r="G13" s="4"/>
      <c r="H13" s="4"/>
    </row>
    <row r="14" spans="1:19" s="4" customFormat="1" x14ac:dyDescent="0.25">
      <c r="A14" s="5" t="s">
        <v>66</v>
      </c>
      <c r="F14" s="4" t="s">
        <v>218</v>
      </c>
    </row>
    <row r="15" spans="1:19" x14ac:dyDescent="0.25">
      <c r="E15" s="4"/>
      <c r="F15" s="4"/>
      <c r="G15" s="4"/>
      <c r="H15" s="4"/>
    </row>
    <row r="16" spans="1:19" s="4" customFormat="1" x14ac:dyDescent="0.25">
      <c r="A16" s="5"/>
      <c r="B16" s="4" t="s">
        <v>84</v>
      </c>
      <c r="E16" s="5" t="s">
        <v>153</v>
      </c>
      <c r="F16"/>
    </row>
    <row r="17" spans="1:8" s="4" customFormat="1" x14ac:dyDescent="0.25">
      <c r="A17" s="5"/>
      <c r="B17" s="4" t="s">
        <v>14</v>
      </c>
      <c r="G17"/>
      <c r="H17"/>
    </row>
    <row r="18" spans="1:8" s="4" customFormat="1" x14ac:dyDescent="0.25">
      <c r="A18" s="5"/>
      <c r="B18" s="4" t="s">
        <v>15</v>
      </c>
      <c r="E18"/>
      <c r="F18" s="4" t="s">
        <v>146</v>
      </c>
    </row>
    <row r="19" spans="1:8" s="4" customFormat="1" x14ac:dyDescent="0.25">
      <c r="A19" s="5"/>
      <c r="B19" s="4" t="s">
        <v>83</v>
      </c>
      <c r="F19" t="s">
        <v>147</v>
      </c>
      <c r="G19"/>
      <c r="H19"/>
    </row>
    <row r="20" spans="1:8" s="4" customFormat="1" x14ac:dyDescent="0.25">
      <c r="A20" s="5"/>
      <c r="B20" s="4" t="s">
        <v>82</v>
      </c>
      <c r="F20" s="4" t="s">
        <v>135</v>
      </c>
    </row>
    <row r="21" spans="1:8" ht="15" customHeight="1" x14ac:dyDescent="0.25">
      <c r="B21" s="4" t="s">
        <v>81</v>
      </c>
      <c r="E21" s="4"/>
      <c r="F21" s="4" t="s">
        <v>148</v>
      </c>
      <c r="G21" s="4"/>
      <c r="H21" s="4"/>
    </row>
    <row r="22" spans="1:8" s="4" customFormat="1" x14ac:dyDescent="0.25">
      <c r="A22" s="5"/>
      <c r="F22" s="4" t="s">
        <v>149</v>
      </c>
    </row>
    <row r="23" spans="1:8" x14ac:dyDescent="0.25">
      <c r="A23" s="5" t="s">
        <v>67</v>
      </c>
      <c r="E23" s="4"/>
      <c r="F23" s="4" t="s">
        <v>150</v>
      </c>
      <c r="G23" s="4"/>
      <c r="H23" s="4"/>
    </row>
    <row r="24" spans="1:8" s="4" customFormat="1" x14ac:dyDescent="0.25">
      <c r="A24" s="5"/>
      <c r="B24" s="52" t="s">
        <v>118</v>
      </c>
      <c r="E24" s="5" t="s">
        <v>152</v>
      </c>
      <c r="F24"/>
    </row>
    <row r="25" spans="1:8" s="4" customFormat="1" x14ac:dyDescent="0.25">
      <c r="A25" s="5"/>
      <c r="B25" s="52" t="s">
        <v>119</v>
      </c>
      <c r="G25"/>
      <c r="H25"/>
    </row>
    <row r="26" spans="1:8" s="4" customFormat="1" x14ac:dyDescent="0.25">
      <c r="A26" s="5"/>
      <c r="B26" s="52" t="s">
        <v>120</v>
      </c>
      <c r="E26"/>
      <c r="F26" s="4">
        <v>1</v>
      </c>
      <c r="G26"/>
      <c r="H26"/>
    </row>
    <row r="27" spans="1:8" s="4" customFormat="1" x14ac:dyDescent="0.25">
      <c r="A27" s="5"/>
      <c r="B27" s="52" t="s">
        <v>121</v>
      </c>
      <c r="F27">
        <v>2</v>
      </c>
      <c r="G27"/>
      <c r="H27"/>
    </row>
    <row r="28" spans="1:8" s="4" customFormat="1" x14ac:dyDescent="0.25">
      <c r="A28" s="5"/>
      <c r="B28" s="52" t="s">
        <v>122</v>
      </c>
      <c r="F28" s="4">
        <v>3</v>
      </c>
      <c r="G28"/>
      <c r="H28"/>
    </row>
    <row r="29" spans="1:8" x14ac:dyDescent="0.25">
      <c r="B29" s="52" t="s">
        <v>123</v>
      </c>
      <c r="E29" s="5" t="s">
        <v>219</v>
      </c>
      <c r="F29" s="4"/>
    </row>
    <row r="30" spans="1:8" x14ac:dyDescent="0.25">
      <c r="B30" t="s">
        <v>17</v>
      </c>
      <c r="E30" s="4"/>
      <c r="F30" s="4"/>
    </row>
    <row r="31" spans="1:8" x14ac:dyDescent="0.25">
      <c r="B31" t="s">
        <v>18</v>
      </c>
      <c r="E31" s="4"/>
      <c r="F31" s="4" t="s">
        <v>210</v>
      </c>
    </row>
    <row r="32" spans="1:8" x14ac:dyDescent="0.25">
      <c r="B32" t="s">
        <v>19</v>
      </c>
      <c r="F32" s="4" t="s">
        <v>211</v>
      </c>
    </row>
    <row r="33" spans="1:8" x14ac:dyDescent="0.25">
      <c r="B33" t="s">
        <v>20</v>
      </c>
    </row>
    <row r="34" spans="1:8" x14ac:dyDescent="0.25">
      <c r="B34" t="s">
        <v>25</v>
      </c>
      <c r="E34" s="5" t="s">
        <v>158</v>
      </c>
    </row>
    <row r="35" spans="1:8" x14ac:dyDescent="0.25">
      <c r="B35" t="s">
        <v>21</v>
      </c>
      <c r="F35" t="s">
        <v>159</v>
      </c>
      <c r="G35" s="4"/>
      <c r="H35" s="4"/>
    </row>
    <row r="36" spans="1:8" x14ac:dyDescent="0.25">
      <c r="B36" t="s">
        <v>22</v>
      </c>
      <c r="E36" s="4"/>
      <c r="F36" s="4" t="s">
        <v>160</v>
      </c>
      <c r="G36" s="4"/>
      <c r="H36" s="4"/>
    </row>
    <row r="37" spans="1:8" x14ac:dyDescent="0.25">
      <c r="B37" t="s">
        <v>23</v>
      </c>
      <c r="E37" s="4"/>
      <c r="F37" s="4" t="s">
        <v>161</v>
      </c>
      <c r="G37" s="4"/>
      <c r="H37" s="4"/>
    </row>
    <row r="38" spans="1:8" x14ac:dyDescent="0.25">
      <c r="B38" t="s">
        <v>24</v>
      </c>
      <c r="E38" s="4"/>
      <c r="F38" s="4"/>
    </row>
    <row r="39" spans="1:8" s="4" customFormat="1" x14ac:dyDescent="0.25">
      <c r="A39" s="5"/>
      <c r="B39" s="4" t="s">
        <v>51</v>
      </c>
      <c r="E39" s="5" t="s">
        <v>162</v>
      </c>
      <c r="F39"/>
      <c r="G39"/>
      <c r="H39"/>
    </row>
    <row r="40" spans="1:8" s="4" customFormat="1" x14ac:dyDescent="0.25">
      <c r="A40" s="5"/>
      <c r="B40" s="4" t="s">
        <v>50</v>
      </c>
      <c r="E40"/>
      <c r="F40" s="153">
        <v>1</v>
      </c>
      <c r="G40"/>
      <c r="H40"/>
    </row>
    <row r="41" spans="1:8" s="4" customFormat="1" x14ac:dyDescent="0.25">
      <c r="A41" s="5"/>
      <c r="B41" s="4" t="s">
        <v>52</v>
      </c>
      <c r="E41"/>
      <c r="F41" s="153">
        <v>2</v>
      </c>
    </row>
    <row r="42" spans="1:8" x14ac:dyDescent="0.25">
      <c r="B42" t="s">
        <v>26</v>
      </c>
      <c r="E42" s="4"/>
      <c r="F42" s="153">
        <v>3</v>
      </c>
    </row>
    <row r="43" spans="1:8" x14ac:dyDescent="0.25">
      <c r="B43" t="s">
        <v>27</v>
      </c>
      <c r="F43" s="153" t="s">
        <v>213</v>
      </c>
    </row>
    <row r="44" spans="1:8" x14ac:dyDescent="0.25">
      <c r="B44" t="s">
        <v>28</v>
      </c>
      <c r="G44" s="4"/>
      <c r="H44" s="4"/>
    </row>
    <row r="45" spans="1:8" s="4" customFormat="1" x14ac:dyDescent="0.25">
      <c r="A45" s="5"/>
      <c r="B45" s="4" t="s">
        <v>53</v>
      </c>
      <c r="E45" s="5" t="s">
        <v>317</v>
      </c>
    </row>
    <row r="46" spans="1:8" x14ac:dyDescent="0.25">
      <c r="B46" t="s">
        <v>31</v>
      </c>
      <c r="E46" s="5"/>
      <c r="F46" s="4" t="s">
        <v>319</v>
      </c>
      <c r="G46" s="4"/>
      <c r="H46" s="4"/>
    </row>
    <row r="47" spans="1:8" x14ac:dyDescent="0.25">
      <c r="B47" t="s">
        <v>29</v>
      </c>
      <c r="E47" s="4"/>
      <c r="F47" s="4" t="s">
        <v>320</v>
      </c>
      <c r="G47" s="4"/>
      <c r="H47" s="4"/>
    </row>
    <row r="48" spans="1:8" s="4" customFormat="1" x14ac:dyDescent="0.25">
      <c r="A48" s="5"/>
      <c r="B48" s="4" t="s">
        <v>54</v>
      </c>
      <c r="F48" s="4" t="s">
        <v>321</v>
      </c>
      <c r="G48"/>
      <c r="H48"/>
    </row>
    <row r="49" spans="1:8" s="4" customFormat="1" x14ac:dyDescent="0.25">
      <c r="A49" s="5"/>
      <c r="B49" s="4" t="s">
        <v>55</v>
      </c>
      <c r="E49"/>
      <c r="F49"/>
      <c r="G49"/>
      <c r="H49"/>
    </row>
    <row r="50" spans="1:8" s="4" customFormat="1" x14ac:dyDescent="0.25">
      <c r="A50" s="5"/>
      <c r="B50" s="4" t="s">
        <v>56</v>
      </c>
      <c r="E50" s="5" t="s">
        <v>88</v>
      </c>
    </row>
    <row r="51" spans="1:8" s="4" customFormat="1" x14ac:dyDescent="0.25">
      <c r="A51" s="5"/>
      <c r="B51" s="4" t="s">
        <v>35</v>
      </c>
      <c r="F51" s="56" t="s">
        <v>87</v>
      </c>
      <c r="G51"/>
      <c r="H51"/>
    </row>
    <row r="52" spans="1:8" x14ac:dyDescent="0.25">
      <c r="B52" t="s">
        <v>57</v>
      </c>
      <c r="F52" s="56" t="s">
        <v>90</v>
      </c>
    </row>
    <row r="53" spans="1:8" x14ac:dyDescent="0.25">
      <c r="B53" t="s">
        <v>30</v>
      </c>
      <c r="F53" s="56" t="s">
        <v>91</v>
      </c>
    </row>
    <row r="54" spans="1:8" s="4" customFormat="1" x14ac:dyDescent="0.25">
      <c r="A54" s="5"/>
      <c r="B54" s="4" t="s">
        <v>58</v>
      </c>
      <c r="F54" s="56" t="s">
        <v>92</v>
      </c>
      <c r="G54"/>
      <c r="H54"/>
    </row>
    <row r="55" spans="1:8" x14ac:dyDescent="0.25">
      <c r="B55" t="s">
        <v>32</v>
      </c>
      <c r="F55" s="56" t="s">
        <v>93</v>
      </c>
      <c r="G55" s="4"/>
      <c r="H55" s="4"/>
    </row>
    <row r="56" spans="1:8" x14ac:dyDescent="0.25">
      <c r="B56" t="s">
        <v>33</v>
      </c>
      <c r="F56" s="56" t="s">
        <v>94</v>
      </c>
    </row>
    <row r="57" spans="1:8" x14ac:dyDescent="0.25">
      <c r="B57" t="s">
        <v>34</v>
      </c>
      <c r="E57" s="5"/>
      <c r="F57" s="4"/>
    </row>
    <row r="58" spans="1:8" x14ac:dyDescent="0.25">
      <c r="B58" t="s">
        <v>36</v>
      </c>
      <c r="E58" s="5"/>
      <c r="F58" s="4"/>
    </row>
    <row r="59" spans="1:8" s="4" customFormat="1" x14ac:dyDescent="0.25">
      <c r="A59" s="5"/>
      <c r="E59" s="5"/>
      <c r="G59"/>
      <c r="H59"/>
    </row>
    <row r="60" spans="1:8" x14ac:dyDescent="0.25">
      <c r="A60" s="5" t="s">
        <v>68</v>
      </c>
      <c r="E60" s="5"/>
      <c r="F60" s="4"/>
    </row>
    <row r="61" spans="1:8" x14ac:dyDescent="0.25">
      <c r="E61" s="5"/>
      <c r="F61" s="4"/>
    </row>
    <row r="62" spans="1:8" x14ac:dyDescent="0.25">
      <c r="B62" t="s">
        <v>43</v>
      </c>
      <c r="E62" s="5"/>
      <c r="F62" s="4"/>
    </row>
    <row r="63" spans="1:8" x14ac:dyDescent="0.25">
      <c r="B63" t="s">
        <v>44</v>
      </c>
      <c r="E63" s="5"/>
      <c r="F63" s="4"/>
    </row>
    <row r="64" spans="1:8" x14ac:dyDescent="0.25">
      <c r="A64" s="5" t="s">
        <v>74</v>
      </c>
    </row>
    <row r="66" spans="2:2" x14ac:dyDescent="0.25">
      <c r="B66" s="40" t="s">
        <v>75</v>
      </c>
    </row>
    <row r="67" spans="2:2" x14ac:dyDescent="0.25">
      <c r="B67" s="40" t="s">
        <v>76</v>
      </c>
    </row>
    <row r="68" spans="2:2" x14ac:dyDescent="0.25">
      <c r="B68" t="s">
        <v>154</v>
      </c>
    </row>
    <row r="69" spans="2:2" x14ac:dyDescent="0.25">
      <c r="B69" s="4"/>
    </row>
    <row r="70" spans="2:2" x14ac:dyDescent="0.25">
      <c r="B70" s="4"/>
    </row>
    <row r="71" spans="2:2" x14ac:dyDescent="0.25">
      <c r="B71" s="4"/>
    </row>
    <row r="72" spans="2:2" x14ac:dyDescent="0.25">
      <c r="B72" s="4"/>
    </row>
    <row r="73" spans="2:2" x14ac:dyDescent="0.25">
      <c r="B73" s="4"/>
    </row>
    <row r="74" spans="2:2" x14ac:dyDescent="0.25">
      <c r="B74" s="20"/>
    </row>
    <row r="76" spans="2:2" x14ac:dyDescent="0.25">
      <c r="B76" s="4"/>
    </row>
    <row r="77" spans="2:2" x14ac:dyDescent="0.25">
      <c r="B77" s="4"/>
    </row>
    <row r="78" spans="2:2" x14ac:dyDescent="0.25">
      <c r="B78" s="4"/>
    </row>
    <row r="79" spans="2:2" x14ac:dyDescent="0.25">
      <c r="B79" s="4"/>
    </row>
    <row r="81" spans="1:2" x14ac:dyDescent="0.25">
      <c r="B81" s="4"/>
    </row>
    <row r="82" spans="1:2" x14ac:dyDescent="0.25">
      <c r="B82" s="4"/>
    </row>
    <row r="83" spans="1:2" x14ac:dyDescent="0.25">
      <c r="B83" s="4"/>
    </row>
    <row r="84" spans="1:2" x14ac:dyDescent="0.25">
      <c r="B84" s="4"/>
    </row>
    <row r="85" spans="1:2" x14ac:dyDescent="0.25">
      <c r="B85" s="4"/>
    </row>
    <row r="86" spans="1:2" x14ac:dyDescent="0.25">
      <c r="B86" s="4"/>
    </row>
    <row r="87" spans="1:2" x14ac:dyDescent="0.25">
      <c r="B87" s="4"/>
    </row>
    <row r="88" spans="1:2" x14ac:dyDescent="0.25">
      <c r="B88" s="4"/>
    </row>
    <row r="89" spans="1:2" x14ac:dyDescent="0.25">
      <c r="B89" s="4"/>
    </row>
    <row r="90" spans="1:2" x14ac:dyDescent="0.25">
      <c r="B90" s="4"/>
    </row>
    <row r="91" spans="1:2" x14ac:dyDescent="0.25">
      <c r="B91" s="4"/>
    </row>
    <row r="92" spans="1:2" x14ac:dyDescent="0.25">
      <c r="A92" s="4"/>
      <c r="B92" s="4"/>
    </row>
    <row r="93" spans="1:2" x14ac:dyDescent="0.25">
      <c r="B93" s="4"/>
    </row>
    <row r="94" spans="1:2" x14ac:dyDescent="0.25">
      <c r="B94" s="4"/>
    </row>
    <row r="95" spans="1:2" x14ac:dyDescent="0.25">
      <c r="B95" s="4"/>
    </row>
    <row r="96" spans="1:2" x14ac:dyDescent="0.25">
      <c r="B96" s="4"/>
    </row>
    <row r="97" spans="1:2" x14ac:dyDescent="0.25">
      <c r="A97" s="4"/>
      <c r="B97" s="4"/>
    </row>
    <row r="98" spans="1:2" x14ac:dyDescent="0.25">
      <c r="A98" s="4"/>
      <c r="B98" s="4"/>
    </row>
    <row r="99" spans="1:2" x14ac:dyDescent="0.25">
      <c r="A99" s="4"/>
      <c r="B99" s="4"/>
    </row>
    <row r="100" spans="1:2" x14ac:dyDescent="0.25">
      <c r="A100" s="4"/>
      <c r="B100" s="4"/>
    </row>
    <row r="101" spans="1:2" x14ac:dyDescent="0.25">
      <c r="B101" s="4"/>
    </row>
    <row r="103" spans="1:2" x14ac:dyDescent="0.25">
      <c r="A103" s="5" t="s">
        <v>131</v>
      </c>
    </row>
    <row r="104" spans="1:2" x14ac:dyDescent="0.25">
      <c r="B104">
        <v>1</v>
      </c>
    </row>
    <row r="105" spans="1:2" x14ac:dyDescent="0.25">
      <c r="B105">
        <v>2</v>
      </c>
    </row>
    <row r="106" spans="1:2" x14ac:dyDescent="0.25">
      <c r="B106">
        <v>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Project Assessment</vt:lpstr>
      <vt:lpstr>Catchment Assessment</vt:lpstr>
      <vt:lpstr>Debit Calculator</vt:lpstr>
      <vt:lpstr>Existing Conditions</vt:lpstr>
      <vt:lpstr>Proposed Conditions</vt:lpstr>
      <vt:lpstr>Reference Curves</vt:lpstr>
      <vt:lpstr>Pull Down Notes</vt:lpstr>
      <vt:lpstr>BedMaterial</vt:lpstr>
      <vt:lpstr>BEHI.NBS</vt:lpstr>
      <vt:lpstr>'Catchment Assessment'!Print_Area</vt:lpstr>
      <vt:lpstr>'Debit Calculator'!Print_Area</vt:lpstr>
      <vt:lpstr>'Existing Conditions'!Print_Area</vt:lpstr>
      <vt:lpstr>'Project Assessment'!Print_Area</vt:lpstr>
      <vt:lpstr>'Proposed Conditions'!Print_Area</vt:lpstr>
      <vt:lpstr>'Catchment Assessment'!Print_Titles</vt:lpstr>
      <vt:lpstr>StreamType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cjones</cp:lastModifiedBy>
  <cp:lastPrinted>2021-06-07T19:22:58Z</cp:lastPrinted>
  <dcterms:created xsi:type="dcterms:W3CDTF">2014-08-22T20:36:47Z</dcterms:created>
  <dcterms:modified xsi:type="dcterms:W3CDTF">2021-06-07T19:24:04Z</dcterms:modified>
</cp:coreProperties>
</file>