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4.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saveExternalLinkValues="0"/>
  <mc:AlternateContent xmlns:mc="http://schemas.openxmlformats.org/markup-compatibility/2006">
    <mc:Choice Requires="x15">
      <x15ac:absPath xmlns:x15ac="http://schemas.microsoft.com/office/spreadsheetml/2010/11/ac" url="Y:\Shared\EPR Folder\Alaska\SQT Regionalization\SQT\"/>
    </mc:Choice>
  </mc:AlternateContent>
  <xr:revisionPtr revIDLastSave="0" documentId="13_ncr:1_{CFA48789-BC68-474F-9E1F-179F077797D5}" xr6:coauthVersionLast="47" xr6:coauthVersionMax="47" xr10:uidLastSave="{00000000-0000-0000-0000-000000000000}"/>
  <bookViews>
    <workbookView xWindow="-120" yWindow="-120" windowWidth="29040" windowHeight="15840" tabRatio="778" xr2:uid="{3C8C7533-E620-41F9-8B68-24DC02EE9346}"/>
  </bookViews>
  <sheets>
    <sheet name="Project Assessment" sheetId="10" r:id="rId1"/>
    <sheet name="Catchment Assessment" sheetId="11" r:id="rId2"/>
    <sheet name="Metric Selection Guide" sheetId="17" r:id="rId3"/>
    <sheet name="Quantification Tool" sheetId="2" r:id="rId4"/>
    <sheet name="Monitoring Data" sheetId="13" r:id="rId5"/>
    <sheet name="Data Summary" sheetId="14" r:id="rId6"/>
    <sheet name="Reference Curves" sheetId="1" r:id="rId7"/>
    <sheet name="Pull Down Notes" sheetId="3" state="hidden" r:id="rId8"/>
  </sheets>
  <definedNames>
    <definedName name="BedMaterial">'Pull Down Notes'!$B$14:$B$20</definedName>
    <definedName name="BedType">'Pull Down Notes'!#REF!</definedName>
    <definedName name="BEHI.NBS">'Pull Down Notes'!$B$29:$B$59</definedName>
    <definedName name="CatchmentAssessment">'Pull Down Notes'!$B$73:$B$75</definedName>
    <definedName name="CatchmentAssessmentQuat">'Pull Down Notes'!#REF!</definedName>
    <definedName name="DrainageArea">'Pull Down Notes'!#REF!</definedName>
    <definedName name="Flow.Type">'Pull Down Notes'!#REF!</definedName>
    <definedName name="Level">'Pull Down Notes'!$B$61:$B$63</definedName>
    <definedName name="_xlnm.Print_Area" localSheetId="1">'Catchment Assessment'!$A$1:$G$24</definedName>
    <definedName name="_xlnm.Print_Area" localSheetId="5">'Data Summary'!$A$1:$AJ$74</definedName>
    <definedName name="_xlnm.Print_Area" localSheetId="2">'Metric Selection Guide'!$A$1:$D$32</definedName>
    <definedName name="_xlnm.Print_Area" localSheetId="4">'Monitoring Data'!$A$1:$I$341</definedName>
    <definedName name="_xlnm.Print_Area" localSheetId="0">'Project Assessment'!$A$1:$N$35</definedName>
    <definedName name="_xlnm.Print_Area" localSheetId="3">'Quantification Tool'!$A$2:$J$101</definedName>
    <definedName name="_xlnm.Print_Titles" localSheetId="1">'Catchment Assessment'!$1:$8</definedName>
    <definedName name="_xlnm.Print_Titles" localSheetId="2">'Metric Selection Guide'!$1:$3</definedName>
    <definedName name="ProgramGoals">'Pull Down Notes'!$B$67:$B$70</definedName>
    <definedName name="Region">'Pull Down Notes'!#REF!</definedName>
    <definedName name="RiverBasins">'Pull Down Notes'!#REF!</definedName>
    <definedName name="StreamType">'Pull Down Notes'!$B$1:$B$12</definedName>
    <definedName name="WaterTypes">'Pull Down Notes'!#REF!</definedName>
    <definedName name="Yes.No">'Pull Down Notes'!#REF!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8" i="13" l="1"/>
  <c r="F307" i="13"/>
  <c r="F276" i="13"/>
  <c r="F245" i="13"/>
  <c r="F214" i="13"/>
  <c r="F183" i="13"/>
  <c r="F152" i="13"/>
  <c r="F121" i="13"/>
  <c r="F89" i="13"/>
  <c r="F58" i="13"/>
  <c r="F27" i="13"/>
  <c r="F97" i="2"/>
  <c r="F66" i="2"/>
  <c r="G66" i="2" s="1"/>
  <c r="C36" i="2" s="1"/>
  <c r="C17" i="14" s="1"/>
  <c r="F324" i="13"/>
  <c r="G324" i="13" s="1"/>
  <c r="F293" i="13"/>
  <c r="F262" i="13"/>
  <c r="G262" i="13" s="1"/>
  <c r="F231" i="13"/>
  <c r="G231" i="13" s="1"/>
  <c r="F200" i="13"/>
  <c r="G200" i="13" s="1"/>
  <c r="F169" i="13"/>
  <c r="G169" i="13" s="1"/>
  <c r="F138" i="13"/>
  <c r="F107" i="13"/>
  <c r="F75" i="13"/>
  <c r="F44" i="13"/>
  <c r="G44" i="13" s="1"/>
  <c r="F13" i="13"/>
  <c r="F83" i="2"/>
  <c r="G83" i="2" s="1"/>
  <c r="F52" i="2"/>
  <c r="G52" i="2" s="1"/>
  <c r="C28" i="2" s="1"/>
  <c r="C9" i="14" s="1"/>
  <c r="F340" i="13"/>
  <c r="F309" i="13"/>
  <c r="F278" i="13"/>
  <c r="F247" i="13"/>
  <c r="F216" i="13"/>
  <c r="F185" i="13"/>
  <c r="F154" i="13"/>
  <c r="F123" i="13"/>
  <c r="F91" i="13"/>
  <c r="F60" i="13"/>
  <c r="F29" i="13"/>
  <c r="F99" i="2"/>
  <c r="F68" i="2"/>
  <c r="F322" i="13"/>
  <c r="F291" i="13"/>
  <c r="F260" i="13"/>
  <c r="F229" i="13"/>
  <c r="F198" i="13"/>
  <c r="F167" i="13"/>
  <c r="F136" i="13"/>
  <c r="F105" i="13"/>
  <c r="F73" i="13"/>
  <c r="F42" i="13"/>
  <c r="F341" i="13"/>
  <c r="F339" i="13"/>
  <c r="F337" i="13"/>
  <c r="F336" i="13"/>
  <c r="F335" i="13"/>
  <c r="G335" i="13" s="1"/>
  <c r="F334" i="13"/>
  <c r="F333" i="13"/>
  <c r="F332" i="13"/>
  <c r="F331" i="13"/>
  <c r="F328" i="13"/>
  <c r="F327" i="13"/>
  <c r="F326" i="13"/>
  <c r="F325" i="13"/>
  <c r="G325" i="13" s="1"/>
  <c r="O10" i="14" s="1"/>
  <c r="F323" i="13"/>
  <c r="F321" i="13"/>
  <c r="F320" i="13"/>
  <c r="F319" i="13"/>
  <c r="F318" i="13"/>
  <c r="F317" i="13"/>
  <c r="F316" i="13"/>
  <c r="F315" i="13"/>
  <c r="F314" i="13"/>
  <c r="F310" i="13"/>
  <c r="F308" i="13"/>
  <c r="G307" i="13"/>
  <c r="F306" i="13"/>
  <c r="F305" i="13"/>
  <c r="F304" i="13"/>
  <c r="F303" i="13"/>
  <c r="F302" i="13"/>
  <c r="G301" i="13" s="1"/>
  <c r="N13" i="14" s="1"/>
  <c r="F301" i="13"/>
  <c r="F300" i="13"/>
  <c r="F299" i="13"/>
  <c r="F298" i="13"/>
  <c r="F297" i="13"/>
  <c r="F296" i="13"/>
  <c r="F295" i="13"/>
  <c r="G294" i="13" s="1"/>
  <c r="N10" i="14" s="1"/>
  <c r="F294" i="13"/>
  <c r="G293" i="13"/>
  <c r="F292" i="13"/>
  <c r="F290" i="13"/>
  <c r="F289" i="13"/>
  <c r="F288" i="13"/>
  <c r="F287" i="13"/>
  <c r="F286" i="13"/>
  <c r="F285" i="13"/>
  <c r="F284" i="13"/>
  <c r="F283" i="13"/>
  <c r="F279" i="13"/>
  <c r="F277" i="13"/>
  <c r="G276" i="13"/>
  <c r="M17" i="14" s="1"/>
  <c r="F275" i="13"/>
  <c r="F274" i="13"/>
  <c r="F273" i="13"/>
  <c r="F272" i="13"/>
  <c r="F271" i="13"/>
  <c r="G270" i="13" s="1"/>
  <c r="M13" i="14" s="1"/>
  <c r="F270" i="13"/>
  <c r="F269" i="13"/>
  <c r="F268" i="13"/>
  <c r="F267" i="13"/>
  <c r="F266" i="13"/>
  <c r="G266" i="13" s="1"/>
  <c r="M11" i="14" s="1"/>
  <c r="F265" i="13"/>
  <c r="F264" i="13"/>
  <c r="F263" i="13"/>
  <c r="F261" i="13"/>
  <c r="F259" i="13"/>
  <c r="F258" i="13"/>
  <c r="F257" i="13"/>
  <c r="F256" i="13"/>
  <c r="F255" i="13"/>
  <c r="F254" i="13"/>
  <c r="F253" i="13"/>
  <c r="F252" i="13"/>
  <c r="F248" i="13"/>
  <c r="F246" i="13"/>
  <c r="F244" i="13"/>
  <c r="F243" i="13"/>
  <c r="F242" i="13"/>
  <c r="F241" i="13"/>
  <c r="F240" i="13"/>
  <c r="F239" i="13"/>
  <c r="F238" i="13"/>
  <c r="G236" i="13" s="1"/>
  <c r="L12" i="14" s="1"/>
  <c r="F237" i="13"/>
  <c r="F236" i="13"/>
  <c r="F235" i="13"/>
  <c r="F234" i="13"/>
  <c r="F233" i="13"/>
  <c r="F232" i="13"/>
  <c r="F230" i="13"/>
  <c r="F228" i="13"/>
  <c r="F227" i="13"/>
  <c r="F226" i="13"/>
  <c r="F225" i="13"/>
  <c r="F224" i="13"/>
  <c r="F223" i="13"/>
  <c r="F222" i="13"/>
  <c r="F221" i="13"/>
  <c r="F217" i="13"/>
  <c r="F215" i="13"/>
  <c r="G214" i="13"/>
  <c r="F213" i="13"/>
  <c r="F212" i="13"/>
  <c r="F211" i="13"/>
  <c r="F210" i="13"/>
  <c r="F209" i="13"/>
  <c r="F208" i="13"/>
  <c r="F207" i="13"/>
  <c r="F206" i="13"/>
  <c r="F205" i="13"/>
  <c r="F204" i="13"/>
  <c r="F203" i="13"/>
  <c r="F202" i="13"/>
  <c r="F201" i="13"/>
  <c r="F199" i="13"/>
  <c r="F197" i="13"/>
  <c r="F196" i="13"/>
  <c r="F195" i="13"/>
  <c r="F194" i="13"/>
  <c r="F193" i="13"/>
  <c r="F192" i="13"/>
  <c r="F191" i="13"/>
  <c r="F190" i="13"/>
  <c r="F186" i="13"/>
  <c r="F184" i="13"/>
  <c r="G183" i="13"/>
  <c r="H183" i="13" s="1"/>
  <c r="J27" i="14" s="1"/>
  <c r="F182" i="13"/>
  <c r="F181" i="13"/>
  <c r="F180" i="13"/>
  <c r="F179" i="13"/>
  <c r="F178" i="13"/>
  <c r="G177" i="13" s="1"/>
  <c r="J13" i="14" s="1"/>
  <c r="F177" i="13"/>
  <c r="F176" i="13"/>
  <c r="F175" i="13"/>
  <c r="F174" i="13"/>
  <c r="F173" i="13"/>
  <c r="F172" i="13"/>
  <c r="F171" i="13"/>
  <c r="F170" i="13"/>
  <c r="F168" i="13"/>
  <c r="F166" i="13"/>
  <c r="F165" i="13"/>
  <c r="F164" i="13"/>
  <c r="F163" i="13"/>
  <c r="F162" i="13"/>
  <c r="F161" i="13"/>
  <c r="F160" i="13"/>
  <c r="F159" i="13"/>
  <c r="F155" i="13"/>
  <c r="F153" i="13"/>
  <c r="F151" i="13"/>
  <c r="F150" i="13"/>
  <c r="F149" i="13"/>
  <c r="F148" i="13"/>
  <c r="F147" i="13"/>
  <c r="G146" i="13" s="1"/>
  <c r="I13" i="14" s="1"/>
  <c r="F146" i="13"/>
  <c r="F145" i="13"/>
  <c r="F144" i="13"/>
  <c r="F143" i="13"/>
  <c r="F142" i="13"/>
  <c r="G142" i="13" s="1"/>
  <c r="I11" i="14" s="1"/>
  <c r="F141" i="13"/>
  <c r="F140" i="13"/>
  <c r="F139" i="13"/>
  <c r="G138" i="13"/>
  <c r="F137" i="13"/>
  <c r="F135" i="13"/>
  <c r="F134" i="13"/>
  <c r="F133" i="13"/>
  <c r="F132" i="13"/>
  <c r="F131" i="13"/>
  <c r="F130" i="13"/>
  <c r="F129" i="13"/>
  <c r="F128" i="13"/>
  <c r="F124" i="13"/>
  <c r="F122" i="13"/>
  <c r="G121" i="13"/>
  <c r="F120" i="13"/>
  <c r="F119" i="13"/>
  <c r="F118" i="13"/>
  <c r="F117" i="13"/>
  <c r="F116" i="13"/>
  <c r="F115" i="13"/>
  <c r="F114" i="13"/>
  <c r="F113" i="13"/>
  <c r="F112" i="13"/>
  <c r="F111" i="13"/>
  <c r="G111" i="13" s="1"/>
  <c r="H11" i="14" s="1"/>
  <c r="F110" i="13"/>
  <c r="F109" i="13"/>
  <c r="F108" i="13"/>
  <c r="G107" i="13"/>
  <c r="F106" i="13"/>
  <c r="F104" i="13"/>
  <c r="F103" i="13"/>
  <c r="F102" i="13"/>
  <c r="F101" i="13"/>
  <c r="F100" i="13"/>
  <c r="F99" i="13"/>
  <c r="F98" i="13"/>
  <c r="F97" i="13"/>
  <c r="F92" i="13"/>
  <c r="F90" i="13"/>
  <c r="G89" i="13"/>
  <c r="F88" i="13"/>
  <c r="F87" i="13"/>
  <c r="F86" i="13"/>
  <c r="F85" i="13"/>
  <c r="F84" i="13"/>
  <c r="F83" i="13"/>
  <c r="F82" i="13"/>
  <c r="F81" i="13"/>
  <c r="F80" i="13"/>
  <c r="F79" i="13"/>
  <c r="G79" i="13" s="1"/>
  <c r="G11" i="14" s="1"/>
  <c r="F78" i="13"/>
  <c r="F77" i="13"/>
  <c r="F76" i="13"/>
  <c r="G75" i="13"/>
  <c r="F74" i="13"/>
  <c r="F72" i="13"/>
  <c r="F71" i="13"/>
  <c r="F70" i="13"/>
  <c r="F69" i="13"/>
  <c r="F68" i="13"/>
  <c r="F67" i="13"/>
  <c r="F66" i="13"/>
  <c r="F65" i="13"/>
  <c r="F61" i="13"/>
  <c r="F59" i="13"/>
  <c r="G58" i="13"/>
  <c r="H58" i="13" s="1"/>
  <c r="F57" i="13"/>
  <c r="F56" i="13"/>
  <c r="F55" i="13"/>
  <c r="F54" i="13"/>
  <c r="F53" i="13"/>
  <c r="G52" i="13" s="1"/>
  <c r="F13" i="14" s="1"/>
  <c r="F52" i="13"/>
  <c r="F51" i="13"/>
  <c r="G49" i="13" s="1"/>
  <c r="F12" i="14" s="1"/>
  <c r="F50" i="13"/>
  <c r="F49" i="13"/>
  <c r="F48" i="13"/>
  <c r="F47" i="13"/>
  <c r="F46" i="13"/>
  <c r="F45" i="13"/>
  <c r="F43" i="13"/>
  <c r="F41" i="13"/>
  <c r="F40" i="13"/>
  <c r="F39" i="13"/>
  <c r="F38" i="13"/>
  <c r="F37" i="13"/>
  <c r="F36" i="13"/>
  <c r="F35" i="13"/>
  <c r="F34" i="13"/>
  <c r="F28" i="13"/>
  <c r="F22" i="13"/>
  <c r="F21" i="13"/>
  <c r="F20" i="13"/>
  <c r="F19" i="13"/>
  <c r="F18" i="13"/>
  <c r="F17" i="13"/>
  <c r="G13" i="13"/>
  <c r="E9" i="14" s="1"/>
  <c r="F12" i="13"/>
  <c r="F10" i="13"/>
  <c r="F92" i="2"/>
  <c r="F61" i="2"/>
  <c r="F25" i="13"/>
  <c r="F95" i="2"/>
  <c r="F64" i="2"/>
  <c r="G339" i="13"/>
  <c r="G338" i="13"/>
  <c r="H338" i="13" s="1"/>
  <c r="G337" i="13"/>
  <c r="G336" i="13"/>
  <c r="O15" i="14" s="1"/>
  <c r="G328" i="13"/>
  <c r="G323" i="13"/>
  <c r="G306" i="13"/>
  <c r="G305" i="13"/>
  <c r="G304" i="13"/>
  <c r="G297" i="13"/>
  <c r="G292" i="13"/>
  <c r="N8" i="14" s="1"/>
  <c r="G286" i="13"/>
  <c r="G277" i="13"/>
  <c r="G275" i="13"/>
  <c r="G274" i="13"/>
  <c r="G273" i="13"/>
  <c r="G261" i="13"/>
  <c r="H259" i="13" s="1"/>
  <c r="G245" i="13"/>
  <c r="L17" i="14" s="1"/>
  <c r="G244" i="13"/>
  <c r="G243" i="13"/>
  <c r="G242" i="13"/>
  <c r="G235" i="13"/>
  <c r="G232" i="13"/>
  <c r="G230" i="13"/>
  <c r="G224" i="13"/>
  <c r="G215" i="13"/>
  <c r="G213" i="13"/>
  <c r="G212" i="13"/>
  <c r="G211" i="13"/>
  <c r="G208" i="13"/>
  <c r="K13" i="14" s="1"/>
  <c r="G204" i="13"/>
  <c r="K11" i="14" s="1"/>
  <c r="G199" i="13"/>
  <c r="K8" i="14" s="1"/>
  <c r="G197" i="13"/>
  <c r="G190" i="13"/>
  <c r="G184" i="13"/>
  <c r="G182" i="13"/>
  <c r="G181" i="13"/>
  <c r="G180" i="13"/>
  <c r="G174" i="13"/>
  <c r="G173" i="13"/>
  <c r="G170" i="13"/>
  <c r="G168" i="13"/>
  <c r="H166" i="13" s="1"/>
  <c r="G162" i="13"/>
  <c r="G152" i="13"/>
  <c r="H152" i="13" s="1"/>
  <c r="G151" i="13"/>
  <c r="G150" i="13"/>
  <c r="G149" i="13"/>
  <c r="G137" i="13"/>
  <c r="G128" i="13"/>
  <c r="G122" i="13"/>
  <c r="G120" i="13"/>
  <c r="G119" i="13"/>
  <c r="G118" i="13"/>
  <c r="G115" i="13"/>
  <c r="H13" i="14" s="1"/>
  <c r="G112" i="13"/>
  <c r="G106" i="13"/>
  <c r="G97" i="13"/>
  <c r="G90" i="13"/>
  <c r="G88" i="13"/>
  <c r="G87" i="13"/>
  <c r="G86" i="13"/>
  <c r="G83" i="13"/>
  <c r="G13" i="14" s="1"/>
  <c r="G80" i="13"/>
  <c r="G76" i="13"/>
  <c r="G74" i="13"/>
  <c r="G68" i="13"/>
  <c r="G65" i="13"/>
  <c r="G57" i="13"/>
  <c r="G56" i="13"/>
  <c r="H55" i="13" s="1"/>
  <c r="G55" i="13"/>
  <c r="G48" i="13"/>
  <c r="G43" i="13"/>
  <c r="G34" i="13"/>
  <c r="F30" i="13"/>
  <c r="G27" i="13"/>
  <c r="F26" i="13"/>
  <c r="G26" i="13"/>
  <c r="E16" i="14" s="1"/>
  <c r="G25" i="13"/>
  <c r="E15" i="14" s="1"/>
  <c r="F24" i="13"/>
  <c r="G24" i="13" s="1"/>
  <c r="F23" i="13"/>
  <c r="G17" i="13"/>
  <c r="F16" i="13"/>
  <c r="F15" i="13"/>
  <c r="F14" i="13"/>
  <c r="G12" i="13"/>
  <c r="F9" i="13"/>
  <c r="F8" i="13"/>
  <c r="F7" i="13"/>
  <c r="F6" i="13"/>
  <c r="F5" i="13"/>
  <c r="F4" i="13"/>
  <c r="F3" i="13"/>
  <c r="G259" i="13"/>
  <c r="H149" i="13"/>
  <c r="I149" i="13"/>
  <c r="H118" i="13"/>
  <c r="I118" i="13"/>
  <c r="H273" i="13"/>
  <c r="I273" i="13"/>
  <c r="G21" i="13"/>
  <c r="E13" i="14" s="1"/>
  <c r="G28" i="13"/>
  <c r="G193" i="13"/>
  <c r="H190" i="13"/>
  <c r="I190" i="13"/>
  <c r="G252" i="13"/>
  <c r="G6" i="13"/>
  <c r="G14" i="13"/>
  <c r="G41" i="13"/>
  <c r="H41" i="13"/>
  <c r="I41" i="13"/>
  <c r="G135" i="13"/>
  <c r="H135" i="13"/>
  <c r="I135" i="13"/>
  <c r="G143" i="13"/>
  <c r="G201" i="13"/>
  <c r="H242" i="13"/>
  <c r="I242" i="13"/>
  <c r="G267" i="13"/>
  <c r="M12" i="14" s="1"/>
  <c r="G308" i="13"/>
  <c r="H211" i="13"/>
  <c r="I211" i="13"/>
  <c r="G228" i="13"/>
  <c r="H228" i="13" s="1"/>
  <c r="G255" i="13"/>
  <c r="G314" i="13"/>
  <c r="G59" i="13"/>
  <c r="G100" i="13"/>
  <c r="H97" i="13"/>
  <c r="I97" i="13"/>
  <c r="G153" i="13"/>
  <c r="G221" i="13"/>
  <c r="H221" i="13"/>
  <c r="I221" i="13"/>
  <c r="H304" i="13"/>
  <c r="I304" i="13"/>
  <c r="G18" i="13"/>
  <c r="G108" i="13"/>
  <c r="H180" i="13"/>
  <c r="I180" i="13"/>
  <c r="G205" i="13"/>
  <c r="K12" i="14" s="1"/>
  <c r="G263" i="13"/>
  <c r="M10" i="14" s="1"/>
  <c r="G3" i="13"/>
  <c r="G37" i="13"/>
  <c r="H34" i="13"/>
  <c r="I34" i="13"/>
  <c r="G45" i="13"/>
  <c r="G72" i="13"/>
  <c r="H72" i="13"/>
  <c r="I72" i="13"/>
  <c r="H86" i="13"/>
  <c r="I86" i="13"/>
  <c r="G104" i="13"/>
  <c r="H104" i="13"/>
  <c r="I104" i="13"/>
  <c r="G131" i="13"/>
  <c r="H128" i="13"/>
  <c r="I128" i="13"/>
  <c r="G139" i="13"/>
  <c r="G159" i="13"/>
  <c r="H159" i="13"/>
  <c r="I159" i="13"/>
  <c r="G166" i="13"/>
  <c r="G239" i="13"/>
  <c r="L13" i="14" s="1"/>
  <c r="G246" i="13"/>
  <c r="G283" i="13"/>
  <c r="H283" i="13"/>
  <c r="I283" i="13"/>
  <c r="G290" i="13"/>
  <c r="H290" i="13" s="1"/>
  <c r="G298" i="13"/>
  <c r="N12" i="14" s="1"/>
  <c r="G317" i="13"/>
  <c r="H65" i="13"/>
  <c r="I65" i="13"/>
  <c r="H3" i="13"/>
  <c r="I3" i="13"/>
  <c r="H252" i="13"/>
  <c r="I252" i="13"/>
  <c r="H314" i="13"/>
  <c r="I314" i="13"/>
  <c r="F82" i="2"/>
  <c r="G82" i="2" s="1"/>
  <c r="D27" i="2" s="1"/>
  <c r="D8" i="14" s="1"/>
  <c r="F51" i="2"/>
  <c r="F100" i="2"/>
  <c r="F69" i="2"/>
  <c r="F67" i="2"/>
  <c r="G67" i="2" s="1"/>
  <c r="C37" i="2" s="1"/>
  <c r="C18" i="14" s="1"/>
  <c r="B10" i="2"/>
  <c r="G4" i="14"/>
  <c r="F4" i="14"/>
  <c r="O4" i="14"/>
  <c r="N4" i="14"/>
  <c r="M4" i="14"/>
  <c r="L4" i="14"/>
  <c r="K4" i="14"/>
  <c r="J4" i="14"/>
  <c r="I4" i="14"/>
  <c r="H4" i="14"/>
  <c r="F11" i="13"/>
  <c r="G10" i="13"/>
  <c r="H10" i="13"/>
  <c r="I10" i="13"/>
  <c r="F50" i="2"/>
  <c r="F81" i="2"/>
  <c r="F330" i="13"/>
  <c r="G329" i="13" s="1"/>
  <c r="O12" i="14" s="1"/>
  <c r="F329" i="13"/>
  <c r="G321" i="13"/>
  <c r="H321" i="13"/>
  <c r="I321" i="13" s="1"/>
  <c r="O22" i="14"/>
  <c r="O11" i="14"/>
  <c r="O8" i="14"/>
  <c r="N16" i="14"/>
  <c r="N15" i="14"/>
  <c r="N14" i="14"/>
  <c r="N11" i="14"/>
  <c r="M16" i="14"/>
  <c r="M15" i="14"/>
  <c r="M14" i="14"/>
  <c r="L18" i="14"/>
  <c r="L16" i="14"/>
  <c r="L15" i="14"/>
  <c r="L11" i="14"/>
  <c r="L8" i="14"/>
  <c r="K16" i="14"/>
  <c r="K15" i="14"/>
  <c r="J18" i="14"/>
  <c r="J16" i="14"/>
  <c r="J15" i="14"/>
  <c r="J11" i="14"/>
  <c r="J8" i="14"/>
  <c r="I18" i="14"/>
  <c r="I17" i="14"/>
  <c r="I16" i="14"/>
  <c r="I15" i="14"/>
  <c r="I8" i="14"/>
  <c r="H18" i="14"/>
  <c r="H16" i="14"/>
  <c r="H15" i="14"/>
  <c r="H8" i="14"/>
  <c r="G16" i="14"/>
  <c r="G15" i="14"/>
  <c r="G14" i="14"/>
  <c r="G8" i="14"/>
  <c r="F16" i="14"/>
  <c r="F15" i="14"/>
  <c r="F11" i="14"/>
  <c r="F8" i="14"/>
  <c r="E11" i="14"/>
  <c r="E8" i="14"/>
  <c r="F43" i="2"/>
  <c r="F46" i="2"/>
  <c r="F77" i="2"/>
  <c r="F74" i="2"/>
  <c r="F79" i="2"/>
  <c r="F78" i="2"/>
  <c r="F76" i="2"/>
  <c r="F75" i="2"/>
  <c r="F73" i="2"/>
  <c r="F87" i="2"/>
  <c r="F56" i="2"/>
  <c r="L10" i="14"/>
  <c r="M6" i="14"/>
  <c r="J10" i="14"/>
  <c r="K7" i="14"/>
  <c r="N6" i="14"/>
  <c r="H10" i="14"/>
  <c r="J7" i="14"/>
  <c r="L6" i="14"/>
  <c r="F10" i="14"/>
  <c r="F18" i="14"/>
  <c r="K18" i="14"/>
  <c r="M18" i="14"/>
  <c r="G18" i="14"/>
  <c r="N18" i="14"/>
  <c r="G7" i="14"/>
  <c r="I12" i="14"/>
  <c r="M7" i="14"/>
  <c r="I7" i="14"/>
  <c r="L7" i="14"/>
  <c r="N7" i="14"/>
  <c r="G12" i="14"/>
  <c r="H12" i="14"/>
  <c r="G6" i="14"/>
  <c r="F14" i="14"/>
  <c r="F6" i="14"/>
  <c r="G10" i="14"/>
  <c r="H6" i="14"/>
  <c r="I6" i="14"/>
  <c r="I10" i="14"/>
  <c r="J12" i="14"/>
  <c r="J6" i="14"/>
  <c r="K6" i="14"/>
  <c r="K10" i="14"/>
  <c r="O16" i="14"/>
  <c r="O7" i="14"/>
  <c r="O6" i="14"/>
  <c r="L14" i="14"/>
  <c r="K14" i="14"/>
  <c r="J14" i="14"/>
  <c r="I14" i="14"/>
  <c r="H14" i="14"/>
  <c r="E12" i="14"/>
  <c r="E10" i="14"/>
  <c r="E6" i="14"/>
  <c r="F98" i="2"/>
  <c r="G97" i="2"/>
  <c r="H97" i="2" s="1"/>
  <c r="F96" i="2"/>
  <c r="F94" i="2"/>
  <c r="G94" i="2" s="1"/>
  <c r="F63" i="2"/>
  <c r="G63" i="2" s="1"/>
  <c r="F7" i="14"/>
  <c r="E7" i="14"/>
  <c r="H7" i="14"/>
  <c r="E18" i="14"/>
  <c r="O18" i="14"/>
  <c r="F65" i="2"/>
  <c r="G65" i="2" s="1"/>
  <c r="C35" i="2" s="1"/>
  <c r="C16" i="14" s="1"/>
  <c r="AL45" i="1"/>
  <c r="AJ45" i="1"/>
  <c r="U147" i="1"/>
  <c r="S147" i="1"/>
  <c r="F47" i="2"/>
  <c r="F44" i="2"/>
  <c r="G64" i="2"/>
  <c r="C34" i="2" s="1"/>
  <c r="C15" i="14" s="1"/>
  <c r="G76" i="2"/>
  <c r="D25" i="2"/>
  <c r="D6" i="14"/>
  <c r="G73" i="2"/>
  <c r="G95" i="2"/>
  <c r="D34" i="2" s="1"/>
  <c r="D15" i="14" s="1"/>
  <c r="F45" i="2"/>
  <c r="H73" i="2"/>
  <c r="F42" i="2"/>
  <c r="G42" i="2"/>
  <c r="B6" i="2"/>
  <c r="B5" i="2"/>
  <c r="B4" i="2"/>
  <c r="G98" i="2"/>
  <c r="G96" i="2"/>
  <c r="D35" i="2" s="1"/>
  <c r="D16" i="14" s="1"/>
  <c r="F93" i="2"/>
  <c r="F91" i="2"/>
  <c r="F90" i="2"/>
  <c r="G87" i="2"/>
  <c r="D30" i="2" s="1"/>
  <c r="D11" i="14" s="1"/>
  <c r="F86" i="2"/>
  <c r="F85" i="2"/>
  <c r="F84" i="2"/>
  <c r="G84" i="2" s="1"/>
  <c r="D29" i="2" s="1"/>
  <c r="D10" i="14" s="1"/>
  <c r="F80" i="2"/>
  <c r="F62" i="2"/>
  <c r="G60" i="2" s="1"/>
  <c r="C32" i="2" s="1"/>
  <c r="C13" i="14" s="1"/>
  <c r="F60" i="2"/>
  <c r="F59" i="2"/>
  <c r="G51" i="2"/>
  <c r="C27" i="2" s="1"/>
  <c r="C8" i="14" s="1"/>
  <c r="F49" i="2"/>
  <c r="F48" i="2"/>
  <c r="G45" i="2"/>
  <c r="C25" i="2"/>
  <c r="C6" i="14"/>
  <c r="I73" i="2"/>
  <c r="G91" i="2"/>
  <c r="D32" i="2" s="1"/>
  <c r="D13" i="14" s="1"/>
  <c r="S315" i="1"/>
  <c r="U315" i="1"/>
  <c r="H42" i="2"/>
  <c r="V48" i="1"/>
  <c r="S48" i="1"/>
  <c r="U13" i="1"/>
  <c r="S13" i="1"/>
  <c r="V487" i="1"/>
  <c r="S487" i="1"/>
  <c r="F55" i="2"/>
  <c r="G53" i="2" s="1"/>
  <c r="C29" i="2" s="1"/>
  <c r="C10" i="14" s="1"/>
  <c r="F54" i="2"/>
  <c r="F53" i="2"/>
  <c r="V452" i="1"/>
  <c r="S452" i="1"/>
  <c r="G80" i="2"/>
  <c r="H80" i="2" s="1"/>
  <c r="F58" i="2"/>
  <c r="F89" i="2"/>
  <c r="F88" i="2"/>
  <c r="F57" i="2"/>
  <c r="G24" i="14"/>
  <c r="O24" i="14"/>
  <c r="I24" i="14"/>
  <c r="H24" i="14"/>
  <c r="F24" i="14"/>
  <c r="E24" i="14"/>
  <c r="O5" i="14"/>
  <c r="M5" i="14"/>
  <c r="N5" i="14"/>
  <c r="L5" i="14"/>
  <c r="F5" i="14"/>
  <c r="K5" i="14"/>
  <c r="J5" i="14"/>
  <c r="H5" i="14"/>
  <c r="I5" i="14"/>
  <c r="G5" i="14"/>
  <c r="I26" i="14"/>
  <c r="M26" i="14"/>
  <c r="K26" i="14"/>
  <c r="J26" i="14"/>
  <c r="H26" i="14"/>
  <c r="L26" i="14"/>
  <c r="G26" i="14"/>
  <c r="N26" i="14"/>
  <c r="O23" i="14"/>
  <c r="H23" i="14"/>
  <c r="I23" i="14"/>
  <c r="T418" i="1"/>
  <c r="N22" i="14"/>
  <c r="M22" i="14"/>
  <c r="L22" i="14"/>
  <c r="K22" i="14"/>
  <c r="J22" i="14"/>
  <c r="I22" i="14"/>
  <c r="H22" i="14"/>
  <c r="G22" i="14"/>
  <c r="F22" i="14"/>
  <c r="G56" i="2"/>
  <c r="C30" i="2" s="1"/>
  <c r="C11" i="14" s="1"/>
  <c r="F12" i="2"/>
  <c r="F11" i="2"/>
  <c r="F13" i="2"/>
  <c r="A33" i="14"/>
  <c r="D37" i="2"/>
  <c r="D18" i="14"/>
  <c r="G49" i="2"/>
  <c r="H49" i="2"/>
  <c r="I49" i="2" s="1"/>
  <c r="H24" i="2"/>
  <c r="I42" i="2"/>
  <c r="H26" i="2"/>
  <c r="C24" i="14" s="1"/>
  <c r="E5" i="14"/>
  <c r="C26" i="2"/>
  <c r="C7" i="14"/>
  <c r="G23" i="14"/>
  <c r="D24" i="2"/>
  <c r="D5" i="14"/>
  <c r="J23" i="14"/>
  <c r="E23" i="14"/>
  <c r="C24" i="2"/>
  <c r="C5" i="14"/>
  <c r="M23" i="14"/>
  <c r="C23" i="14"/>
  <c r="N23" i="14"/>
  <c r="L23" i="14"/>
  <c r="K23" i="14"/>
  <c r="F23" i="14"/>
  <c r="I24" i="2"/>
  <c r="D23" i="14"/>
  <c r="J24" i="2"/>
  <c r="H24" i="13" l="1"/>
  <c r="E14" i="14"/>
  <c r="I55" i="13"/>
  <c r="F26" i="14"/>
  <c r="I166" i="13"/>
  <c r="J24" i="14"/>
  <c r="H197" i="13"/>
  <c r="L24" i="14"/>
  <c r="I228" i="13"/>
  <c r="M24" i="14"/>
  <c r="I259" i="13"/>
  <c r="M8" i="14"/>
  <c r="I290" i="13"/>
  <c r="N24" i="14"/>
  <c r="H335" i="13"/>
  <c r="O14" i="14"/>
  <c r="G332" i="13"/>
  <c r="O13" i="14" s="1"/>
  <c r="G57" i="2"/>
  <c r="C31" i="2" s="1"/>
  <c r="C12" i="14" s="1"/>
  <c r="G88" i="2"/>
  <c r="D31" i="2" s="1"/>
  <c r="D12" i="14" s="1"/>
  <c r="H63" i="2"/>
  <c r="C33" i="2"/>
  <c r="C14" i="14" s="1"/>
  <c r="I26" i="2"/>
  <c r="I80" i="2"/>
  <c r="D33" i="2"/>
  <c r="D14" i="14" s="1"/>
  <c r="H94" i="2"/>
  <c r="D26" i="2"/>
  <c r="D7" i="14" s="1"/>
  <c r="H17" i="14"/>
  <c r="H121" i="13"/>
  <c r="H27" i="14" s="1"/>
  <c r="H245" i="13"/>
  <c r="O17" i="14"/>
  <c r="H276" i="13"/>
  <c r="H66" i="2"/>
  <c r="H32" i="2" s="1"/>
  <c r="C27" i="14" s="1"/>
  <c r="J17" i="14"/>
  <c r="G17" i="14"/>
  <c r="H89" i="13"/>
  <c r="H214" i="13"/>
  <c r="K17" i="14"/>
  <c r="F17" i="14"/>
  <c r="N17" i="14"/>
  <c r="H307" i="13"/>
  <c r="I152" i="13"/>
  <c r="I27" i="14"/>
  <c r="I338" i="13"/>
  <c r="O27" i="14"/>
  <c r="E17" i="14"/>
  <c r="H27" i="13"/>
  <c r="F27" i="14"/>
  <c r="I58" i="13"/>
  <c r="I32" i="2"/>
  <c r="I97" i="2"/>
  <c r="I183" i="13"/>
  <c r="I121" i="13"/>
  <c r="D36" i="2"/>
  <c r="D17" i="14" s="1"/>
  <c r="H75" i="13"/>
  <c r="G25" i="14" s="1"/>
  <c r="H83" i="2"/>
  <c r="I28" i="2" s="1"/>
  <c r="H13" i="13"/>
  <c r="E25" i="14" s="1"/>
  <c r="H324" i="13"/>
  <c r="O9" i="14"/>
  <c r="H107" i="13"/>
  <c r="H9" i="14"/>
  <c r="H138" i="13"/>
  <c r="I138" i="13" s="1"/>
  <c r="I9" i="14"/>
  <c r="H44" i="13"/>
  <c r="I44" i="13" s="1"/>
  <c r="F9" i="14"/>
  <c r="H169" i="13"/>
  <c r="I169" i="13" s="1"/>
  <c r="J9" i="14"/>
  <c r="N9" i="14"/>
  <c r="H293" i="13"/>
  <c r="H52" i="2"/>
  <c r="I52" i="2" s="1"/>
  <c r="K9" i="14"/>
  <c r="H200" i="13"/>
  <c r="H231" i="13"/>
  <c r="L9" i="14"/>
  <c r="H262" i="13"/>
  <c r="M9" i="14"/>
  <c r="D28" i="2"/>
  <c r="D9" i="14" s="1"/>
  <c r="G9" i="14"/>
  <c r="E26" i="14" l="1"/>
  <c r="I24" i="13"/>
  <c r="I197" i="13"/>
  <c r="K24" i="14"/>
  <c r="I335" i="13"/>
  <c r="O26" i="14"/>
  <c r="I63" i="2"/>
  <c r="H30" i="2"/>
  <c r="C26" i="14" s="1"/>
  <c r="I94" i="2"/>
  <c r="I30" i="2"/>
  <c r="D24" i="14"/>
  <c r="J26" i="2"/>
  <c r="I245" i="13"/>
  <c r="L27" i="14"/>
  <c r="I66" i="2"/>
  <c r="I276" i="13"/>
  <c r="M27" i="14"/>
  <c r="I214" i="13"/>
  <c r="K27" i="14"/>
  <c r="I89" i="13"/>
  <c r="G27" i="14"/>
  <c r="G28" i="14" s="1"/>
  <c r="G29" i="14" s="1"/>
  <c r="E27" i="14"/>
  <c r="E28" i="14" s="1"/>
  <c r="E29" i="14" s="1"/>
  <c r="I27" i="13"/>
  <c r="D27" i="14"/>
  <c r="J32" i="2"/>
  <c r="I307" i="13"/>
  <c r="N27" i="14"/>
  <c r="I75" i="13"/>
  <c r="I83" i="2"/>
  <c r="J25" i="14"/>
  <c r="J28" i="14" s="1"/>
  <c r="J29" i="14" s="1"/>
  <c r="F25" i="14"/>
  <c r="F28" i="14" s="1"/>
  <c r="F29" i="14" s="1"/>
  <c r="H28" i="2"/>
  <c r="C25" i="14" s="1"/>
  <c r="I13" i="13"/>
  <c r="I293" i="13"/>
  <c r="N25" i="14"/>
  <c r="I25" i="14"/>
  <c r="I28" i="14" s="1"/>
  <c r="I29" i="14" s="1"/>
  <c r="I107" i="13"/>
  <c r="H25" i="14"/>
  <c r="H28" i="14" s="1"/>
  <c r="H29" i="14" s="1"/>
  <c r="I324" i="13"/>
  <c r="O25" i="14"/>
  <c r="O28" i="14" s="1"/>
  <c r="O29" i="14" s="1"/>
  <c r="I262" i="13"/>
  <c r="M25" i="14"/>
  <c r="M28" i="14" s="1"/>
  <c r="M29" i="14" s="1"/>
  <c r="F9" i="2"/>
  <c r="D25" i="14"/>
  <c r="I231" i="13"/>
  <c r="L25" i="14"/>
  <c r="K25" i="14"/>
  <c r="I200" i="13"/>
  <c r="C28" i="14" l="1"/>
  <c r="C29" i="14" s="1"/>
  <c r="J30" i="2"/>
  <c r="D26" i="14"/>
  <c r="L28" i="14"/>
  <c r="L29" i="14" s="1"/>
  <c r="K28" i="14"/>
  <c r="K29" i="14" s="1"/>
  <c r="D28" i="14"/>
  <c r="D29" i="14" s="1"/>
  <c r="N28" i="14"/>
  <c r="N29" i="14" s="1"/>
  <c r="F8" i="2"/>
  <c r="F14" i="2" s="1"/>
  <c r="J28" i="2"/>
  <c r="F15" i="2"/>
  <c r="F10" i="2" l="1"/>
  <c r="F16" i="2"/>
  <c r="F17" i="2"/>
  <c r="H8" i="2" l="1"/>
  <c r="J8" i="2"/>
</calcChain>
</file>

<file path=xl/sharedStrings.xml><?xml version="1.0" encoding="utf-8"?>
<sst xmlns="http://schemas.openxmlformats.org/spreadsheetml/2006/main" count="1412" uniqueCount="374">
  <si>
    <t>Bank Height Ratio (BHR)</t>
  </si>
  <si>
    <t>Functional Category</t>
  </si>
  <si>
    <t>Function-Based Parameters</t>
  </si>
  <si>
    <t>Measurement Method</t>
  </si>
  <si>
    <t>Index</t>
  </si>
  <si>
    <t>Floodplain Connectivity</t>
  </si>
  <si>
    <t>C</t>
  </si>
  <si>
    <t>E</t>
  </si>
  <si>
    <t>B</t>
  </si>
  <si>
    <t>Bc</t>
  </si>
  <si>
    <t>Field Value</t>
  </si>
  <si>
    <t>Index Value</t>
  </si>
  <si>
    <t>Roll Up Scoring</t>
  </si>
  <si>
    <t>Parameter</t>
  </si>
  <si>
    <t>Category</t>
  </si>
  <si>
    <t>A</t>
  </si>
  <si>
    <t>Sand</t>
  </si>
  <si>
    <t>Geomorphology</t>
  </si>
  <si>
    <t>Large Woody Debris</t>
  </si>
  <si>
    <t>L/VL</t>
  </si>
  <si>
    <t>L/L</t>
  </si>
  <si>
    <t>L/M</t>
  </si>
  <si>
    <t>L/H</t>
  </si>
  <si>
    <t>L/VH</t>
  </si>
  <si>
    <t>M/VL</t>
  </si>
  <si>
    <t>M/L</t>
  </si>
  <si>
    <t>M/M</t>
  </si>
  <si>
    <t>M/H</t>
  </si>
  <si>
    <t>L/Ex</t>
  </si>
  <si>
    <t>H/L</t>
  </si>
  <si>
    <t>H/M</t>
  </si>
  <si>
    <t>H/H</t>
  </si>
  <si>
    <t>VH/VL</t>
  </si>
  <si>
    <t>Ex/VL</t>
  </si>
  <si>
    <t>H/Ex</t>
  </si>
  <si>
    <t>Ex/M</t>
  </si>
  <si>
    <t>Ex/H</t>
  </si>
  <si>
    <t>Ex/VH</t>
  </si>
  <si>
    <t>VH/VH</t>
  </si>
  <si>
    <t>Ex/Ex</t>
  </si>
  <si>
    <t>Dominant BEHI/NBS</t>
  </si>
  <si>
    <t>Riparian Vegetation</t>
  </si>
  <si>
    <t>Bed Form Diversity</t>
  </si>
  <si>
    <t>Pool Depth Ratio</t>
  </si>
  <si>
    <t>EXISTING CONDITION ASSESSMENT</t>
  </si>
  <si>
    <t>PROPOSED CONDITION ASSESSMENT</t>
  </si>
  <si>
    <t>Restoration Potential:</t>
  </si>
  <si>
    <t>Physicochemical</t>
  </si>
  <si>
    <t>Biology</t>
  </si>
  <si>
    <t>Notes</t>
  </si>
  <si>
    <t>Existing Stream Length (ft)</t>
  </si>
  <si>
    <t>Existing Parameter</t>
  </si>
  <si>
    <t>Proposed Parameter</t>
  </si>
  <si>
    <t>Description of Catchment Condition</t>
  </si>
  <si>
    <t>Other</t>
  </si>
  <si>
    <t>Programmatic Goals</t>
  </si>
  <si>
    <t>Fish</t>
  </si>
  <si>
    <t>GEOMORPHOLOGY</t>
  </si>
  <si>
    <t>PHYSICOCHEMICAL</t>
  </si>
  <si>
    <t>BIOLOGY</t>
  </si>
  <si>
    <t>Temperature</t>
  </si>
  <si>
    <t>Proposed Stream Length (ft)</t>
  </si>
  <si>
    <t>F</t>
  </si>
  <si>
    <t>G</t>
  </si>
  <si>
    <t>Proposed Bed Material:</t>
  </si>
  <si>
    <t>Percent Streambank Erosion (%)</t>
  </si>
  <si>
    <t>Gc</t>
  </si>
  <si>
    <t>M/Ex</t>
  </si>
  <si>
    <t>M/VH</t>
  </si>
  <si>
    <t>H/VL</t>
  </si>
  <si>
    <t>H/VH</t>
  </si>
  <si>
    <t>VH/L</t>
  </si>
  <si>
    <t>VH/M</t>
  </si>
  <si>
    <t>VH/H</t>
  </si>
  <si>
    <t>VH/Ex</t>
  </si>
  <si>
    <t>Ex/L</t>
  </si>
  <si>
    <t>Reach ID:</t>
  </si>
  <si>
    <t>Existing Stream Type:</t>
  </si>
  <si>
    <t>FUNCTIONAL CATEGORY REPORT CARD</t>
  </si>
  <si>
    <t xml:space="preserve">Functional Category  </t>
  </si>
  <si>
    <t>ECS</t>
  </si>
  <si>
    <t>PCS</t>
  </si>
  <si>
    <t>Bed Material Characterization</t>
  </si>
  <si>
    <t>Project Name:</t>
  </si>
  <si>
    <t>a</t>
  </si>
  <si>
    <t>b</t>
  </si>
  <si>
    <t>NF</t>
  </si>
  <si>
    <t>Proposed Condition Score (PCS)</t>
  </si>
  <si>
    <t>FUNCTION BASED PARAMETERS SUMMARY</t>
  </si>
  <si>
    <t>Poor</t>
  </si>
  <si>
    <t>Fair</t>
  </si>
  <si>
    <t>Good</t>
  </si>
  <si>
    <t>Rating (P/F/G)</t>
  </si>
  <si>
    <t xml:space="preserve">This sheet provides the formulas used to calculate index values from the field values entered on the Quantification Tool worksheet.  Formulas are fit to known delineations between Functioning, Functioning-At-Risk and Not Functioning. </t>
  </si>
  <si>
    <t xml:space="preserve">This sheet is locked to prevent editing. If you have suggested changes based on watershed-specific data, please contact your local permitting agency or client. </t>
  </si>
  <si>
    <t>Reach Runoff</t>
  </si>
  <si>
    <t>Version Last Updated</t>
  </si>
  <si>
    <t xml:space="preserve">As-Built </t>
  </si>
  <si>
    <t>As-Built</t>
  </si>
  <si>
    <t>Overall Score</t>
  </si>
  <si>
    <t>Functional Feet</t>
  </si>
  <si>
    <t>Monitoring Year</t>
  </si>
  <si>
    <t>3. Leave values blank for field values that were not measured</t>
  </si>
  <si>
    <t>2. Users select values from a pull-down menu</t>
  </si>
  <si>
    <t>Existing and Proposed Stream Types</t>
  </si>
  <si>
    <t>Proposed Bed Material</t>
  </si>
  <si>
    <t>BEHI/NBS Scores</t>
  </si>
  <si>
    <t>Restoration Potential</t>
  </si>
  <si>
    <t>Overall Watershed Condition</t>
  </si>
  <si>
    <t>Macroinvertebrates</t>
  </si>
  <si>
    <t>Ba</t>
  </si>
  <si>
    <t>Cb</t>
  </si>
  <si>
    <t>Pool Spacing Ratio for Bc Stream Types</t>
  </si>
  <si>
    <t>Rising Limb</t>
  </si>
  <si>
    <t>Falling limb</t>
  </si>
  <si>
    <t>Falling Limb</t>
  </si>
  <si>
    <t>Contractors:</t>
  </si>
  <si>
    <t>U.S. Environmental Protection Agency</t>
  </si>
  <si>
    <t>Reference Stream Type:</t>
  </si>
  <si>
    <t>FAR</t>
  </si>
  <si>
    <t>Valley Type</t>
  </si>
  <si>
    <t>FUNCTIONAL CHANGE SUMMARY</t>
  </si>
  <si>
    <t>Reach Description</t>
  </si>
  <si>
    <t>The Stream Quantification Tool Credits:</t>
  </si>
  <si>
    <t>Change in Stream Length (ft)</t>
  </si>
  <si>
    <t>MITIGATION SUMMARY</t>
  </si>
  <si>
    <t>(FF)</t>
  </si>
  <si>
    <t>Functional Change</t>
  </si>
  <si>
    <t>Unconfined Alluvial</t>
  </si>
  <si>
    <t>Confined Alluvial</t>
  </si>
  <si>
    <t>Colluvial/V-Shaped</t>
  </si>
  <si>
    <t>Coefficients - Y = a * X + b</t>
  </si>
  <si>
    <t xml:space="preserve">Coefficients - Y = a * X + b </t>
  </si>
  <si>
    <t>Coefficients - Y = a * X^2 + b * X + c</t>
  </si>
  <si>
    <t>Existing Functional Feet (FF)</t>
  </si>
  <si>
    <t>Proposed Functional Feet (FF)</t>
  </si>
  <si>
    <t>Drainage Area (sq.mi.):</t>
  </si>
  <si>
    <t>Valley Type:</t>
  </si>
  <si>
    <t>Land Use Coefficient</t>
  </si>
  <si>
    <t>Metric</t>
  </si>
  <si>
    <t>Function-Based Parameter</t>
  </si>
  <si>
    <t>Coefficients - Y = a  * X + b</t>
  </si>
  <si>
    <t>Percent Riffle (%)</t>
  </si>
  <si>
    <t>Restoration Approach</t>
  </si>
  <si>
    <t>Site Information and 
Reference Selection</t>
  </si>
  <si>
    <t>Silt/Clay</t>
  </si>
  <si>
    <t>Gravel</t>
  </si>
  <si>
    <t>Cobble</t>
  </si>
  <si>
    <t>Boulders</t>
  </si>
  <si>
    <t>Bedrock</t>
  </si>
  <si>
    <t xml:space="preserve">Overall Watershed Condition       </t>
  </si>
  <si>
    <t>Existing Condition Score (ECS)</t>
  </si>
  <si>
    <t>Date</t>
  </si>
  <si>
    <t xml:space="preserve">Partial </t>
  </si>
  <si>
    <t xml:space="preserve">Full </t>
  </si>
  <si>
    <t xml:space="preserve">Coefficients - Y = a * X+ b </t>
  </si>
  <si>
    <t>NF/FAR</t>
  </si>
  <si>
    <t>Lateral Migration</t>
  </si>
  <si>
    <t>Unconfined Alluvial Valleys</t>
  </si>
  <si>
    <t>Confined Alluvial or Colluvial/V-Shaped Valleys</t>
  </si>
  <si>
    <t>Hydraulics</t>
  </si>
  <si>
    <t>Hydrology</t>
  </si>
  <si>
    <t xml:space="preserve">Hydrology </t>
  </si>
  <si>
    <t>Watershed Name (HUC 8) and Number:</t>
  </si>
  <si>
    <t>HYDROLOGY</t>
  </si>
  <si>
    <t>HYDRAULICS</t>
  </si>
  <si>
    <t>Concentrated Flow Points / 1,000 ft</t>
  </si>
  <si>
    <t>Formulas and coefficients are listed above each plot where coefficients (a, b, c, etc.) are used to calculate index values on the Quantification Tool worksheet. Y is the index value and X is the field value.</t>
  </si>
  <si>
    <t>Any optional metric may be required by the regulating agency on a case-by-case basis.</t>
  </si>
  <si>
    <t xml:space="preserve">Scenarios </t>
  </si>
  <si>
    <t>Required for all assessments.</t>
  </si>
  <si>
    <t>VL/VL</t>
  </si>
  <si>
    <t>VL/L</t>
  </si>
  <si>
    <t>VL/M</t>
  </si>
  <si>
    <t>VL/H</t>
  </si>
  <si>
    <t>VL/VH</t>
  </si>
  <si>
    <t>VL/Ex</t>
  </si>
  <si>
    <t xml:space="preserve">   Last Monitoring Year</t>
  </si>
  <si>
    <t>Existing Stream Length (ft):</t>
  </si>
  <si>
    <t>Proposed Stream Length (ft):</t>
  </si>
  <si>
    <t>FF Yield (FF/ft)</t>
  </si>
  <si>
    <t>DA</t>
  </si>
  <si>
    <t>Sediment Supply</t>
  </si>
  <si>
    <t>Alaska Impaired Water Body Status (303(d) listed stream)</t>
  </si>
  <si>
    <t>Organism Recruitment</t>
  </si>
  <si>
    <t xml:space="preserve">Within 1 mile of project reach, the channel is concrete, piped, or hardened. </t>
  </si>
  <si>
    <t>Within 1 mile of the project reach, the channel has native bed and bank material that is highly embedded by fine sediment.</t>
  </si>
  <si>
    <t>Within 1 mile of the project reach, the channel has native bed and bank material.</t>
  </si>
  <si>
    <t>Barriers/Fish Passage</t>
  </si>
  <si>
    <t>Flow Alteration</t>
  </si>
  <si>
    <t>Roads and Trail Networks</t>
  </si>
  <si>
    <t>Roads/trails exist in the catchment but are largely outside of the floodplain and have minimal effect on natural sediment and hydrologic regimes.</t>
  </si>
  <si>
    <t>Urbanization</t>
  </si>
  <si>
    <t>Urban or rapidly urbanizing with ongoing or imminent large-scale development.</t>
  </si>
  <si>
    <t>Low density or rural communities or slow urban or suburban growth.</t>
  </si>
  <si>
    <t>Predominantly natural land cover; or rural.</t>
  </si>
  <si>
    <t>Resource Development: Oil, Gas, Wind, Pipeline, Mining, Timber Harvest, Roads</t>
  </si>
  <si>
    <t xml:space="preserve">Moderate development or moderate potential for impacts and none within 1 mile of project reach. </t>
  </si>
  <si>
    <t>No development or no potential for impacts.</t>
  </si>
  <si>
    <t>Aufeis</t>
  </si>
  <si>
    <t>Permafrost Degradation</t>
  </si>
  <si>
    <t>Entrenchment Ratio (ER) B Stream Types</t>
  </si>
  <si>
    <t>Pool Spacing Ratio for B and Ba Stream Types</t>
  </si>
  <si>
    <t>Percent Streambank Armoring (%)</t>
  </si>
  <si>
    <t>Pool Spacing Ratio for C Streams</t>
  </si>
  <si>
    <t>Pool Spacing Ratio for E Streams</t>
  </si>
  <si>
    <t>Riparian Extent</t>
  </si>
  <si>
    <r>
      <t xml:space="preserve">Percent Riffle for Slopes </t>
    </r>
    <r>
      <rPr>
        <sz val="11"/>
        <color theme="1"/>
        <rFont val="Calibri"/>
        <family val="2"/>
      </rPr>
      <t xml:space="preserve">≥ </t>
    </r>
    <r>
      <rPr>
        <sz val="9.35"/>
        <color theme="1"/>
        <rFont val="Calibri"/>
        <family val="2"/>
      </rPr>
      <t>3%</t>
    </r>
  </si>
  <si>
    <t>Percent Riffle for Slopes &lt; 3%</t>
  </si>
  <si>
    <t>FAR/F</t>
  </si>
  <si>
    <t>Flow Dynamics</t>
  </si>
  <si>
    <t>Alaska &amp; Brooks Range</t>
  </si>
  <si>
    <t>Interior Highlands</t>
  </si>
  <si>
    <t>Interior Bottomlands</t>
  </si>
  <si>
    <t>Interior Forested Lowlands/Uplands</t>
  </si>
  <si>
    <t>Percent Native Cover</t>
  </si>
  <si>
    <t>LWD Frequency</t>
  </si>
  <si>
    <t>Alaska Range</t>
  </si>
  <si>
    <t>Brooks Range</t>
  </si>
  <si>
    <t>Interior Forested Lowlands/Uplands and Highlands</t>
  </si>
  <si>
    <t>Entrenchment Ratio (ER) C Streams</t>
  </si>
  <si>
    <t>Entrenchment Ratio (ER) E Streams</t>
  </si>
  <si>
    <t>B &amp; Ba Streams</t>
  </si>
  <si>
    <t>All other Streams</t>
  </si>
  <si>
    <t>Fish Species Richness</t>
  </si>
  <si>
    <t>Entrenchment Ratio (ft/ft)</t>
  </si>
  <si>
    <t>Bank Height Ratio (ft/ft)</t>
  </si>
  <si>
    <t>Concentrated Flow Points (#/1,000ft)</t>
  </si>
  <si>
    <t>LWD Frequency (#/100m)</t>
  </si>
  <si>
    <t>Pool Spacing Ratio (ft/ft)</t>
  </si>
  <si>
    <t>Pool Depth Ratio (ft/ft)</t>
  </si>
  <si>
    <t>Large Woody Debris (LWD)</t>
  </si>
  <si>
    <t>Fish Species Richness (% Expected)</t>
  </si>
  <si>
    <t>Species Biomass (O/E)</t>
  </si>
  <si>
    <t>Rising limb</t>
  </si>
  <si>
    <t>Strahler Stream Order:</t>
  </si>
  <si>
    <t>Flow Type</t>
  </si>
  <si>
    <t>Flow Type:</t>
  </si>
  <si>
    <t>Ecoregion:</t>
  </si>
  <si>
    <t>Proposed Slope (%):</t>
  </si>
  <si>
    <t>4+</t>
  </si>
  <si>
    <t>Strahler Stream Order</t>
  </si>
  <si>
    <t>Perennial</t>
  </si>
  <si>
    <t>Intermittent</t>
  </si>
  <si>
    <t>Ephemeral</t>
  </si>
  <si>
    <t>Ecoregion</t>
  </si>
  <si>
    <r>
      <t>Proposed FF - Existing FF (</t>
    </r>
    <r>
      <rPr>
        <sz val="12"/>
        <color theme="1"/>
        <rFont val="Grotesque"/>
        <family val="2"/>
        <charset val="1"/>
      </rPr>
      <t>Δ</t>
    </r>
    <r>
      <rPr>
        <sz val="12"/>
        <color theme="1"/>
        <rFont val="Calibri"/>
        <family val="2"/>
      </rPr>
      <t>FF)</t>
    </r>
  </si>
  <si>
    <t>Scoring</t>
  </si>
  <si>
    <t>Purpose: This form is used to determine the project's restoration potential. The catchment assessment is performed on the catchment and contributing area for the project reach. Note the contributing area may be downstream as well, as in the case where a dam exists downstream which restricts movement/recovery of aquatic communities.</t>
  </si>
  <si>
    <t>Required for all streams where LWD is a natural component.</t>
  </si>
  <si>
    <t>Only use when armoring techniques are present or proposed.</t>
  </si>
  <si>
    <t>Vegetative Complexity</t>
  </si>
  <si>
    <t>Optional. Use for streams that are thermally impacted and project is large enough to show lift.</t>
  </si>
  <si>
    <t>PCS - ECS</t>
  </si>
  <si>
    <t>Alaska Department of Environmental Conservation</t>
  </si>
  <si>
    <t>Percent Streambank Armoring</t>
  </si>
  <si>
    <t>Percent Fines &lt; 2mm (%)</t>
  </si>
  <si>
    <t>Impervious Cover (%)</t>
  </si>
  <si>
    <t>Catchment Hydrology</t>
  </si>
  <si>
    <t>Turbidity</t>
  </si>
  <si>
    <t>Diatoms</t>
  </si>
  <si>
    <t>Percent Fines &lt; 2mm</t>
  </si>
  <si>
    <t xml:space="preserve">Gravel Bed </t>
  </si>
  <si>
    <t>Programmatic Goals:</t>
  </si>
  <si>
    <t>Assemblage</t>
  </si>
  <si>
    <t>Anadromous</t>
  </si>
  <si>
    <t>Non-anadromous</t>
  </si>
  <si>
    <t>Daily Maximum Temperature</t>
  </si>
  <si>
    <t>Cobble, Boulders, Bedrock</t>
  </si>
  <si>
    <t>Non-mitigation</t>
  </si>
  <si>
    <t>Width/Depth Ratio (% of Expected)</t>
  </si>
  <si>
    <t>Data Source</t>
  </si>
  <si>
    <t>Riparian Buffer Vegetation</t>
  </si>
  <si>
    <t>Imagery</t>
  </si>
  <si>
    <t>Imagery &amp; 
Site data</t>
  </si>
  <si>
    <t xml:space="preserve">Low anthropogenic-caused alteration to sediment supply (increase or decrease). </t>
  </si>
  <si>
    <t>Moderately altered sediment supply from upstream bank erosion and surface runoff. Sources of excess sediment (e.g. placer tailings, gravel stockpiles) are present in catchment but not within 1 mile of the project reach.</t>
  </si>
  <si>
    <t>Category 5 due to nonsupport of aquatic life uses OR Category 4 and aquatic life impairment not actively being mitigated.</t>
  </si>
  <si>
    <t>Category 4 due to nonsupport of aquatic life uses and aquatic life impairment actively being mitigated.</t>
  </si>
  <si>
    <t>ADEC database</t>
  </si>
  <si>
    <t>Contaminants</t>
  </si>
  <si>
    <t>In-situ sampling or ADEC database</t>
  </si>
  <si>
    <t>Anthropogenic barriers exist that entirely blocks anadromous fish access to the project reach and/or interferes with the necessary life history movements of resident fish that use the project reach.</t>
  </si>
  <si>
    <t>No anthropogenic barriers upstream or downstream of the reach.</t>
  </si>
  <si>
    <t>ADF&amp;G Web Mapper &amp; Imagery</t>
  </si>
  <si>
    <t>ADNR, ADF&amp;G flow regulation &amp; water rights data</t>
  </si>
  <si>
    <t>Substantially altered sediment supply from upstream bank erosion and surface runoff. Sources of excess sediment (e.g. placer tailings, gravel stockpiles) within 1 mile of the project reach.</t>
  </si>
  <si>
    <t xml:space="preserve">Roads/trails are located in close proximity to the stream and within the floodplain. As a result, roads/trails directly alter runoff processes; sediment loading, transport, and deposition; channel morphology and stability; water quality; and riparian conditions within the catchment. </t>
  </si>
  <si>
    <t xml:space="preserve">No roads or trails exist in the catchment. </t>
  </si>
  <si>
    <t>Imagery &amp; NLCD</t>
  </si>
  <si>
    <t xml:space="preserve">High development in contributing catchment or some within 1 mile of project reach, or &gt;1 mile but available information indicates high potential for impacts to project reach. </t>
  </si>
  <si>
    <t>Aufeis formation caused by land disturbance is minor or nonexistent within, extends into the reach from downstream, or is found upstream of the project reach.</t>
  </si>
  <si>
    <t>Areas of permafrost degradation exist within or upstream of the project reach contributing to hillslope slumping or increased erosion but are not resulting in impacts to water quality.</t>
  </si>
  <si>
    <t>No areas of permafrost degradation in the catchment area have been observed.</t>
  </si>
  <si>
    <t>Imagery &amp; Spatial data</t>
  </si>
  <si>
    <t>Regulated Discharges (APDES permits)</t>
  </si>
  <si>
    <t xml:space="preserve">None in catchment or within 1 mile of project reach. </t>
  </si>
  <si>
    <t xml:space="preserve">Two or more in catchment and at least 1 within 1 mile of project reach. </t>
  </si>
  <si>
    <t xml:space="preserve">Less than two in catchment but none within 1 mile of project reach. </t>
  </si>
  <si>
    <t>Stream Mechanics through a contract with Salcha-Delta Soil and Water Conservation District</t>
  </si>
  <si>
    <t>Ecosystem Planning and Restoration (EPR) through a contract with the U.S. Environmental Projection Agency (Contract No. EP-C-17-001).</t>
  </si>
  <si>
    <t>Salcha-Delta Soil and Water Conservation District</t>
  </si>
  <si>
    <t>Steering Committee:</t>
  </si>
  <si>
    <t>U.S. Army Corps of Engineers, Alaska District</t>
  </si>
  <si>
    <t>U.S. Bureau of Land Management</t>
  </si>
  <si>
    <t xml:space="preserve">National Park Service </t>
  </si>
  <si>
    <t>U.S. Fish and Wildlife Service</t>
  </si>
  <si>
    <t>Applicable Reach IDs:</t>
  </si>
  <si>
    <t>Imagery, Permafrost mapping, &amp; Site data</t>
  </si>
  <si>
    <t>Site data</t>
  </si>
  <si>
    <t>Compensation - Credits</t>
  </si>
  <si>
    <t>Compensation - Debits</t>
  </si>
  <si>
    <t>Forested</t>
  </si>
  <si>
    <t>Scrub-shrub</t>
  </si>
  <si>
    <t>Herbaceous</t>
  </si>
  <si>
    <t>Tundra</t>
  </si>
  <si>
    <t>Fish Assemblage:</t>
  </si>
  <si>
    <t xml:space="preserve">Moderate (10-20%) change in the flow volume from natural flow conditions. </t>
  </si>
  <si>
    <t>Minimal (less than 10%) change in flow volume from natural flow conditions.</t>
  </si>
  <si>
    <t>Reference Vegetation Cover:</t>
  </si>
  <si>
    <t>ReferenceVegetation Cover</t>
  </si>
  <si>
    <t>USACE and other Permits</t>
  </si>
  <si>
    <t>Required for all assessments except bedrock controlled channels.</t>
  </si>
  <si>
    <t>Required for all assessments except A reference stream types.</t>
  </si>
  <si>
    <t>Anthropogenic Land Cover (%)</t>
  </si>
  <si>
    <t>Native Cover (%)</t>
  </si>
  <si>
    <t>Latitude:</t>
  </si>
  <si>
    <t>Longitude:</t>
  </si>
  <si>
    <t>Insert Aerial Photo of Project Reach</t>
  </si>
  <si>
    <t>1. Users input values that are highlighted based on parameter and metric selection</t>
  </si>
  <si>
    <t>Impervious Cover</t>
  </si>
  <si>
    <t>Anthropogenic Land Cover</t>
  </si>
  <si>
    <t>Riparian Extent (% of Expected)</t>
  </si>
  <si>
    <t>Fish Species Richness (% of Expected)</t>
  </si>
  <si>
    <t>Yukon Flats</t>
  </si>
  <si>
    <t>Daily Average Turbidity</t>
  </si>
  <si>
    <t>Poor (P)</t>
  </si>
  <si>
    <t>Fair (F)</t>
  </si>
  <si>
    <t>Good (G)</t>
  </si>
  <si>
    <t>1. Users input values or text</t>
  </si>
  <si>
    <t>Notes:</t>
  </si>
  <si>
    <t>Daily Maximum Temperature (O/E)</t>
  </si>
  <si>
    <t>Daily Average Turbidity (O/E)</t>
  </si>
  <si>
    <t>Relative Abundance (O/E)</t>
  </si>
  <si>
    <t>Relative Abundance and Species Biomass metrics</t>
  </si>
  <si>
    <t>Natural plant community occupies more than 2/3 of the valley bottom and riparian corridor is contiguous for at least 90% of the contributing stream length.</t>
  </si>
  <si>
    <t xml:space="preserve">Natural plant community occupies at least 1/3 of the valley bottom and gaps in riparian corridor do not exceed 30% of the contributing stream length. </t>
  </si>
  <si>
    <t xml:space="preserve">Natural plant community occupies less than 1/3 of the valley bottom or gaps in riparian corridor exceed 30% of the contributing stream length. </t>
  </si>
  <si>
    <t>No streams within the catchment are on the 303(d) list.</t>
  </si>
  <si>
    <t xml:space="preserve">No sources of contamination within the catchment were identified and water testing was not conducted, or Water testing from within the project reach  identified no contaminant(s) in concentrations that negatively affect aquatic life uses. </t>
  </si>
  <si>
    <t>Water testing from within the project reach has identified contaminant(s) in concentrations that may limit aquatic life uses, or Testing was not conducted but 1 source of contamination within the catchment was identified.</t>
  </si>
  <si>
    <t>Anthropogenic barriers exist but do not block anadromous fish access at all times, and do not interfere with the necessary life history movements of resident fish that use the project reach, e.g., spawning, rearing, and overwintering habitats all occur within the isolated reach.</t>
  </si>
  <si>
    <t>Substantial (more than 20%) change in the flow volume from natural flow conditions.</t>
  </si>
  <si>
    <t>Aufeis formation caused by land disturbance is extensive within, extends into the reach from downstream, or is found within 1 kilometer (0.62 miles) upstream of the project reach.</t>
  </si>
  <si>
    <t>Aufeis formation caused by land disturbance is moderate within, extends into the reach from downstream, or is found within 1 kilometer (0.62 miles) upstream of the project reach.</t>
  </si>
  <si>
    <t>Areas of permafrost degradation exist within or upstream of the project reach, contributing to hillslope slumping, increased erosion, and/or water quality impacts.</t>
  </si>
  <si>
    <t>Required for all assessments unless Reach Runoff Impervious Cover and Anthropogenic Land Cover metrics are used instead.</t>
  </si>
  <si>
    <t>Required for all assessments unless Reach Runoff Land Use Coefficient metric is used instead.</t>
  </si>
  <si>
    <t>Optional for all partial restoration potential projects. Required for full restoration potential projects. Use all three metrics together.</t>
  </si>
  <si>
    <t>Diatom Index</t>
  </si>
  <si>
    <r>
      <rPr>
        <b/>
        <sz val="10"/>
        <rFont val="Arial"/>
        <family val="2"/>
      </rPr>
      <t xml:space="preserve">Notes:   </t>
    </r>
    <r>
      <rPr>
        <sz val="10"/>
        <rFont val="Arial"/>
        <family val="2"/>
      </rPr>
      <t>ADEC = Alaska Department of Environmental Conservation          ADF&amp;G = Alaska Department of Game and Fish               NLCD = National Land Cover Database</t>
    </r>
  </si>
  <si>
    <t xml:space="preserve">           APDES = Alaska Pollutant Discharge Elimination                       ADNR =  Alaska Department of Natural Resources            USACE = US Army Corps of Engineers</t>
  </si>
  <si>
    <t xml:space="preserve">Optional. Recommended for streams with gravel beds, or larger, and anthropogenic supply of fines. This parameter is not applicable in natural sand or silt bed streams. </t>
  </si>
  <si>
    <t>Optional. Only use when nonnative species are present or likely to inhabit.</t>
  </si>
  <si>
    <t>Optional. This parameter is only applicable in naturally clear streams.</t>
  </si>
  <si>
    <t>Optional. Use when project area includes land use changes in the catchment. Use these two metrics together or the Catchment Hydrology Land Use Coefficient metric. Do not use all three metrics.</t>
  </si>
  <si>
    <t>Reference stream type is the stream type that should occur in a given landscape setting given the hydrogeomorphic processes occurring at the watershed and reach scales. Channel evolution scenarios should be used to inform the reference stream type in the AKSQTint.</t>
  </si>
  <si>
    <t>The following table is provided to assist in selecting the appropriate parameters and metrics for each project reach. The AKSQTint was developed for single-thread, wadeable streams in the Alaska Interior.</t>
  </si>
  <si>
    <t xml:space="preserve">Water testing from within the project reach has identified contaminant(s) in concentrations that would limit aquatic life uses, or Testing was not conducted but 2 or more sources of contamination within the catchment were identified, or Testing was not conducted but evidence indicates a contaminant source is toxic to aquatic life. </t>
  </si>
  <si>
    <t>Version 1</t>
  </si>
  <si>
    <t>Alaskan Interior MMI</t>
  </si>
  <si>
    <t xml:space="preserve">Optional for all partial restoration potential projects and encouraged for full restoration projects. </t>
  </si>
  <si>
    <t xml:space="preserve">Optional. Use for streams with impacted water quality where project is large enough to show lift. The metric is considered provisional in the AKSQTint v1.0. </t>
  </si>
  <si>
    <t>Optional. Use when project area includes land use changes in the catchment. Use this metric or the other two Catchment Hydrology metrics together. Do not use all three metrics.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</si>
</sst>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0.000"/>
    <numFmt numFmtId="167" formatCode="0.00000"/>
    <numFmt numFmtId="168" formatCode="0.000000"/>
  </numFmts>
  <fonts count="43" x14ac:knownFonts="1">
    <font>
      <sz val="11"/>
      <color theme="1"/>
      <name val="Calibri"/>
      <family val="2"/>
      <scheme val="minor"/>
    </font>
    <font>
      <b/>
      <sz val="11"/>
      <color theme="1"/>
      <name val="Calibri"/>
      <family val="2"/>
      <scheme val="minor"/>
    </font>
    <font>
      <sz val="10"/>
      <name val="Arial"/>
      <family val="2"/>
    </font>
    <font>
      <b/>
      <sz val="14"/>
      <name val="Arial"/>
      <family val="2"/>
    </font>
    <font>
      <sz val="11"/>
      <name val="Arial"/>
      <family val="2"/>
    </font>
    <font>
      <b/>
      <sz val="12"/>
      <name val="Arial"/>
      <family val="2"/>
    </font>
    <font>
      <sz val="11"/>
      <name val="Calibri"/>
      <family val="2"/>
      <scheme val="minor"/>
    </font>
    <font>
      <b/>
      <sz val="14"/>
      <color theme="1"/>
      <name val="Calibri"/>
      <family val="2"/>
      <scheme val="minor"/>
    </font>
    <font>
      <i/>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4"/>
      <color theme="1"/>
      <name val="Calibri"/>
      <family val="2"/>
      <scheme val="minor"/>
    </font>
    <font>
      <sz val="11"/>
      <color theme="1"/>
      <name val="Calibri"/>
      <family val="2"/>
      <scheme val="minor"/>
    </font>
    <font>
      <sz val="11"/>
      <color rgb="FFFF0000"/>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8"/>
      <color rgb="FFFF000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2"/>
      <name val="Calibri"/>
      <family val="2"/>
      <scheme val="minor"/>
    </font>
    <font>
      <sz val="12"/>
      <color rgb="FF000000"/>
      <name val="Calibri"/>
      <family val="2"/>
      <scheme val="minor"/>
    </font>
    <font>
      <sz val="11"/>
      <color theme="1"/>
      <name val="Calibri"/>
      <family val="2"/>
      <scheme val="minor"/>
    </font>
    <font>
      <b/>
      <sz val="15"/>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b/>
      <sz val="16"/>
      <color theme="1"/>
      <name val="Calibri"/>
      <family val="2"/>
      <scheme val="minor"/>
    </font>
    <font>
      <sz val="14"/>
      <color rgb="FFFF0000"/>
      <name val="Calibri"/>
      <family val="2"/>
      <scheme val="minor"/>
    </font>
    <font>
      <sz val="10.5"/>
      <color rgb="FF000000"/>
      <name val="Calibri"/>
      <family val="2"/>
      <scheme val="minor"/>
    </font>
    <font>
      <sz val="10.5"/>
      <color theme="1"/>
      <name val="Calibri"/>
      <family val="2"/>
      <scheme val="minor"/>
    </font>
    <font>
      <b/>
      <sz val="11"/>
      <name val="Arial"/>
      <family val="2"/>
    </font>
    <font>
      <sz val="10"/>
      <color rgb="FF212121"/>
      <name val="Arial"/>
      <family val="2"/>
    </font>
    <font>
      <sz val="11"/>
      <color theme="1"/>
      <name val="Calibri"/>
      <family val="2"/>
    </font>
    <font>
      <sz val="9.35"/>
      <color theme="1"/>
      <name val="Calibri"/>
      <family val="2"/>
    </font>
    <font>
      <sz val="12"/>
      <color theme="1"/>
      <name val="Grotesque"/>
      <family val="2"/>
      <charset val="1"/>
    </font>
    <font>
      <sz val="12"/>
      <color theme="1"/>
      <name val="Calibri"/>
      <family val="2"/>
    </font>
    <font>
      <b/>
      <sz val="10"/>
      <name val="Arial"/>
      <family val="2"/>
    </font>
    <font>
      <b/>
      <sz val="14"/>
      <color theme="1"/>
      <name val="Arial"/>
      <family val="2"/>
    </font>
  </fonts>
  <fills count="1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DDEBF7"/>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0" fontId="2" fillId="0" borderId="0"/>
    <xf numFmtId="9" fontId="14" fillId="0" borderId="0" applyFont="0" applyFill="0" applyBorder="0" applyAlignment="0" applyProtection="0"/>
    <xf numFmtId="0" fontId="2" fillId="0" borderId="0" applyNumberFormat="0" applyFill="0" applyBorder="0" applyAlignment="0" applyProtection="0"/>
  </cellStyleXfs>
  <cellXfs count="630">
    <xf numFmtId="0" fontId="0" fillId="0" borderId="0" xfId="0"/>
    <xf numFmtId="0" fontId="1" fillId="0" borderId="0" xfId="0" applyFont="1"/>
    <xf numFmtId="2" fontId="0" fillId="0" borderId="0" xfId="0" applyNumberFormat="1"/>
    <xf numFmtId="0" fontId="4" fillId="0" borderId="0" xfId="1" applyFont="1"/>
    <xf numFmtId="0" fontId="4" fillId="0" borderId="0" xfId="1" applyFont="1" applyAlignment="1">
      <alignment horizontal="left"/>
    </xf>
    <xf numFmtId="0" fontId="4" fillId="0" borderId="0" xfId="1" applyFont="1" applyAlignment="1">
      <alignment vertical="center" wrapText="1"/>
    </xf>
    <xf numFmtId="0" fontId="4" fillId="0" borderId="0" xfId="1" applyFont="1" applyAlignment="1">
      <alignment horizontal="left" vertical="center" wrapText="1"/>
    </xf>
    <xf numFmtId="2" fontId="10" fillId="0" borderId="7" xfId="0" applyNumberFormat="1" applyFont="1" applyBorder="1" applyAlignment="1">
      <alignment horizontal="center"/>
    </xf>
    <xf numFmtId="0" fontId="10" fillId="9" borderId="17" xfId="0" applyFont="1" applyFill="1" applyBorder="1"/>
    <xf numFmtId="0" fontId="10" fillId="9" borderId="21" xfId="0" applyFont="1" applyFill="1" applyBorder="1"/>
    <xf numFmtId="0" fontId="10" fillId="9" borderId="7" xfId="0" applyFont="1" applyFill="1" applyBorder="1" applyAlignment="1">
      <alignment horizontal="left"/>
    </xf>
    <xf numFmtId="0" fontId="10" fillId="10" borderId="7" xfId="0" applyFont="1" applyFill="1" applyBorder="1" applyAlignment="1">
      <alignment horizontal="left"/>
    </xf>
    <xf numFmtId="0" fontId="0" fillId="0" borderId="25" xfId="0" applyBorder="1"/>
    <xf numFmtId="0" fontId="10" fillId="0" borderId="0" xfId="0" applyFont="1"/>
    <xf numFmtId="0" fontId="10" fillId="0" borderId="0" xfId="0" applyFont="1" applyAlignment="1">
      <alignment vertical="center"/>
    </xf>
    <xf numFmtId="0" fontId="10" fillId="0" borderId="0" xfId="0" applyFont="1" applyAlignment="1">
      <alignment horizontal="left" vertical="center"/>
    </xf>
    <xf numFmtId="0" fontId="7" fillId="0" borderId="0" xfId="0" applyFont="1" applyAlignment="1">
      <alignment vertical="center"/>
    </xf>
    <xf numFmtId="0" fontId="13" fillId="0" borderId="0" xfId="0" applyFont="1"/>
    <xf numFmtId="2" fontId="13" fillId="0" borderId="7" xfId="0" applyNumberFormat="1" applyFont="1" applyBorder="1" applyAlignment="1">
      <alignment horizontal="center" vertical="center"/>
    </xf>
    <xf numFmtId="0" fontId="9" fillId="0" borderId="10" xfId="0" applyFont="1" applyBorder="1"/>
    <xf numFmtId="2" fontId="10" fillId="11" borderId="7" xfId="0" applyNumberFormat="1" applyFont="1" applyFill="1" applyBorder="1" applyAlignment="1">
      <alignment horizontal="center"/>
    </xf>
    <xf numFmtId="2" fontId="13" fillId="11" borderId="7" xfId="0" applyNumberFormat="1" applyFont="1" applyFill="1" applyBorder="1" applyAlignment="1">
      <alignment horizontal="center" vertical="center"/>
    </xf>
    <xf numFmtId="0" fontId="0" fillId="0" borderId="0" xfId="0" applyAlignment="1">
      <alignment horizont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1" fillId="0" borderId="7" xfId="0" applyFont="1" applyBorder="1" applyAlignment="1">
      <alignment horizontal="center"/>
    </xf>
    <xf numFmtId="0" fontId="3" fillId="12" borderId="15" xfId="1" applyFont="1" applyFill="1" applyBorder="1" applyAlignment="1">
      <alignment horizontal="center" vertical="center" wrapText="1"/>
    </xf>
    <xf numFmtId="0" fontId="0" fillId="0" borderId="0" xfId="0" applyAlignment="1">
      <alignment horizontal="left"/>
    </xf>
    <xf numFmtId="0" fontId="0" fillId="0" borderId="26" xfId="0" applyBorder="1"/>
    <xf numFmtId="0" fontId="0" fillId="0" borderId="4" xfId="0" applyBorder="1"/>
    <xf numFmtId="0" fontId="0" fillId="0" borderId="5" xfId="0" applyBorder="1"/>
    <xf numFmtId="0" fontId="0" fillId="0" borderId="6" xfId="0" applyBorder="1"/>
    <xf numFmtId="0" fontId="16" fillId="0" borderId="0" xfId="0" applyFont="1"/>
    <xf numFmtId="0" fontId="15" fillId="0" borderId="0" xfId="0" applyFont="1"/>
    <xf numFmtId="0" fontId="18" fillId="6" borderId="7" xfId="0" applyFont="1" applyFill="1" applyBorder="1" applyAlignment="1" applyProtection="1">
      <alignment horizontal="center"/>
      <protection locked="0"/>
    </xf>
    <xf numFmtId="0" fontId="18" fillId="12" borderId="7" xfId="0" applyFont="1" applyFill="1" applyBorder="1" applyAlignment="1" applyProtection="1">
      <alignment horizontal="center"/>
      <protection locked="0"/>
    </xf>
    <xf numFmtId="0" fontId="17" fillId="0" borderId="0" xfId="0" applyFont="1" applyAlignment="1">
      <alignment horizontal="center"/>
    </xf>
    <xf numFmtId="0" fontId="17" fillId="0" borderId="0" xfId="0" applyFont="1"/>
    <xf numFmtId="1" fontId="17" fillId="0" borderId="21" xfId="0" applyNumberFormat="1" applyFont="1" applyBorder="1" applyAlignment="1">
      <alignment horizontal="center"/>
    </xf>
    <xf numFmtId="1" fontId="17" fillId="0" borderId="20" xfId="0" applyNumberFormat="1" applyFont="1" applyBorder="1" applyAlignment="1">
      <alignment horizontal="center"/>
    </xf>
    <xf numFmtId="0" fontId="17" fillId="0" borderId="22" xfId="0" applyFont="1" applyBorder="1" applyAlignment="1">
      <alignment horizontal="center"/>
    </xf>
    <xf numFmtId="0" fontId="18" fillId="0" borderId="0" xfId="0" applyFont="1"/>
    <xf numFmtId="2" fontId="18" fillId="0" borderId="7" xfId="2" applyNumberFormat="1" applyFont="1" applyBorder="1" applyAlignment="1">
      <alignment horizontal="center"/>
    </xf>
    <xf numFmtId="0" fontId="18" fillId="0" borderId="7" xfId="0" applyFont="1" applyBorder="1" applyAlignment="1">
      <alignment horizontal="center"/>
    </xf>
    <xf numFmtId="0" fontId="18" fillId="0" borderId="0" xfId="0" applyFont="1" applyAlignment="1">
      <alignment horizontal="left"/>
    </xf>
    <xf numFmtId="0" fontId="20" fillId="0" borderId="0" xfId="0" applyFont="1"/>
    <xf numFmtId="0" fontId="17" fillId="0" borderId="0" xfId="0" applyFont="1" applyAlignment="1">
      <alignment horizontal="center" vertical="center"/>
    </xf>
    <xf numFmtId="0" fontId="21" fillId="0" borderId="0" xfId="0" applyFont="1" applyAlignment="1">
      <alignment horizontal="center" vertical="center" wrapText="1"/>
    </xf>
    <xf numFmtId="2" fontId="18" fillId="0" borderId="7" xfId="0" applyNumberFormat="1" applyFont="1" applyBorder="1" applyAlignment="1">
      <alignment horizontal="center"/>
    </xf>
    <xf numFmtId="2" fontId="18" fillId="0" borderId="0" xfId="0" applyNumberFormat="1" applyFont="1" applyAlignment="1">
      <alignment horizontal="center"/>
    </xf>
    <xf numFmtId="0" fontId="18" fillId="8" borderId="7" xfId="0" applyFont="1" applyFill="1" applyBorder="1" applyAlignment="1">
      <alignment horizontal="left"/>
    </xf>
    <xf numFmtId="0" fontId="18" fillId="9" borderId="7" xfId="0" applyFont="1" applyFill="1" applyBorder="1" applyAlignment="1">
      <alignment horizontal="left"/>
    </xf>
    <xf numFmtId="0" fontId="18" fillId="5" borderId="7" xfId="0" applyFont="1" applyFill="1" applyBorder="1" applyAlignment="1">
      <alignment horizontal="left"/>
    </xf>
    <xf numFmtId="0" fontId="16" fillId="0" borderId="0" xfId="0" applyFont="1" applyAlignment="1">
      <alignment horizontal="center"/>
    </xf>
    <xf numFmtId="0" fontId="18" fillId="10" borderId="7" xfId="0" applyFont="1" applyFill="1" applyBorder="1" applyAlignment="1">
      <alignment horizontal="left"/>
    </xf>
    <xf numFmtId="0" fontId="21" fillId="0" borderId="7" xfId="0" applyFont="1" applyBorder="1" applyAlignment="1">
      <alignment horizontal="center"/>
    </xf>
    <xf numFmtId="0" fontId="21" fillId="0" borderId="12" xfId="0" applyFont="1" applyBorder="1" applyAlignment="1">
      <alignment horizontal="center"/>
    </xf>
    <xf numFmtId="0" fontId="18" fillId="6" borderId="23" xfId="0" applyFont="1" applyFill="1" applyBorder="1" applyAlignment="1" applyProtection="1">
      <alignment horizontal="center"/>
      <protection locked="0"/>
    </xf>
    <xf numFmtId="2" fontId="16" fillId="0" borderId="0" xfId="0" applyNumberFormat="1" applyFont="1"/>
    <xf numFmtId="0" fontId="18" fillId="6" borderId="8" xfId="0" applyFont="1" applyFill="1" applyBorder="1" applyAlignment="1" applyProtection="1">
      <alignment horizontal="center"/>
      <protection locked="0"/>
    </xf>
    <xf numFmtId="0" fontId="18" fillId="6" borderId="9" xfId="0" applyFont="1" applyFill="1" applyBorder="1" applyAlignment="1" applyProtection="1">
      <alignment horizontal="center"/>
      <protection locked="0"/>
    </xf>
    <xf numFmtId="0" fontId="18" fillId="8" borderId="20" xfId="0" applyFont="1" applyFill="1" applyBorder="1"/>
    <xf numFmtId="0" fontId="18" fillId="9" borderId="24" xfId="0" applyFont="1" applyFill="1" applyBorder="1"/>
    <xf numFmtId="0" fontId="18" fillId="9" borderId="0" xfId="0" applyFont="1" applyFill="1"/>
    <xf numFmtId="0" fontId="18" fillId="6" borderId="18" xfId="0" applyFont="1" applyFill="1" applyBorder="1" applyAlignment="1" applyProtection="1">
      <alignment horizontal="center"/>
      <protection locked="0"/>
    </xf>
    <xf numFmtId="2" fontId="18" fillId="9" borderId="7" xfId="0" applyNumberFormat="1" applyFont="1" applyFill="1" applyBorder="1" applyAlignment="1">
      <alignment horizontal="center"/>
    </xf>
    <xf numFmtId="0" fontId="18" fillId="6" borderId="17" xfId="0" applyFont="1" applyFill="1" applyBorder="1" applyAlignment="1" applyProtection="1">
      <alignment horizontal="center"/>
      <protection locked="0"/>
    </xf>
    <xf numFmtId="2" fontId="25" fillId="9" borderId="8" xfId="0" applyNumberFormat="1" applyFont="1" applyFill="1" applyBorder="1" applyAlignment="1">
      <alignment horizontal="center" vertical="center"/>
    </xf>
    <xf numFmtId="2" fontId="18" fillId="9" borderId="23" xfId="0" applyNumberFormat="1" applyFont="1" applyFill="1" applyBorder="1" applyAlignment="1">
      <alignment horizontal="center"/>
    </xf>
    <xf numFmtId="0" fontId="18" fillId="6" borderId="21" xfId="0" applyFont="1" applyFill="1" applyBorder="1" applyAlignment="1" applyProtection="1">
      <alignment horizontal="center"/>
      <protection locked="0"/>
    </xf>
    <xf numFmtId="0" fontId="18" fillId="10" borderId="24" xfId="0" applyFont="1" applyFill="1" applyBorder="1"/>
    <xf numFmtId="2" fontId="18" fillId="10" borderId="9" xfId="0" applyNumberFormat="1" applyFont="1" applyFill="1" applyBorder="1" applyAlignment="1">
      <alignment horizontal="center"/>
    </xf>
    <xf numFmtId="0" fontId="26" fillId="0" borderId="0" xfId="0" applyFont="1"/>
    <xf numFmtId="0" fontId="26" fillId="0" borderId="0" xfId="0" applyFont="1" applyAlignment="1">
      <alignment vertical="center" wrapText="1"/>
    </xf>
    <xf numFmtId="0" fontId="28" fillId="0" borderId="0" xfId="0" applyFont="1"/>
    <xf numFmtId="0" fontId="26" fillId="0" borderId="1" xfId="0" applyFont="1" applyBorder="1" applyAlignment="1">
      <alignment vertical="center" wrapText="1"/>
    </xf>
    <xf numFmtId="0" fontId="26" fillId="0" borderId="2" xfId="0" applyFont="1" applyBorder="1"/>
    <xf numFmtId="0" fontId="26" fillId="0" borderId="3" xfId="0" applyFont="1" applyBorder="1"/>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4" xfId="0" applyFont="1" applyBorder="1" applyAlignment="1">
      <alignment vertical="center" wrapText="1"/>
    </xf>
    <xf numFmtId="0" fontId="26" fillId="0" borderId="0" xfId="0" applyFont="1" applyAlignment="1">
      <alignment horizontal="center"/>
    </xf>
    <xf numFmtId="2" fontId="26" fillId="0" borderId="0" xfId="0" applyNumberFormat="1" applyFont="1"/>
    <xf numFmtId="0" fontId="29" fillId="0" borderId="0" xfId="0" applyFont="1"/>
    <xf numFmtId="0" fontId="26" fillId="0" borderId="0" xfId="0" applyFont="1" applyAlignment="1">
      <alignment vertical="center"/>
    </xf>
    <xf numFmtId="166" fontId="29" fillId="0" borderId="0" xfId="0" applyNumberFormat="1" applyFont="1"/>
    <xf numFmtId="0" fontId="26" fillId="0" borderId="0" xfId="0" applyFont="1" applyAlignment="1">
      <alignment horizontal="left"/>
    </xf>
    <xf numFmtId="165" fontId="26" fillId="0" borderId="0" xfId="0" applyNumberFormat="1" applyFont="1"/>
    <xf numFmtId="0" fontId="30" fillId="0" borderId="0" xfId="0" applyFont="1" applyAlignment="1">
      <alignment wrapText="1"/>
    </xf>
    <xf numFmtId="0" fontId="26" fillId="0" borderId="26" xfId="0" applyFont="1" applyBorder="1" applyAlignment="1">
      <alignment vertical="center" wrapText="1"/>
    </xf>
    <xf numFmtId="1" fontId="26" fillId="0" borderId="2" xfId="0" applyNumberFormat="1" applyFont="1" applyBorder="1" applyAlignment="1">
      <alignment vertical="center" wrapText="1"/>
    </xf>
    <xf numFmtId="0" fontId="26" fillId="0" borderId="0" xfId="0" applyFont="1" applyAlignment="1">
      <alignment horizontal="left" vertical="center"/>
    </xf>
    <xf numFmtId="0" fontId="26" fillId="0" borderId="0" xfId="0" applyFont="1" applyAlignment="1">
      <alignment wrapText="1"/>
    </xf>
    <xf numFmtId="0" fontId="31" fillId="0" borderId="0" xfId="0" applyFont="1"/>
    <xf numFmtId="2" fontId="26" fillId="3" borderId="5" xfId="0" applyNumberFormat="1" applyFont="1" applyFill="1" applyBorder="1" applyAlignment="1">
      <alignment vertical="center" wrapText="1"/>
    </xf>
    <xf numFmtId="167" fontId="26" fillId="0" borderId="0" xfId="0" applyNumberFormat="1" applyFont="1"/>
    <xf numFmtId="164" fontId="26" fillId="0" borderId="2" xfId="0" applyNumberFormat="1" applyFont="1" applyBorder="1" applyAlignment="1">
      <alignment vertical="center" wrapText="1"/>
    </xf>
    <xf numFmtId="164" fontId="26" fillId="0" borderId="3" xfId="0" applyNumberFormat="1" applyFont="1" applyBorder="1" applyAlignment="1">
      <alignment vertical="center" wrapText="1"/>
    </xf>
    <xf numFmtId="164" fontId="26" fillId="0" borderId="0" xfId="0" applyNumberFormat="1" applyFont="1" applyAlignment="1">
      <alignment vertical="center" wrapText="1"/>
    </xf>
    <xf numFmtId="0" fontId="26" fillId="0" borderId="0" xfId="0" applyFont="1" applyAlignment="1">
      <alignment horizontal="right"/>
    </xf>
    <xf numFmtId="1" fontId="26" fillId="0" borderId="3" xfId="0" applyNumberFormat="1" applyFont="1" applyBorder="1" applyAlignment="1">
      <alignment vertical="center" wrapText="1"/>
    </xf>
    <xf numFmtId="1" fontId="26" fillId="0" borderId="26" xfId="0" applyNumberFormat="1" applyFont="1" applyBorder="1" applyAlignment="1">
      <alignment vertical="center" wrapText="1"/>
    </xf>
    <xf numFmtId="1" fontId="26" fillId="0" borderId="0" xfId="0" applyNumberFormat="1" applyFont="1" applyAlignment="1">
      <alignment vertical="center" wrapText="1"/>
    </xf>
    <xf numFmtId="0" fontId="0" fillId="0" borderId="1" xfId="0" applyBorder="1" applyAlignment="1">
      <alignment vertical="center" wrapText="1"/>
    </xf>
    <xf numFmtId="0" fontId="0" fillId="0" borderId="2" xfId="0" applyBorder="1"/>
    <xf numFmtId="0" fontId="10" fillId="9" borderId="18" xfId="0" applyFont="1" applyFill="1" applyBorder="1"/>
    <xf numFmtId="0" fontId="30" fillId="0" borderId="2" xfId="0" applyFont="1" applyBorder="1" applyAlignment="1">
      <alignment horizontal="right" vertical="center"/>
    </xf>
    <xf numFmtId="0" fontId="26" fillId="0" borderId="3" xfId="0" applyFont="1" applyBorder="1" applyAlignment="1">
      <alignment horizontal="right"/>
    </xf>
    <xf numFmtId="0" fontId="30" fillId="0" borderId="0" xfId="0" applyFont="1" applyAlignment="1">
      <alignment horizontal="right" vertical="center"/>
    </xf>
    <xf numFmtId="0" fontId="26" fillId="0" borderId="26" xfId="0" applyFont="1" applyBorder="1" applyAlignment="1">
      <alignment horizontal="right"/>
    </xf>
    <xf numFmtId="0" fontId="19" fillId="0" borderId="0" xfId="0" applyFont="1"/>
    <xf numFmtId="2" fontId="18" fillId="0" borderId="7" xfId="0" applyNumberFormat="1" applyFont="1" applyBorder="1" applyAlignment="1">
      <alignment horizontal="center" vertical="center"/>
    </xf>
    <xf numFmtId="0" fontId="11" fillId="0" borderId="10" xfId="0" applyFont="1" applyBorder="1"/>
    <xf numFmtId="0" fontId="11" fillId="0" borderId="12" xfId="0" applyFont="1" applyBorder="1"/>
    <xf numFmtId="0" fontId="1" fillId="0" borderId="27" xfId="0" applyFont="1" applyBorder="1"/>
    <xf numFmtId="2" fontId="18" fillId="9" borderId="19" xfId="0" applyNumberFormat="1" applyFont="1" applyFill="1" applyBorder="1" applyAlignment="1">
      <alignment horizontal="center"/>
    </xf>
    <xf numFmtId="2" fontId="18" fillId="9" borderId="22" xfId="0" applyNumberFormat="1" applyFont="1" applyFill="1" applyBorder="1" applyAlignment="1">
      <alignment horizontal="center"/>
    </xf>
    <xf numFmtId="2" fontId="7" fillId="11" borderId="7" xfId="0" applyNumberFormat="1" applyFont="1" applyFill="1" applyBorder="1" applyAlignment="1">
      <alignment horizontal="center"/>
    </xf>
    <xf numFmtId="164" fontId="7" fillId="11" borderId="7" xfId="0" applyNumberFormat="1" applyFont="1" applyFill="1" applyBorder="1" applyAlignment="1">
      <alignment horizontal="center"/>
    </xf>
    <xf numFmtId="164" fontId="7" fillId="11" borderId="7" xfId="0" applyNumberFormat="1" applyFont="1" applyFill="1" applyBorder="1" applyAlignment="1">
      <alignment horizontal="center" vertical="center"/>
    </xf>
    <xf numFmtId="164" fontId="7" fillId="0" borderId="7" xfId="0" applyNumberFormat="1" applyFont="1" applyBorder="1" applyAlignment="1">
      <alignment horizontal="center" vertical="center"/>
    </xf>
    <xf numFmtId="0" fontId="9" fillId="6" borderId="11" xfId="0" applyFont="1" applyFill="1" applyBorder="1" applyAlignment="1" applyProtection="1">
      <alignment horizontal="center"/>
      <protection locked="0"/>
    </xf>
    <xf numFmtId="0" fontId="9" fillId="0" borderId="11" xfId="0" applyFont="1" applyBorder="1" applyAlignment="1">
      <alignment horizontal="right"/>
    </xf>
    <xf numFmtId="0" fontId="18" fillId="9" borderId="19" xfId="0" applyFont="1" applyFill="1" applyBorder="1"/>
    <xf numFmtId="2" fontId="18" fillId="9" borderId="8" xfId="0" applyNumberFormat="1" applyFont="1" applyFill="1" applyBorder="1" applyAlignment="1">
      <alignment horizontal="center"/>
    </xf>
    <xf numFmtId="0" fontId="24" fillId="9" borderId="19" xfId="0" applyFont="1" applyFill="1" applyBorder="1"/>
    <xf numFmtId="0" fontId="24" fillId="9" borderId="22" xfId="0" applyFont="1" applyFill="1" applyBorder="1"/>
    <xf numFmtId="0" fontId="18" fillId="6" borderId="0" xfId="0" applyFont="1" applyFill="1" applyAlignment="1" applyProtection="1">
      <alignment horizontal="center"/>
      <protection locked="0"/>
    </xf>
    <xf numFmtId="0" fontId="18" fillId="9" borderId="16" xfId="0" applyFont="1" applyFill="1" applyBorder="1"/>
    <xf numFmtId="0" fontId="18" fillId="6" borderId="24" xfId="0" applyFont="1" applyFill="1" applyBorder="1" applyAlignment="1" applyProtection="1">
      <alignment horizontal="center"/>
      <protection locked="0"/>
    </xf>
    <xf numFmtId="0" fontId="18" fillId="9" borderId="18" xfId="0" applyFont="1" applyFill="1" applyBorder="1"/>
    <xf numFmtId="0" fontId="24" fillId="9" borderId="18" xfId="0" applyFont="1" applyFill="1" applyBorder="1"/>
    <xf numFmtId="0" fontId="12" fillId="9" borderId="21" xfId="0" applyFont="1" applyFill="1" applyBorder="1"/>
    <xf numFmtId="0" fontId="0" fillId="0" borderId="1" xfId="0" applyBorder="1" applyAlignment="1">
      <alignment horizontal="left" vertical="center"/>
    </xf>
    <xf numFmtId="0" fontId="0" fillId="0" borderId="1" xfId="0" applyBorder="1" applyAlignment="1">
      <alignment vertical="center"/>
    </xf>
    <xf numFmtId="0" fontId="0" fillId="0" borderId="4" xfId="0" applyBorder="1" applyAlignment="1">
      <alignment vertical="center" wrapText="1"/>
    </xf>
    <xf numFmtId="0" fontId="18" fillId="0" borderId="7" xfId="0" applyFont="1" applyBorder="1" applyAlignment="1">
      <alignment vertical="center"/>
    </xf>
    <xf numFmtId="0" fontId="10" fillId="7" borderId="17" xfId="0" applyFont="1" applyFill="1" applyBorder="1"/>
    <xf numFmtId="0" fontId="18" fillId="7" borderId="24" xfId="0" applyFont="1" applyFill="1" applyBorder="1"/>
    <xf numFmtId="2" fontId="18" fillId="7" borderId="16" xfId="0" applyNumberFormat="1" applyFont="1" applyFill="1" applyBorder="1" applyAlignment="1">
      <alignment horizontal="center"/>
    </xf>
    <xf numFmtId="0" fontId="10" fillId="6" borderId="23" xfId="0" applyFont="1" applyFill="1" applyBorder="1" applyAlignment="1" applyProtection="1">
      <alignment horizontal="center"/>
      <protection locked="0"/>
    </xf>
    <xf numFmtId="0" fontId="10" fillId="6" borderId="19" xfId="0" applyFont="1" applyFill="1" applyBorder="1" applyAlignment="1" applyProtection="1">
      <alignment horizontal="center"/>
      <protection locked="0"/>
    </xf>
    <xf numFmtId="0" fontId="33" fillId="0" borderId="0" xfId="0" applyFont="1"/>
    <xf numFmtId="0" fontId="34" fillId="0" borderId="0" xfId="0" applyFont="1"/>
    <xf numFmtId="0" fontId="10" fillId="10" borderId="17" xfId="0" applyFont="1" applyFill="1" applyBorder="1"/>
    <xf numFmtId="0" fontId="10" fillId="10" borderId="17" xfId="0" applyFont="1" applyFill="1" applyBorder="1" applyAlignment="1">
      <alignment vertical="center"/>
    </xf>
    <xf numFmtId="2" fontId="18" fillId="10" borderId="7" xfId="0" applyNumberFormat="1" applyFont="1" applyFill="1" applyBorder="1" applyAlignment="1">
      <alignment horizontal="center"/>
    </xf>
    <xf numFmtId="0" fontId="0" fillId="0" borderId="0" xfId="0" applyAlignment="1">
      <alignment horizontal="center"/>
    </xf>
    <xf numFmtId="0" fontId="2" fillId="0" borderId="0" xfId="1" applyFont="1"/>
    <xf numFmtId="0" fontId="0" fillId="0" borderId="0" xfId="0" applyAlignment="1">
      <alignment horizontal="center"/>
    </xf>
    <xf numFmtId="0" fontId="0" fillId="0" borderId="0" xfId="0" applyFont="1"/>
    <xf numFmtId="164" fontId="0" fillId="0" borderId="2" xfId="0" applyNumberFormat="1" applyBorder="1" applyAlignment="1">
      <alignment vertical="center" wrapText="1"/>
    </xf>
    <xf numFmtId="0" fontId="0" fillId="0" borderId="2" xfId="0" applyBorder="1" applyAlignment="1">
      <alignment vertical="center" wrapText="1"/>
    </xf>
    <xf numFmtId="0" fontId="26" fillId="0" borderId="0" xfId="0" applyFont="1" applyAlignment="1">
      <alignment horizontal="center"/>
    </xf>
    <xf numFmtId="164" fontId="26" fillId="0" borderId="26" xfId="0" applyNumberFormat="1" applyFont="1" applyBorder="1" applyAlignment="1">
      <alignment vertical="center" wrapText="1"/>
    </xf>
    <xf numFmtId="164" fontId="0" fillId="0" borderId="3" xfId="0" applyNumberFormat="1" applyBorder="1" applyAlignment="1">
      <alignment vertical="center" wrapText="1"/>
    </xf>
    <xf numFmtId="0" fontId="10" fillId="7" borderId="18" xfId="0" applyFont="1" applyFill="1" applyBorder="1"/>
    <xf numFmtId="2" fontId="18" fillId="7" borderId="19" xfId="0" applyNumberFormat="1" applyFont="1" applyFill="1" applyBorder="1" applyAlignment="1">
      <alignment horizontal="center"/>
    </xf>
    <xf numFmtId="0" fontId="0" fillId="0" borderId="0" xfId="0" applyFont="1" applyAlignment="1">
      <alignment horizontal="center"/>
    </xf>
    <xf numFmtId="0" fontId="0" fillId="0" borderId="1" xfId="0" applyFont="1" applyBorder="1" applyAlignment="1">
      <alignment vertical="center" wrapText="1"/>
    </xf>
    <xf numFmtId="168" fontId="26" fillId="0" borderId="0" xfId="0" applyNumberFormat="1" applyFont="1"/>
    <xf numFmtId="0" fontId="18" fillId="0" borderId="10" xfId="0" applyFont="1" applyBorder="1"/>
    <xf numFmtId="0" fontId="18" fillId="0" borderId="12" xfId="0" applyFont="1" applyBorder="1"/>
    <xf numFmtId="0" fontId="18" fillId="0" borderId="10" xfId="0" applyFont="1" applyBorder="1" applyAlignment="1">
      <alignment horizontal="left"/>
    </xf>
    <xf numFmtId="0" fontId="18" fillId="0" borderId="12" xfId="0" applyFont="1" applyBorder="1" applyAlignment="1">
      <alignment horizontal="left"/>
    </xf>
    <xf numFmtId="0" fontId="10" fillId="0" borderId="10" xfId="0" applyFont="1" applyBorder="1" applyAlignment="1">
      <alignment horizontal="left"/>
    </xf>
    <xf numFmtId="0" fontId="0" fillId="0" borderId="1" xfId="0" applyBorder="1" applyAlignment="1">
      <alignment horizontal="left"/>
    </xf>
    <xf numFmtId="0" fontId="0" fillId="0" borderId="25" xfId="0" applyBorder="1" applyAlignment="1">
      <alignment horizontal="left"/>
    </xf>
    <xf numFmtId="0" fontId="26" fillId="0" borderId="0" xfId="0" applyFont="1" applyBorder="1" applyAlignment="1">
      <alignment vertical="center" wrapText="1"/>
    </xf>
    <xf numFmtId="0" fontId="12" fillId="5" borderId="10" xfId="0" applyFont="1" applyFill="1" applyBorder="1"/>
    <xf numFmtId="0" fontId="18" fillId="5" borderId="12" xfId="0" applyFont="1" applyFill="1" applyBorder="1"/>
    <xf numFmtId="2" fontId="18" fillId="5" borderId="7" xfId="0" applyNumberFormat="1" applyFont="1" applyFill="1" applyBorder="1" applyAlignment="1">
      <alignment horizontal="center"/>
    </xf>
    <xf numFmtId="0" fontId="10" fillId="5" borderId="7" xfId="0" applyFont="1" applyFill="1" applyBorder="1" applyAlignment="1">
      <alignment horizontal="left" vertical="center"/>
    </xf>
    <xf numFmtId="0" fontId="32" fillId="0" borderId="0" xfId="0" applyFont="1" applyAlignment="1">
      <alignment vertical="center" wrapText="1"/>
    </xf>
    <xf numFmtId="0" fontId="6" fillId="0" borderId="0" xfId="0" applyFont="1"/>
    <xf numFmtId="0" fontId="10" fillId="12" borderId="7" xfId="0" applyFont="1" applyFill="1" applyBorder="1" applyAlignment="1" applyProtection="1">
      <alignment horizontal="center"/>
      <protection locked="0"/>
    </xf>
    <xf numFmtId="165" fontId="26" fillId="0" borderId="0" xfId="0" applyNumberFormat="1" applyFont="1" applyAlignment="1">
      <alignment vertical="center"/>
    </xf>
    <xf numFmtId="166" fontId="26" fillId="0" borderId="0" xfId="0" applyNumberFormat="1" applyFont="1"/>
    <xf numFmtId="0" fontId="10" fillId="7" borderId="21" xfId="0" applyFont="1" applyFill="1" applyBorder="1"/>
    <xf numFmtId="0" fontId="18" fillId="7" borderId="22" xfId="0" applyFont="1" applyFill="1" applyBorder="1"/>
    <xf numFmtId="0" fontId="0" fillId="0" borderId="3" xfId="0" applyFont="1" applyBorder="1" applyAlignment="1">
      <alignment vertical="center" wrapText="1"/>
    </xf>
    <xf numFmtId="165" fontId="0" fillId="0" borderId="0" xfId="0" applyNumberFormat="1"/>
    <xf numFmtId="165" fontId="26" fillId="0" borderId="0" xfId="0" applyNumberFormat="1" applyFont="1" applyAlignment="1">
      <alignment wrapText="1"/>
    </xf>
    <xf numFmtId="0" fontId="0" fillId="0" borderId="0" xfId="0" applyFill="1"/>
    <xf numFmtId="0" fontId="26" fillId="0" borderId="0" xfId="0" applyFont="1" applyFill="1"/>
    <xf numFmtId="0" fontId="0" fillId="0" borderId="0" xfId="0" applyBorder="1"/>
    <xf numFmtId="0" fontId="9" fillId="0" borderId="0" xfId="0" applyFont="1" applyBorder="1" applyAlignment="1">
      <alignment vertical="center"/>
    </xf>
    <xf numFmtId="0" fontId="23" fillId="0" borderId="0" xfId="0" applyFont="1" applyFill="1" applyBorder="1" applyAlignment="1">
      <alignment vertical="center"/>
    </xf>
    <xf numFmtId="2" fontId="23" fillId="0" borderId="0" xfId="0" applyNumberFormat="1" applyFont="1" applyFill="1" applyBorder="1" applyAlignment="1">
      <alignment vertical="center"/>
    </xf>
    <xf numFmtId="0" fontId="8" fillId="0" borderId="0" xfId="0" applyFont="1"/>
    <xf numFmtId="165" fontId="29" fillId="0" borderId="0" xfId="0" applyNumberFormat="1" applyFont="1" applyFill="1"/>
    <xf numFmtId="0" fontId="0" fillId="0" borderId="0" xfId="0" applyFont="1" applyFill="1"/>
    <xf numFmtId="0" fontId="0" fillId="0" borderId="0" xfId="0" applyFill="1" applyAlignment="1">
      <alignment horizontal="center"/>
    </xf>
    <xf numFmtId="167" fontId="33" fillId="0" borderId="0" xfId="0" applyNumberFormat="1" applyFont="1"/>
    <xf numFmtId="167" fontId="0" fillId="0" borderId="0" xfId="0" applyNumberFormat="1"/>
    <xf numFmtId="167" fontId="34" fillId="0" borderId="0" xfId="0" applyNumberFormat="1" applyFont="1"/>
    <xf numFmtId="0" fontId="0" fillId="0" borderId="0" xfId="0" applyAlignment="1">
      <alignment horizontal="center"/>
    </xf>
    <xf numFmtId="0" fontId="6" fillId="9" borderId="7" xfId="0" applyFont="1" applyFill="1" applyBorder="1" applyAlignment="1">
      <alignment horizontal="left" vertical="center"/>
    </xf>
    <xf numFmtId="0" fontId="10" fillId="6" borderId="9" xfId="0" applyFont="1" applyFill="1" applyBorder="1" applyAlignment="1" applyProtection="1">
      <alignment horizontal="center"/>
      <protection locked="0"/>
    </xf>
    <xf numFmtId="0" fontId="10" fillId="0" borderId="10" xfId="0" applyFont="1" applyBorder="1"/>
    <xf numFmtId="0" fontId="10" fillId="9" borderId="7" xfId="0" applyFont="1" applyFill="1" applyBorder="1" applyAlignment="1">
      <alignment horizontal="left" vertical="center"/>
    </xf>
    <xf numFmtId="0" fontId="26" fillId="0" borderId="0" xfId="0" applyFont="1" applyAlignment="1">
      <alignment horizontal="center"/>
    </xf>
    <xf numFmtId="0" fontId="26" fillId="0" borderId="0" xfId="0" applyFont="1" applyAlignment="1">
      <alignment horizontal="center" vertical="center"/>
    </xf>
    <xf numFmtId="0" fontId="18" fillId="8" borderId="0" xfId="0" applyFont="1" applyFill="1" applyBorder="1"/>
    <xf numFmtId="0" fontId="18" fillId="8" borderId="24" xfId="0" applyFont="1" applyFill="1" applyBorder="1"/>
    <xf numFmtId="2" fontId="18" fillId="8" borderId="16" xfId="0" applyNumberFormat="1" applyFont="1" applyFill="1" applyBorder="1" applyAlignment="1">
      <alignment horizontal="center"/>
    </xf>
    <xf numFmtId="0" fontId="26" fillId="0" borderId="0" xfId="0" applyFont="1" applyAlignment="1">
      <alignment horizontal="center"/>
    </xf>
    <xf numFmtId="0" fontId="26" fillId="0" borderId="1" xfId="0" applyFont="1" applyBorder="1" applyAlignment="1">
      <alignment horizontal="left" vertical="center"/>
    </xf>
    <xf numFmtId="0" fontId="26" fillId="0" borderId="25" xfId="0" applyFont="1" applyBorder="1" applyAlignment="1">
      <alignment horizontal="left" vertical="center"/>
    </xf>
    <xf numFmtId="0" fontId="26" fillId="0" borderId="1" xfId="0" applyFont="1" applyBorder="1" applyAlignment="1">
      <alignment vertical="center"/>
    </xf>
    <xf numFmtId="0" fontId="26" fillId="0" borderId="25" xfId="0" applyFont="1" applyBorder="1" applyAlignment="1">
      <alignment vertical="center"/>
    </xf>
    <xf numFmtId="0" fontId="10" fillId="8" borderId="18" xfId="0" applyFont="1" applyFill="1" applyBorder="1" applyAlignment="1">
      <alignment horizontal="left" vertical="center"/>
    </xf>
    <xf numFmtId="0" fontId="10" fillId="9" borderId="10" xfId="0" applyFont="1" applyFill="1" applyBorder="1"/>
    <xf numFmtId="0" fontId="18" fillId="9" borderId="11" xfId="0" applyFont="1" applyFill="1" applyBorder="1"/>
    <xf numFmtId="2" fontId="18" fillId="9" borderId="7" xfId="0" applyNumberFormat="1" applyFont="1" applyFill="1" applyBorder="1" applyAlignment="1">
      <alignment horizontal="center" vertical="center"/>
    </xf>
    <xf numFmtId="0" fontId="0" fillId="0" borderId="0" xfId="0" applyAlignment="1">
      <alignment horizontal="center"/>
    </xf>
    <xf numFmtId="2" fontId="18" fillId="9" borderId="23" xfId="0" applyNumberFormat="1" applyFont="1" applyFill="1" applyBorder="1" applyAlignment="1">
      <alignment horizontal="center" vertical="center"/>
    </xf>
    <xf numFmtId="0" fontId="10" fillId="0" borderId="10" xfId="0" applyFont="1" applyBorder="1"/>
    <xf numFmtId="0" fontId="26" fillId="0" borderId="0" xfId="0" applyFont="1" applyAlignment="1">
      <alignment horizontal="center"/>
    </xf>
    <xf numFmtId="0" fontId="26" fillId="0" borderId="0" xfId="0" applyFont="1" applyAlignment="1"/>
    <xf numFmtId="164" fontId="26" fillId="0" borderId="0" xfId="0" applyNumberFormat="1" applyFont="1" applyBorder="1" applyAlignment="1">
      <alignment vertical="center" wrapText="1"/>
    </xf>
    <xf numFmtId="0" fontId="0" fillId="0" borderId="1" xfId="0" applyFont="1" applyBorder="1" applyAlignment="1">
      <alignment vertical="center"/>
    </xf>
    <xf numFmtId="0" fontId="0" fillId="0" borderId="25" xfId="0" applyFont="1" applyBorder="1" applyAlignment="1">
      <alignment vertical="center"/>
    </xf>
    <xf numFmtId="0" fontId="0" fillId="0" borderId="1" xfId="0" applyFont="1" applyBorder="1"/>
    <xf numFmtId="2" fontId="33" fillId="0" borderId="0" xfId="0" applyNumberFormat="1" applyFont="1"/>
    <xf numFmtId="0" fontId="10" fillId="8" borderId="18" xfId="0" applyFont="1" applyFill="1" applyBorder="1"/>
    <xf numFmtId="0" fontId="10" fillId="8" borderId="21" xfId="0" applyFont="1" applyFill="1" applyBorder="1"/>
    <xf numFmtId="0" fontId="10" fillId="8" borderId="17" xfId="0" applyFont="1" applyFill="1" applyBorder="1"/>
    <xf numFmtId="0" fontId="10" fillId="10" borderId="21" xfId="0" applyFont="1" applyFill="1" applyBorder="1"/>
    <xf numFmtId="2" fontId="18" fillId="10" borderId="8" xfId="0" applyNumberFormat="1" applyFont="1" applyFill="1" applyBorder="1" applyAlignment="1">
      <alignment horizontal="center"/>
    </xf>
    <xf numFmtId="0" fontId="18" fillId="10" borderId="20" xfId="0" applyFont="1" applyFill="1" applyBorder="1"/>
    <xf numFmtId="2" fontId="18" fillId="8" borderId="22" xfId="0" applyNumberFormat="1" applyFont="1" applyFill="1" applyBorder="1" applyAlignment="1">
      <alignment horizontal="center"/>
    </xf>
    <xf numFmtId="2" fontId="18" fillId="8" borderId="19" xfId="0" applyNumberFormat="1" applyFont="1" applyFill="1" applyBorder="1" applyAlignment="1">
      <alignment horizontal="center"/>
    </xf>
    <xf numFmtId="0" fontId="10" fillId="0" borderId="7" xfId="0" applyFont="1" applyFill="1" applyBorder="1" applyAlignment="1">
      <alignment vertical="center"/>
    </xf>
    <xf numFmtId="0" fontId="18" fillId="0" borderId="7" xfId="0" applyFont="1" applyFill="1" applyBorder="1" applyAlignment="1">
      <alignment vertical="center"/>
    </xf>
    <xf numFmtId="0" fontId="16" fillId="12" borderId="7" xfId="0" applyFont="1" applyFill="1" applyBorder="1" applyAlignment="1" applyProtection="1">
      <alignment horizontal="center"/>
      <protection locked="0"/>
    </xf>
    <xf numFmtId="0" fontId="16" fillId="6" borderId="7" xfId="0" applyFont="1" applyFill="1" applyBorder="1" applyAlignment="1" applyProtection="1">
      <alignment horizontal="center"/>
      <protection locked="0"/>
    </xf>
    <xf numFmtId="2" fontId="18" fillId="9" borderId="12" xfId="0" applyNumberFormat="1" applyFont="1" applyFill="1" applyBorder="1" applyAlignment="1">
      <alignment horizontal="center"/>
    </xf>
    <xf numFmtId="0" fontId="10" fillId="12" borderId="23" xfId="0" applyFont="1" applyFill="1" applyBorder="1" applyAlignment="1" applyProtection="1">
      <alignment horizontal="center"/>
      <protection locked="0"/>
    </xf>
    <xf numFmtId="2" fontId="18" fillId="10" borderId="23" xfId="0" applyNumberFormat="1" applyFont="1" applyFill="1" applyBorder="1" applyAlignment="1">
      <alignment horizontal="center"/>
    </xf>
    <xf numFmtId="0" fontId="10" fillId="0" borderId="7" xfId="0" applyFont="1" applyFill="1" applyBorder="1" applyAlignment="1" applyProtection="1">
      <alignment horizontal="center"/>
    </xf>
    <xf numFmtId="0" fontId="0" fillId="12" borderId="7" xfId="0" applyFont="1" applyFill="1" applyBorder="1" applyAlignment="1" applyProtection="1">
      <alignment horizontal="center"/>
      <protection locked="0"/>
    </xf>
    <xf numFmtId="0" fontId="0" fillId="0" borderId="7" xfId="0" applyFont="1" applyBorder="1"/>
    <xf numFmtId="0" fontId="0" fillId="0" borderId="7" xfId="0" applyFont="1" applyBorder="1" applyAlignment="1">
      <alignment wrapText="1"/>
    </xf>
    <xf numFmtId="0" fontId="0" fillId="0" borderId="7" xfId="0" applyFont="1" applyBorder="1" applyAlignment="1">
      <alignment vertical="center" wrapText="1"/>
    </xf>
    <xf numFmtId="0" fontId="0" fillId="9" borderId="7" xfId="0" applyFont="1" applyFill="1" applyBorder="1" applyAlignment="1">
      <alignment horizontal="left" vertical="center"/>
    </xf>
    <xf numFmtId="0" fontId="0" fillId="10" borderId="7" xfId="0" applyFont="1" applyFill="1" applyBorder="1" applyAlignment="1">
      <alignment horizontal="left" vertical="center"/>
    </xf>
    <xf numFmtId="0" fontId="0" fillId="10" borderId="9" xfId="0" applyFont="1" applyFill="1" applyBorder="1" applyAlignment="1">
      <alignment horizontal="left" vertical="center"/>
    </xf>
    <xf numFmtId="0" fontId="0" fillId="7" borderId="7" xfId="0" applyFont="1" applyFill="1" applyBorder="1" applyAlignment="1">
      <alignment horizontal="left" vertical="center"/>
    </xf>
    <xf numFmtId="0" fontId="0" fillId="8" borderId="7" xfId="0" applyFont="1" applyFill="1" applyBorder="1" applyAlignment="1">
      <alignment horizontal="left" vertical="center"/>
    </xf>
    <xf numFmtId="0" fontId="0" fillId="9" borderId="18" xfId="0" applyFont="1" applyFill="1" applyBorder="1" applyAlignment="1">
      <alignment horizontal="left" vertical="center"/>
    </xf>
    <xf numFmtId="0" fontId="18" fillId="9" borderId="9" xfId="0" applyFont="1" applyFill="1" applyBorder="1" applyAlignment="1">
      <alignment horizontal="left" vertical="center"/>
    </xf>
    <xf numFmtId="0" fontId="18" fillId="9" borderId="9" xfId="0" applyFont="1" applyFill="1" applyBorder="1" applyAlignment="1">
      <alignment horizontal="left" vertical="center"/>
    </xf>
    <xf numFmtId="2" fontId="18" fillId="8" borderId="7" xfId="0" applyNumberFormat="1" applyFont="1" applyFill="1" applyBorder="1" applyAlignment="1">
      <alignment horizontal="center" vertical="center"/>
    </xf>
    <xf numFmtId="0" fontId="18" fillId="7" borderId="0" xfId="0" applyFont="1" applyFill="1" applyBorder="1"/>
    <xf numFmtId="0" fontId="18" fillId="7" borderId="20" xfId="0" applyFont="1" applyFill="1" applyBorder="1"/>
    <xf numFmtId="2" fontId="23" fillId="0" borderId="0" xfId="0" applyNumberFormat="1" applyFont="1" applyBorder="1" applyAlignment="1">
      <alignment horizontal="center" vertical="center"/>
    </xf>
    <xf numFmtId="0" fontId="10" fillId="5" borderId="7" xfId="0" applyFont="1" applyFill="1" applyBorder="1" applyAlignment="1">
      <alignment horizontal="left"/>
    </xf>
    <xf numFmtId="0" fontId="10" fillId="8" borderId="7" xfId="0" applyFont="1" applyFill="1" applyBorder="1" applyAlignment="1">
      <alignment horizontal="left"/>
    </xf>
    <xf numFmtId="0" fontId="10" fillId="7" borderId="7" xfId="0" applyFont="1" applyFill="1" applyBorder="1" applyAlignment="1">
      <alignment horizontal="left"/>
    </xf>
    <xf numFmtId="1" fontId="18" fillId="0" borderId="7" xfId="0" applyNumberFormat="1" applyFont="1" applyFill="1" applyBorder="1" applyAlignment="1">
      <alignment horizontal="center"/>
    </xf>
    <xf numFmtId="0" fontId="23" fillId="0" borderId="0" xfId="0" applyFont="1" applyFill="1" applyBorder="1" applyAlignment="1">
      <alignment horizontal="center" vertical="center"/>
    </xf>
    <xf numFmtId="0" fontId="0" fillId="0" borderId="0" xfId="0" applyAlignment="1">
      <alignment horizontal="center"/>
    </xf>
    <xf numFmtId="0" fontId="26" fillId="0" borderId="0" xfId="0" applyFont="1" applyAlignment="1">
      <alignment horizontal="center"/>
    </xf>
    <xf numFmtId="2" fontId="18" fillId="7" borderId="8" xfId="0" applyNumberFormat="1" applyFont="1" applyFill="1" applyBorder="1" applyAlignment="1">
      <alignment horizontal="center"/>
    </xf>
    <xf numFmtId="2" fontId="18" fillId="7" borderId="23" xfId="0" applyNumberFormat="1" applyFont="1" applyFill="1" applyBorder="1" applyAlignment="1">
      <alignment horizontal="center"/>
    </xf>
    <xf numFmtId="0" fontId="0" fillId="0" borderId="26" xfId="0" applyFont="1" applyBorder="1" applyAlignment="1">
      <alignment vertical="center" wrapText="1"/>
    </xf>
    <xf numFmtId="0" fontId="0" fillId="0" borderId="0" xfId="0" applyAlignment="1">
      <alignment horizontal="center"/>
    </xf>
    <xf numFmtId="0" fontId="18" fillId="5" borderId="17" xfId="0" applyFont="1" applyFill="1" applyBorder="1" applyAlignment="1">
      <alignment horizontal="left" vertical="center"/>
    </xf>
    <xf numFmtId="2" fontId="18" fillId="5" borderId="16" xfId="0" applyNumberFormat="1" applyFont="1" applyFill="1" applyBorder="1" applyAlignment="1">
      <alignment horizontal="center" vertical="center"/>
    </xf>
    <xf numFmtId="0" fontId="18" fillId="9" borderId="9" xfId="0" applyFont="1" applyFill="1" applyBorder="1" applyAlignment="1">
      <alignment horizontal="left" vertical="center"/>
    </xf>
    <xf numFmtId="0" fontId="26" fillId="0" borderId="0" xfId="0" applyFont="1" applyAlignment="1">
      <alignment horizontal="center"/>
    </xf>
    <xf numFmtId="0" fontId="10" fillId="9" borderId="21" xfId="0" applyFont="1" applyFill="1" applyBorder="1" applyAlignment="1">
      <alignment vertical="center"/>
    </xf>
    <xf numFmtId="0" fontId="0" fillId="5" borderId="7" xfId="0" applyFont="1" applyFill="1" applyBorder="1" applyAlignment="1">
      <alignment horizontal="left" vertical="center"/>
    </xf>
    <xf numFmtId="0" fontId="12" fillId="5" borderId="17" xfId="0" applyFont="1" applyFill="1" applyBorder="1"/>
    <xf numFmtId="0" fontId="12" fillId="5" borderId="24" xfId="0" applyFont="1" applyFill="1" applyBorder="1"/>
    <xf numFmtId="0" fontId="0" fillId="0" borderId="25" xfId="0" applyFont="1" applyBorder="1"/>
    <xf numFmtId="0" fontId="10" fillId="6" borderId="21" xfId="0" applyFont="1" applyFill="1" applyBorder="1" applyAlignment="1" applyProtection="1">
      <alignment horizontal="center"/>
      <protection locked="0"/>
    </xf>
    <xf numFmtId="0" fontId="18" fillId="0" borderId="0" xfId="0" applyFont="1" applyBorder="1" applyAlignment="1">
      <alignment horizontal="center"/>
    </xf>
    <xf numFmtId="0" fontId="26" fillId="0" borderId="4" xfId="0" applyFont="1" applyBorder="1" applyAlignment="1">
      <alignment vertical="center"/>
    </xf>
    <xf numFmtId="0" fontId="18" fillId="7" borderId="16" xfId="0" applyFont="1" applyFill="1" applyBorder="1"/>
    <xf numFmtId="0" fontId="18" fillId="7" borderId="19" xfId="0" applyFont="1" applyFill="1" applyBorder="1"/>
    <xf numFmtId="0" fontId="35" fillId="0" borderId="0" xfId="1" applyFont="1" applyAlignment="1">
      <alignment horizontal="left" vertical="center"/>
    </xf>
    <xf numFmtId="0" fontId="35" fillId="0" borderId="0" xfId="1" applyFont="1" applyAlignment="1">
      <alignment horizontal="left" wrapText="1"/>
    </xf>
    <xf numFmtId="0" fontId="21" fillId="0" borderId="7" xfId="0" applyFont="1" applyBorder="1" applyAlignment="1">
      <alignment horizontal="center" wrapText="1"/>
    </xf>
    <xf numFmtId="0" fontId="11" fillId="0" borderId="7" xfId="0" applyFont="1" applyBorder="1" applyAlignment="1">
      <alignment horizontal="center" wrapText="1"/>
    </xf>
    <xf numFmtId="0" fontId="18" fillId="5" borderId="7" xfId="0" applyFont="1" applyFill="1" applyBorder="1" applyAlignment="1">
      <alignment horizontal="left" vertical="center"/>
    </xf>
    <xf numFmtId="0" fontId="4" fillId="0" borderId="0" xfId="1" applyFont="1" applyBorder="1" applyAlignment="1">
      <alignment horizontal="center" vertical="center" wrapText="1"/>
    </xf>
    <xf numFmtId="0" fontId="2" fillId="0" borderId="7" xfId="1" applyFont="1" applyFill="1" applyBorder="1" applyAlignment="1">
      <alignment horizontal="center" vertical="center" wrapText="1"/>
    </xf>
    <xf numFmtId="0" fontId="2" fillId="0" borderId="7" xfId="1" applyFont="1" applyFill="1" applyBorder="1" applyAlignment="1">
      <alignment vertical="center" wrapText="1"/>
    </xf>
    <xf numFmtId="0" fontId="2" fillId="0" borderId="7" xfId="1" applyFill="1" applyBorder="1" applyAlignment="1">
      <alignment horizontal="center" vertical="center" wrapText="1"/>
    </xf>
    <xf numFmtId="0" fontId="36" fillId="0" borderId="7" xfId="0" applyFont="1" applyFill="1" applyBorder="1" applyAlignment="1">
      <alignment vertical="center" wrapText="1"/>
    </xf>
    <xf numFmtId="0" fontId="6" fillId="0" borderId="0" xfId="0" applyFont="1" applyFill="1"/>
    <xf numFmtId="0" fontId="1" fillId="0" borderId="0" xfId="0" applyFont="1" applyFill="1"/>
    <xf numFmtId="0" fontId="0" fillId="0" borderId="0" xfId="0" applyAlignment="1">
      <alignment horizontal="center"/>
    </xf>
    <xf numFmtId="0" fontId="0" fillId="0" borderId="7" xfId="0" applyFont="1" applyFill="1" applyBorder="1" applyAlignment="1">
      <alignment wrapText="1"/>
    </xf>
    <xf numFmtId="0" fontId="0" fillId="0" borderId="0" xfId="0" applyAlignment="1">
      <alignment wrapText="1"/>
    </xf>
    <xf numFmtId="0" fontId="0" fillId="8" borderId="9" xfId="0" applyFont="1" applyFill="1" applyBorder="1" applyAlignment="1">
      <alignment vertical="center" wrapText="1"/>
    </xf>
    <xf numFmtId="0" fontId="0" fillId="9" borderId="8" xfId="0" applyFont="1" applyFill="1" applyBorder="1" applyAlignment="1">
      <alignment horizontal="left" vertical="center" wrapText="1"/>
    </xf>
    <xf numFmtId="0" fontId="0" fillId="5" borderId="7" xfId="0" applyFont="1" applyFill="1" applyBorder="1" applyAlignment="1">
      <alignment horizontal="left" vertical="center" wrapText="1"/>
    </xf>
    <xf numFmtId="0" fontId="0" fillId="10" borderId="7" xfId="0" applyFont="1" applyFill="1" applyBorder="1" applyAlignment="1">
      <alignment horizontal="left" vertical="center" wrapText="1"/>
    </xf>
    <xf numFmtId="2" fontId="18" fillId="9" borderId="23" xfId="0" applyNumberFormat="1" applyFont="1" applyFill="1" applyBorder="1" applyAlignment="1">
      <alignment horizontal="center" vertical="center"/>
    </xf>
    <xf numFmtId="2" fontId="18" fillId="9" borderId="23" xfId="0" applyNumberFormat="1" applyFont="1" applyFill="1" applyBorder="1" applyAlignment="1">
      <alignment horizontal="center" vertical="center"/>
    </xf>
    <xf numFmtId="0" fontId="0" fillId="0" borderId="0" xfId="0" applyAlignment="1"/>
    <xf numFmtId="168" fontId="26" fillId="0" borderId="0" xfId="0" applyNumberFormat="1" applyFont="1" applyAlignment="1">
      <alignment vertical="center"/>
    </xf>
    <xf numFmtId="0" fontId="16" fillId="0" borderId="0" xfId="0" applyFont="1" applyAlignment="1">
      <alignment horizontal="left"/>
    </xf>
    <xf numFmtId="0" fontId="2" fillId="0" borderId="0" xfId="1" applyFont="1" applyBorder="1"/>
    <xf numFmtId="0" fontId="2" fillId="0" borderId="18" xfId="1" applyFont="1" applyBorder="1"/>
    <xf numFmtId="0" fontId="2" fillId="0" borderId="19" xfId="1" applyFont="1" applyBorder="1"/>
    <xf numFmtId="0" fontId="5" fillId="0" borderId="7" xfId="1" applyFont="1" applyFill="1" applyBorder="1" applyAlignment="1">
      <alignment horizontal="center" vertical="center" wrapText="1"/>
    </xf>
    <xf numFmtId="0" fontId="2" fillId="6" borderId="7" xfId="1" applyFont="1" applyFill="1" applyBorder="1" applyAlignment="1">
      <alignment horizontal="center" vertical="center" wrapText="1"/>
    </xf>
    <xf numFmtId="0" fontId="17" fillId="0" borderId="24" xfId="0" applyFont="1" applyBorder="1" applyAlignment="1"/>
    <xf numFmtId="0" fontId="17" fillId="0" borderId="16" xfId="0" applyFont="1" applyBorder="1" applyAlignment="1"/>
    <xf numFmtId="0" fontId="10" fillId="6" borderId="18" xfId="0" applyFont="1" applyFill="1" applyBorder="1" applyAlignment="1"/>
    <xf numFmtId="0" fontId="10" fillId="6" borderId="0" xfId="0" applyFont="1" applyFill="1" applyBorder="1" applyAlignment="1"/>
    <xf numFmtId="0" fontId="10" fillId="6" borderId="19" xfId="0" applyFont="1" applyFill="1" applyBorder="1" applyAlignment="1"/>
    <xf numFmtId="0" fontId="18" fillId="12" borderId="21" xfId="0" applyFont="1" applyFill="1" applyBorder="1" applyAlignment="1"/>
    <xf numFmtId="0" fontId="18" fillId="12" borderId="20" xfId="0" applyFont="1" applyFill="1" applyBorder="1" applyAlignment="1"/>
    <xf numFmtId="0" fontId="18" fillId="12" borderId="22" xfId="0" applyFont="1" applyFill="1" applyBorder="1" applyAlignment="1"/>
    <xf numFmtId="0" fontId="1" fillId="0" borderId="17" xfId="0" applyFont="1" applyBorder="1"/>
    <xf numFmtId="0" fontId="0" fillId="0" borderId="24" xfId="0" applyBorder="1"/>
    <xf numFmtId="0" fontId="0" fillId="0" borderId="16" xfId="0" applyBorder="1"/>
    <xf numFmtId="0" fontId="0" fillId="0" borderId="18" xfId="0" applyBorder="1"/>
    <xf numFmtId="0" fontId="0" fillId="0" borderId="19" xfId="0" applyBorder="1"/>
    <xf numFmtId="14" fontId="0" fillId="0" borderId="0" xfId="0" applyNumberFormat="1" applyFill="1"/>
    <xf numFmtId="2" fontId="26" fillId="2" borderId="5" xfId="0" applyNumberFormat="1" applyFont="1" applyFill="1" applyBorder="1" applyAlignment="1">
      <alignment vertical="center" wrapText="1"/>
    </xf>
    <xf numFmtId="2" fontId="26" fillId="4" borderId="5" xfId="0" applyNumberFormat="1" applyFont="1" applyFill="1" applyBorder="1" applyAlignment="1">
      <alignment vertical="center" wrapText="1"/>
    </xf>
    <xf numFmtId="2" fontId="26" fillId="4" borderId="6" xfId="0" applyNumberFormat="1" applyFont="1" applyFill="1" applyBorder="1" applyAlignment="1">
      <alignment vertical="center" wrapText="1"/>
    </xf>
    <xf numFmtId="2" fontId="26" fillId="3" borderId="5" xfId="0" applyNumberFormat="1" applyFont="1" applyFill="1" applyBorder="1"/>
    <xf numFmtId="2" fontId="26" fillId="0" borderId="3" xfId="0" applyNumberFormat="1" applyFont="1" applyBorder="1" applyAlignment="1">
      <alignment vertical="center" wrapText="1"/>
    </xf>
    <xf numFmtId="2" fontId="26" fillId="0" borderId="2" xfId="0" applyNumberFormat="1" applyFont="1" applyBorder="1" applyAlignment="1">
      <alignment vertical="center" wrapText="1"/>
    </xf>
    <xf numFmtId="2" fontId="26" fillId="0" borderId="2" xfId="0" applyNumberFormat="1" applyFont="1" applyBorder="1"/>
    <xf numFmtId="164" fontId="0" fillId="0" borderId="2" xfId="0" applyNumberFormat="1" applyBorder="1"/>
    <xf numFmtId="164" fontId="26" fillId="0" borderId="2" xfId="0" applyNumberFormat="1" applyFont="1" applyBorder="1"/>
    <xf numFmtId="164" fontId="26" fillId="0" borderId="3" xfId="0" applyNumberFormat="1" applyFont="1" applyBorder="1"/>
    <xf numFmtId="2" fontId="26" fillId="0" borderId="0" xfId="0" applyNumberFormat="1" applyFont="1" applyBorder="1" applyAlignment="1">
      <alignment vertical="center" wrapText="1"/>
    </xf>
    <xf numFmtId="2" fontId="26" fillId="4" borderId="6" xfId="0" applyNumberFormat="1" applyFont="1" applyFill="1" applyBorder="1"/>
    <xf numFmtId="2" fontId="26" fillId="2" borderId="5" xfId="0" applyNumberFormat="1" applyFont="1" applyFill="1" applyBorder="1" applyAlignment="1">
      <alignment horizontal="right" vertical="center" wrapText="1"/>
    </xf>
    <xf numFmtId="2" fontId="26" fillId="3" borderId="5" xfId="0" applyNumberFormat="1" applyFont="1" applyFill="1" applyBorder="1" applyAlignment="1">
      <alignment horizontal="right" vertical="center" wrapText="1"/>
    </xf>
    <xf numFmtId="2" fontId="26" fillId="4" borderId="5" xfId="0" applyNumberFormat="1" applyFont="1" applyFill="1" applyBorder="1" applyAlignment="1">
      <alignment horizontal="right" vertical="center" wrapText="1"/>
    </xf>
    <xf numFmtId="2" fontId="26" fillId="4" borderId="6" xfId="0" applyNumberFormat="1" applyFont="1" applyFill="1" applyBorder="1" applyAlignment="1">
      <alignment horizontal="right" vertical="center" wrapText="1"/>
    </xf>
    <xf numFmtId="2" fontId="26" fillId="0" borderId="2" xfId="0" applyNumberFormat="1" applyFont="1" applyBorder="1" applyAlignment="1">
      <alignment vertical="center"/>
    </xf>
    <xf numFmtId="2" fontId="26" fillId="0" borderId="3" xfId="0" applyNumberFormat="1" applyFont="1" applyBorder="1" applyAlignment="1">
      <alignment vertical="center"/>
    </xf>
    <xf numFmtId="2" fontId="26" fillId="0" borderId="0" xfId="0" applyNumberFormat="1" applyFont="1" applyBorder="1" applyAlignment="1">
      <alignment vertical="center"/>
    </xf>
    <xf numFmtId="2" fontId="26" fillId="0" borderId="26" xfId="0" applyNumberFormat="1" applyFont="1" applyBorder="1" applyAlignment="1">
      <alignment vertical="center"/>
    </xf>
    <xf numFmtId="2" fontId="26" fillId="0" borderId="3" xfId="0" applyNumberFormat="1" applyFont="1" applyBorder="1"/>
    <xf numFmtId="2" fontId="26" fillId="0" borderId="0" xfId="0" applyNumberFormat="1" applyFont="1" applyBorder="1"/>
    <xf numFmtId="2" fontId="26" fillId="0" borderId="26" xfId="0" applyNumberFormat="1" applyFont="1" applyBorder="1"/>
    <xf numFmtId="2" fontId="0" fillId="0" borderId="2" xfId="0" applyNumberFormat="1" applyBorder="1"/>
    <xf numFmtId="2" fontId="29" fillId="0" borderId="2" xfId="0" applyNumberFormat="1" applyFont="1" applyBorder="1" applyAlignment="1">
      <alignment horizontal="right" vertical="center"/>
    </xf>
    <xf numFmtId="2" fontId="29" fillId="0" borderId="2" xfId="0" applyNumberFormat="1" applyFont="1" applyBorder="1" applyAlignment="1">
      <alignment horizontal="right" vertical="center" wrapText="1"/>
    </xf>
    <xf numFmtId="2" fontId="29" fillId="0" borderId="3" xfId="0" applyNumberFormat="1" applyFont="1" applyBorder="1" applyAlignment="1">
      <alignment horizontal="right" vertical="center" wrapText="1"/>
    </xf>
    <xf numFmtId="0" fontId="29" fillId="0" borderId="2" xfId="0" applyFont="1" applyBorder="1" applyAlignment="1">
      <alignment horizontal="right" vertical="center"/>
    </xf>
    <xf numFmtId="0" fontId="29" fillId="0" borderId="2" xfId="0" applyFont="1" applyBorder="1" applyAlignment="1">
      <alignment horizontal="right" vertical="center" wrapText="1"/>
    </xf>
    <xf numFmtId="0" fontId="29" fillId="0" borderId="3" xfId="0" applyFont="1" applyBorder="1" applyAlignment="1">
      <alignment horizontal="right" vertical="center" wrapText="1"/>
    </xf>
    <xf numFmtId="0" fontId="29" fillId="0" borderId="0" xfId="0" applyFont="1" applyBorder="1" applyAlignment="1">
      <alignment horizontal="right" vertical="center"/>
    </xf>
    <xf numFmtId="0" fontId="29" fillId="0" borderId="0" xfId="0" applyFont="1" applyBorder="1" applyAlignment="1">
      <alignment horizontal="right" vertical="center" wrapText="1"/>
    </xf>
    <xf numFmtId="0" fontId="29" fillId="0" borderId="26" xfId="0" applyFont="1" applyBorder="1" applyAlignment="1">
      <alignment horizontal="right" vertical="center" wrapText="1"/>
    </xf>
    <xf numFmtId="2" fontId="18" fillId="0" borderId="8" xfId="0" applyNumberFormat="1" applyFont="1" applyFill="1" applyBorder="1" applyAlignment="1">
      <alignment horizontal="center"/>
    </xf>
    <xf numFmtId="0" fontId="0" fillId="9" borderId="8" xfId="0" applyFont="1" applyFill="1" applyBorder="1" applyAlignment="1">
      <alignment horizontal="left" vertical="center" wrapText="1"/>
    </xf>
    <xf numFmtId="0" fontId="0" fillId="7" borderId="7" xfId="0" applyFont="1" applyFill="1" applyBorder="1" applyAlignment="1">
      <alignment vertical="center"/>
    </xf>
    <xf numFmtId="0" fontId="0" fillId="7" borderId="7" xfId="0" applyFont="1" applyFill="1" applyBorder="1"/>
    <xf numFmtId="0" fontId="10" fillId="10" borderId="18" xfId="0" applyFont="1" applyFill="1" applyBorder="1"/>
    <xf numFmtId="0" fontId="18" fillId="10" borderId="0" xfId="0" applyFont="1" applyFill="1" applyBorder="1"/>
    <xf numFmtId="0" fontId="0" fillId="10" borderId="9" xfId="0" applyFont="1" applyFill="1" applyBorder="1" applyAlignment="1">
      <alignment horizontal="left" vertical="center"/>
    </xf>
    <xf numFmtId="0" fontId="1" fillId="13" borderId="7" xfId="0" applyFont="1" applyFill="1" applyBorder="1" applyAlignment="1">
      <alignment horizontal="center" vertical="center" wrapText="1"/>
    </xf>
    <xf numFmtId="0" fontId="1" fillId="13" borderId="7" xfId="0" applyFont="1" applyFill="1" applyBorder="1" applyAlignment="1">
      <alignment horizontal="center" vertical="center"/>
    </xf>
    <xf numFmtId="0" fontId="10" fillId="6" borderId="8" xfId="0" applyFont="1" applyFill="1" applyBorder="1" applyAlignment="1" applyProtection="1">
      <alignment horizontal="center"/>
      <protection locked="0"/>
    </xf>
    <xf numFmtId="0" fontId="10" fillId="6" borderId="17" xfId="0" applyFont="1" applyFill="1" applyBorder="1" applyAlignment="1" applyProtection="1">
      <alignment horizontal="center"/>
      <protection locked="0"/>
    </xf>
    <xf numFmtId="0" fontId="10" fillId="6" borderId="18" xfId="0" applyFont="1" applyFill="1" applyBorder="1" applyAlignment="1" applyProtection="1">
      <alignment horizontal="center"/>
      <protection locked="0"/>
    </xf>
    <xf numFmtId="0" fontId="10" fillId="6" borderId="7" xfId="0" applyFont="1" applyFill="1" applyBorder="1" applyAlignment="1" applyProtection="1">
      <alignment horizontal="center"/>
      <protection locked="0"/>
    </xf>
    <xf numFmtId="0" fontId="2" fillId="0" borderId="17" xfId="1" applyBorder="1"/>
    <xf numFmtId="0" fontId="2" fillId="0" borderId="24" xfId="1" applyBorder="1"/>
    <xf numFmtId="0" fontId="2" fillId="0" borderId="16" xfId="1" applyBorder="1"/>
    <xf numFmtId="0" fontId="2" fillId="0" borderId="21" xfId="1" applyBorder="1"/>
    <xf numFmtId="0" fontId="2" fillId="0" borderId="20" xfId="1" applyBorder="1"/>
    <xf numFmtId="0" fontId="2" fillId="0" borderId="22" xfId="1" applyBorder="1"/>
    <xf numFmtId="0" fontId="5" fillId="0" borderId="0" xfId="1" applyFont="1" applyAlignment="1">
      <alignment vertical="center"/>
    </xf>
    <xf numFmtId="0" fontId="5" fillId="0" borderId="0" xfId="1" applyFont="1" applyAlignment="1"/>
    <xf numFmtId="0" fontId="42" fillId="0" borderId="17" xfId="0" applyFont="1" applyBorder="1" applyAlignment="1"/>
    <xf numFmtId="164" fontId="18" fillId="0" borderId="7" xfId="0" applyNumberFormat="1" applyFont="1" applyBorder="1" applyAlignment="1">
      <alignment horizontal="center"/>
    </xf>
    <xf numFmtId="0" fontId="36" fillId="0" borderId="7" xfId="0" applyFont="1" applyFill="1" applyBorder="1" applyAlignment="1">
      <alignment horizontal="center" vertical="center" wrapText="1"/>
    </xf>
    <xf numFmtId="0" fontId="2" fillId="0" borderId="7" xfId="1" applyBorder="1" applyAlignment="1">
      <alignment horizontal="center" vertical="center" wrapText="1"/>
    </xf>
    <xf numFmtId="0" fontId="8" fillId="0" borderId="25" xfId="0" applyFont="1" applyBorder="1" applyAlignment="1">
      <alignment horizontal="left" vertical="center" wrapText="1"/>
    </xf>
    <xf numFmtId="0" fontId="8" fillId="0" borderId="0" xfId="0" applyFont="1" applyBorder="1" applyAlignment="1">
      <alignment horizontal="left" vertical="center" wrapText="1"/>
    </xf>
    <xf numFmtId="0" fontId="8" fillId="0" borderId="26" xfId="0" applyFont="1" applyBorder="1" applyAlignment="1">
      <alignment horizontal="left" vertical="center" wrapText="1"/>
    </xf>
    <xf numFmtId="0" fontId="0" fillId="6" borderId="7" xfId="0" applyFill="1" applyBorder="1" applyAlignment="1" applyProtection="1">
      <alignment horizontal="center"/>
      <protection locked="0"/>
    </xf>
    <xf numFmtId="0" fontId="0" fillId="6" borderId="28" xfId="0" applyFill="1" applyBorder="1" applyAlignment="1" applyProtection="1">
      <alignment horizontal="center"/>
      <protection locked="0"/>
    </xf>
    <xf numFmtId="0" fontId="0" fillId="6" borderId="10" xfId="0" applyFill="1" applyBorder="1" applyAlignment="1" applyProtection="1">
      <alignment horizontal="left"/>
      <protection locked="0"/>
    </xf>
    <xf numFmtId="0" fontId="0" fillId="6" borderId="11" xfId="0" applyFill="1" applyBorder="1" applyAlignment="1" applyProtection="1">
      <alignment horizontal="left"/>
      <protection locked="0"/>
    </xf>
    <xf numFmtId="0" fontId="0" fillId="6" borderId="29" xfId="0" applyFill="1" applyBorder="1" applyAlignment="1" applyProtection="1">
      <alignment horizontal="left"/>
      <protection locked="0"/>
    </xf>
    <xf numFmtId="0" fontId="0" fillId="0" borderId="0" xfId="0" applyAlignment="1">
      <alignment horizontal="center"/>
    </xf>
    <xf numFmtId="0" fontId="6" fillId="12" borderId="7" xfId="0" applyFont="1" applyFill="1" applyBorder="1" applyAlignment="1" applyProtection="1">
      <alignment horizontal="center"/>
      <protection locked="0"/>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0" fillId="6" borderId="7" xfId="0" applyFill="1" applyBorder="1" applyAlignment="1" applyProtection="1">
      <alignment horizontal="left"/>
      <protection locked="0"/>
    </xf>
    <xf numFmtId="0" fontId="0" fillId="6" borderId="28" xfId="0" applyFill="1" applyBorder="1" applyAlignment="1" applyProtection="1">
      <alignment horizontal="left"/>
      <protection locked="0"/>
    </xf>
    <xf numFmtId="0" fontId="11" fillId="0" borderId="25" xfId="0" applyFont="1" applyBorder="1" applyAlignment="1">
      <alignment horizontal="left"/>
    </xf>
    <xf numFmtId="0" fontId="11" fillId="0" borderId="0" xfId="0" applyFont="1" applyBorder="1" applyAlignment="1">
      <alignment horizontal="left"/>
    </xf>
    <xf numFmtId="0" fontId="11" fillId="0" borderId="19" xfId="0" applyFont="1" applyBorder="1" applyAlignment="1">
      <alignment horizontal="left"/>
    </xf>
    <xf numFmtId="0" fontId="2" fillId="6" borderId="10" xfId="1" applyFont="1" applyFill="1" applyBorder="1" applyAlignment="1">
      <alignment horizontal="center" vertical="center" wrapText="1"/>
    </xf>
    <xf numFmtId="0" fontId="2" fillId="6" borderId="11" xfId="1" applyFont="1" applyFill="1" applyBorder="1" applyAlignment="1">
      <alignment horizontal="center" vertical="center" wrapText="1"/>
    </xf>
    <xf numFmtId="0" fontId="2" fillId="6" borderId="12" xfId="1" applyFont="1" applyFill="1" applyBorder="1" applyAlignment="1">
      <alignment horizontal="center" vertical="center" wrapText="1"/>
    </xf>
    <xf numFmtId="0" fontId="4" fillId="0" borderId="5" xfId="1" applyFont="1" applyBorder="1" applyAlignment="1">
      <alignment horizontal="center" vertical="center" wrapText="1"/>
    </xf>
    <xf numFmtId="0" fontId="5" fillId="0" borderId="7" xfId="1" applyFont="1" applyFill="1" applyBorder="1" applyAlignment="1">
      <alignment horizontal="center"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3"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4" fillId="0" borderId="25" xfId="1" applyFont="1" applyFill="1" applyBorder="1" applyAlignment="1">
      <alignment horizontal="left" vertical="center" wrapText="1"/>
    </xf>
    <xf numFmtId="0" fontId="4" fillId="0" borderId="0" xfId="1" applyFont="1" applyFill="1" applyBorder="1" applyAlignment="1">
      <alignment horizontal="left" vertical="center" wrapText="1"/>
    </xf>
    <xf numFmtId="0" fontId="0" fillId="0" borderId="0" xfId="0" applyAlignment="1">
      <alignment horizontal="left" vertical="center" wrapText="1"/>
    </xf>
    <xf numFmtId="0" fontId="0" fillId="7" borderId="8" xfId="0" applyFont="1" applyFill="1" applyBorder="1" applyAlignment="1">
      <alignment horizontal="left" vertical="center"/>
    </xf>
    <xf numFmtId="0" fontId="0" fillId="7" borderId="23" xfId="0" applyFont="1" applyFill="1" applyBorder="1" applyAlignment="1">
      <alignment horizontal="left" vertical="center"/>
    </xf>
    <xf numFmtId="0" fontId="0" fillId="7" borderId="9" xfId="0" applyFont="1" applyFill="1" applyBorder="1" applyAlignment="1">
      <alignment horizontal="left" vertical="center"/>
    </xf>
    <xf numFmtId="0" fontId="0" fillId="8" borderId="8" xfId="0" applyFont="1" applyFill="1" applyBorder="1" applyAlignment="1">
      <alignment horizontal="left" vertical="center"/>
    </xf>
    <xf numFmtId="0" fontId="0" fillId="8" borderId="23" xfId="0" applyFont="1" applyFill="1" applyBorder="1" applyAlignment="1">
      <alignment horizontal="left" vertical="center"/>
    </xf>
    <xf numFmtId="0" fontId="0" fillId="8" borderId="9" xfId="0" applyFont="1" applyFill="1" applyBorder="1" applyAlignment="1">
      <alignment horizontal="left" vertical="center"/>
    </xf>
    <xf numFmtId="0" fontId="0" fillId="8" borderId="8" xfId="0" applyFont="1" applyFill="1" applyBorder="1" applyAlignment="1">
      <alignment horizontal="left" vertical="center" wrapText="1"/>
    </xf>
    <xf numFmtId="0" fontId="0" fillId="8" borderId="9"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23" xfId="0" applyFont="1" applyBorder="1" applyAlignment="1">
      <alignment horizontal="left" vertical="center" wrapText="1"/>
    </xf>
    <xf numFmtId="0" fontId="0" fillId="0" borderId="9" xfId="0" applyFont="1" applyBorder="1" applyAlignment="1">
      <alignment horizontal="left" vertical="center" wrapText="1"/>
    </xf>
    <xf numFmtId="0" fontId="0" fillId="7" borderId="8" xfId="0" applyFont="1" applyFill="1" applyBorder="1" applyAlignment="1">
      <alignment horizontal="left" vertical="center" wrapText="1"/>
    </xf>
    <xf numFmtId="0" fontId="0" fillId="7" borderId="23" xfId="0" applyFont="1" applyFill="1" applyBorder="1" applyAlignment="1">
      <alignment horizontal="left" vertical="center" wrapText="1"/>
    </xf>
    <xf numFmtId="0" fontId="0" fillId="7" borderId="9"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5" borderId="8" xfId="0" applyFont="1" applyFill="1" applyBorder="1" applyAlignment="1">
      <alignment horizontal="left" vertical="center" textRotation="90"/>
    </xf>
    <xf numFmtId="0" fontId="0" fillId="5" borderId="23" xfId="0" applyFont="1" applyFill="1" applyBorder="1" applyAlignment="1">
      <alignment horizontal="left" vertical="center" textRotation="90"/>
    </xf>
    <xf numFmtId="0" fontId="0" fillId="10" borderId="8" xfId="0" applyFont="1" applyFill="1" applyBorder="1" applyAlignment="1">
      <alignment horizontal="left" vertical="center"/>
    </xf>
    <xf numFmtId="0" fontId="0" fillId="10" borderId="23" xfId="0" applyFont="1" applyFill="1" applyBorder="1" applyAlignment="1">
      <alignment horizontal="left" vertical="center"/>
    </xf>
    <xf numFmtId="0" fontId="0" fillId="10" borderId="9" xfId="0" applyFont="1" applyFill="1" applyBorder="1" applyAlignment="1">
      <alignment horizontal="left" vertical="center"/>
    </xf>
    <xf numFmtId="0" fontId="0" fillId="9" borderId="8" xfId="0" applyFont="1" applyFill="1" applyBorder="1" applyAlignment="1">
      <alignment horizontal="left" vertical="center" textRotation="90"/>
    </xf>
    <xf numFmtId="0" fontId="0" fillId="9" borderId="23" xfId="0" applyFont="1" applyFill="1" applyBorder="1" applyAlignment="1">
      <alignment horizontal="left" vertical="center" textRotation="90"/>
    </xf>
    <xf numFmtId="0" fontId="0" fillId="9" borderId="9" xfId="0" applyFont="1" applyFill="1" applyBorder="1" applyAlignment="1">
      <alignment horizontal="left" vertical="center" textRotation="90"/>
    </xf>
    <xf numFmtId="0" fontId="0" fillId="9" borderId="8" xfId="0" applyFont="1" applyFill="1" applyBorder="1" applyAlignment="1">
      <alignment horizontal="left" vertical="center" wrapText="1"/>
    </xf>
    <xf numFmtId="0" fontId="0" fillId="9" borderId="23" xfId="0" applyFont="1" applyFill="1" applyBorder="1" applyAlignment="1">
      <alignment horizontal="left" vertical="center" wrapText="1"/>
    </xf>
    <xf numFmtId="0" fontId="0" fillId="9" borderId="9" xfId="0" applyFont="1" applyFill="1" applyBorder="1" applyAlignment="1">
      <alignment horizontal="left" vertical="center" wrapText="1"/>
    </xf>
    <xf numFmtId="0" fontId="0" fillId="10" borderId="8" xfId="0" applyFont="1" applyFill="1" applyBorder="1" applyAlignment="1">
      <alignment horizontal="left" vertical="center" wrapText="1"/>
    </xf>
    <xf numFmtId="0" fontId="0" fillId="10" borderId="23" xfId="0" applyFont="1" applyFill="1" applyBorder="1" applyAlignment="1">
      <alignment horizontal="left" vertical="center" wrapText="1"/>
    </xf>
    <xf numFmtId="0" fontId="0" fillId="10" borderId="9" xfId="0" applyFont="1" applyFill="1" applyBorder="1" applyAlignment="1">
      <alignment horizontal="left" vertical="center" wrapText="1"/>
    </xf>
    <xf numFmtId="0" fontId="10" fillId="7" borderId="8" xfId="0" applyFont="1" applyFill="1" applyBorder="1" applyAlignment="1">
      <alignment horizontal="left" vertical="center"/>
    </xf>
    <xf numFmtId="0" fontId="18" fillId="7" borderId="23" xfId="0" applyFont="1" applyFill="1" applyBorder="1" applyAlignment="1">
      <alignment horizontal="left" vertical="center"/>
    </xf>
    <xf numFmtId="0" fontId="18" fillId="7" borderId="9" xfId="0" applyFont="1" applyFill="1" applyBorder="1" applyAlignment="1">
      <alignment horizontal="left" vertical="center"/>
    </xf>
    <xf numFmtId="0" fontId="10" fillId="7" borderId="18" xfId="0" applyFont="1" applyFill="1" applyBorder="1" applyAlignment="1">
      <alignment horizontal="left" vertical="center"/>
    </xf>
    <xf numFmtId="0" fontId="18" fillId="7" borderId="18" xfId="0" applyFont="1" applyFill="1" applyBorder="1" applyAlignment="1">
      <alignment horizontal="left" vertical="center"/>
    </xf>
    <xf numFmtId="0" fontId="18" fillId="7" borderId="21" xfId="0" applyFont="1" applyFill="1" applyBorder="1" applyAlignment="1">
      <alignment horizontal="left" vertical="center"/>
    </xf>
    <xf numFmtId="2" fontId="18" fillId="7" borderId="16" xfId="0" applyNumberFormat="1" applyFont="1" applyFill="1" applyBorder="1" applyAlignment="1">
      <alignment horizontal="center" vertical="center"/>
    </xf>
    <xf numFmtId="2" fontId="18" fillId="7" borderId="19" xfId="0" applyNumberFormat="1" applyFont="1" applyFill="1" applyBorder="1" applyAlignment="1">
      <alignment horizontal="center" vertical="center"/>
    </xf>
    <xf numFmtId="2" fontId="18" fillId="7" borderId="22" xfId="0" applyNumberFormat="1" applyFont="1" applyFill="1" applyBorder="1" applyAlignment="1">
      <alignment horizontal="center" vertical="center"/>
    </xf>
    <xf numFmtId="2" fontId="18" fillId="7" borderId="8" xfId="0" applyNumberFormat="1" applyFont="1" applyFill="1" applyBorder="1" applyAlignment="1">
      <alignment horizontal="center" vertical="center"/>
    </xf>
    <xf numFmtId="2" fontId="18" fillId="7" borderId="23" xfId="0" applyNumberFormat="1" applyFont="1" applyFill="1" applyBorder="1" applyAlignment="1">
      <alignment horizontal="center" vertical="center"/>
    </xf>
    <xf numFmtId="2" fontId="18" fillId="7" borderId="9" xfId="0" applyNumberFormat="1" applyFont="1" applyFill="1" applyBorder="1" applyAlignment="1">
      <alignment horizontal="center" vertical="center"/>
    </xf>
    <xf numFmtId="0" fontId="18" fillId="5" borderId="8" xfId="0" applyFont="1" applyFill="1" applyBorder="1" applyAlignment="1">
      <alignment horizontal="center" vertical="center"/>
    </xf>
    <xf numFmtId="0" fontId="18" fillId="5" borderId="23" xfId="0" applyFont="1" applyFill="1" applyBorder="1" applyAlignment="1">
      <alignment horizontal="center" vertical="center"/>
    </xf>
    <xf numFmtId="0" fontId="18" fillId="5" borderId="9" xfId="0" applyFont="1" applyFill="1" applyBorder="1" applyAlignment="1">
      <alignment horizontal="center" vertical="center"/>
    </xf>
    <xf numFmtId="0" fontId="18" fillId="9" borderId="8" xfId="0" applyFont="1" applyFill="1" applyBorder="1" applyAlignment="1">
      <alignment horizontal="center" vertical="center"/>
    </xf>
    <xf numFmtId="0" fontId="18" fillId="9" borderId="23" xfId="0" applyFont="1" applyFill="1" applyBorder="1" applyAlignment="1">
      <alignment horizontal="center" vertical="center"/>
    </xf>
    <xf numFmtId="0" fontId="18" fillId="9" borderId="9" xfId="0" applyFont="1" applyFill="1" applyBorder="1" applyAlignment="1">
      <alignment horizontal="center" vertical="center"/>
    </xf>
    <xf numFmtId="0" fontId="18" fillId="8" borderId="8"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0" fillId="14" borderId="8" xfId="0" applyFont="1" applyFill="1" applyBorder="1" applyAlignment="1">
      <alignment horizontal="center" vertical="center" wrapText="1"/>
    </xf>
    <xf numFmtId="0" fontId="10" fillId="14" borderId="9" xfId="0" applyFont="1" applyFill="1" applyBorder="1" applyAlignment="1">
      <alignment horizontal="center" vertical="center" wrapText="1"/>
    </xf>
    <xf numFmtId="0" fontId="18" fillId="10" borderId="8" xfId="0" applyFont="1" applyFill="1" applyBorder="1" applyAlignment="1">
      <alignment horizontal="center" vertical="center"/>
    </xf>
    <xf numFmtId="0" fontId="18" fillId="10" borderId="9" xfId="0" applyFont="1" applyFill="1" applyBorder="1" applyAlignment="1">
      <alignment horizontal="center" vertical="center"/>
    </xf>
    <xf numFmtId="0" fontId="23" fillId="10" borderId="17" xfId="0" applyFont="1" applyFill="1" applyBorder="1" applyAlignment="1">
      <alignment horizontal="center" vertical="center"/>
    </xf>
    <xf numFmtId="0" fontId="23" fillId="10" borderId="16" xfId="0" applyFont="1" applyFill="1" applyBorder="1" applyAlignment="1">
      <alignment horizontal="center" vertical="center"/>
    </xf>
    <xf numFmtId="0" fontId="23" fillId="10" borderId="21" xfId="0" applyFont="1" applyFill="1" applyBorder="1" applyAlignment="1">
      <alignment horizontal="center" vertical="center"/>
    </xf>
    <xf numFmtId="0" fontId="23" fillId="10" borderId="22" xfId="0" applyFont="1" applyFill="1" applyBorder="1" applyAlignment="1">
      <alignment horizontal="center" vertical="center"/>
    </xf>
    <xf numFmtId="0" fontId="23" fillId="5" borderId="17" xfId="0" applyFont="1" applyFill="1" applyBorder="1" applyAlignment="1">
      <alignment horizontal="center" vertical="center"/>
    </xf>
    <xf numFmtId="0" fontId="23" fillId="5" borderId="16" xfId="0" applyFont="1" applyFill="1" applyBorder="1" applyAlignment="1">
      <alignment horizontal="center" vertical="center"/>
    </xf>
    <xf numFmtId="0" fontId="23" fillId="5" borderId="21" xfId="0" applyFont="1" applyFill="1" applyBorder="1" applyAlignment="1">
      <alignment horizontal="center" vertical="center"/>
    </xf>
    <xf numFmtId="0" fontId="23" fillId="5" borderId="22" xfId="0" applyFont="1" applyFill="1" applyBorder="1" applyAlignment="1">
      <alignment horizontal="center" vertical="center"/>
    </xf>
    <xf numFmtId="0" fontId="10" fillId="7" borderId="8" xfId="0" applyFont="1" applyFill="1" applyBorder="1" applyAlignment="1">
      <alignment horizontal="left" vertical="center" wrapText="1"/>
    </xf>
    <xf numFmtId="0" fontId="10" fillId="7" borderId="23" xfId="0" applyFont="1" applyFill="1" applyBorder="1" applyAlignment="1">
      <alignment horizontal="left" vertical="center" wrapText="1"/>
    </xf>
    <xf numFmtId="0" fontId="10" fillId="7" borderId="9" xfId="0" applyFont="1" applyFill="1" applyBorder="1" applyAlignment="1">
      <alignment horizontal="left" vertical="center" wrapText="1"/>
    </xf>
    <xf numFmtId="0" fontId="13" fillId="8" borderId="17"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21" xfId="0" applyFont="1" applyFill="1" applyBorder="1" applyAlignment="1">
      <alignment horizontal="center" vertical="center" wrapText="1"/>
    </xf>
    <xf numFmtId="0" fontId="13" fillId="8" borderId="22" xfId="0" applyFont="1" applyFill="1" applyBorder="1" applyAlignment="1">
      <alignment horizontal="center" vertical="center" wrapText="1"/>
    </xf>
    <xf numFmtId="0" fontId="18" fillId="0" borderId="7" xfId="0" applyFont="1" applyBorder="1" applyAlignment="1">
      <alignment horizontal="center" vertical="center" wrapText="1"/>
    </xf>
    <xf numFmtId="2" fontId="18" fillId="10" borderId="23" xfId="0" applyNumberFormat="1" applyFont="1" applyFill="1" applyBorder="1" applyAlignment="1">
      <alignment horizontal="center" vertical="center"/>
    </xf>
    <xf numFmtId="2" fontId="18" fillId="10" borderId="9" xfId="0" applyNumberFormat="1" applyFont="1" applyFill="1" applyBorder="1" applyAlignment="1">
      <alignment horizontal="center" vertical="center"/>
    </xf>
    <xf numFmtId="0" fontId="17" fillId="0" borderId="10"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2" fontId="18" fillId="8" borderId="8" xfId="0" applyNumberFormat="1" applyFont="1" applyFill="1" applyBorder="1" applyAlignment="1">
      <alignment horizontal="center" vertical="center"/>
    </xf>
    <xf numFmtId="2" fontId="18" fillId="8" borderId="23" xfId="0" applyNumberFormat="1" applyFont="1" applyFill="1" applyBorder="1" applyAlignment="1">
      <alignment horizontal="center" vertical="center"/>
    </xf>
    <xf numFmtId="2" fontId="18" fillId="8" borderId="9" xfId="0" applyNumberFormat="1" applyFont="1" applyFill="1" applyBorder="1" applyAlignment="1">
      <alignment horizontal="center" vertical="center"/>
    </xf>
    <xf numFmtId="0" fontId="18" fillId="0" borderId="8"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9" xfId="0" applyFont="1" applyBorder="1" applyAlignment="1">
      <alignment horizontal="center" vertical="center" wrapText="1"/>
    </xf>
    <xf numFmtId="0" fontId="18" fillId="10" borderId="8" xfId="0" applyFont="1" applyFill="1" applyBorder="1" applyAlignment="1">
      <alignment horizontal="left" vertical="center"/>
    </xf>
    <xf numFmtId="0" fontId="18" fillId="10" borderId="23" xfId="0" applyFont="1" applyFill="1" applyBorder="1" applyAlignment="1">
      <alignment horizontal="left" vertical="center"/>
    </xf>
    <xf numFmtId="0" fontId="18" fillId="10" borderId="9" xfId="0" applyFont="1" applyFill="1" applyBorder="1" applyAlignment="1">
      <alignment horizontal="left" vertical="center"/>
    </xf>
    <xf numFmtId="0" fontId="18" fillId="10" borderId="17" xfId="0" applyFont="1" applyFill="1" applyBorder="1" applyAlignment="1">
      <alignment horizontal="left" vertical="center"/>
    </xf>
    <xf numFmtId="0" fontId="18" fillId="10" borderId="18" xfId="0" applyFont="1" applyFill="1" applyBorder="1" applyAlignment="1">
      <alignment horizontal="left" vertical="center"/>
    </xf>
    <xf numFmtId="0" fontId="18" fillId="10" borderId="21" xfId="0" applyFont="1" applyFill="1" applyBorder="1" applyAlignment="1">
      <alignment horizontal="left" vertical="center"/>
    </xf>
    <xf numFmtId="2" fontId="18" fillId="10" borderId="7" xfId="0" applyNumberFormat="1" applyFont="1" applyFill="1" applyBorder="1" applyAlignment="1">
      <alignment horizontal="center" vertical="center"/>
    </xf>
    <xf numFmtId="2" fontId="18" fillId="10" borderId="12" xfId="0" applyNumberFormat="1" applyFont="1" applyFill="1" applyBorder="1" applyAlignment="1">
      <alignment horizontal="center" vertical="center"/>
    </xf>
    <xf numFmtId="0" fontId="18" fillId="9" borderId="8" xfId="0" applyFont="1" applyFill="1" applyBorder="1" applyAlignment="1">
      <alignment horizontal="left" vertical="center"/>
    </xf>
    <xf numFmtId="0" fontId="18" fillId="9" borderId="23" xfId="0" applyFont="1" applyFill="1" applyBorder="1" applyAlignment="1">
      <alignment horizontal="left" vertical="center"/>
    </xf>
    <xf numFmtId="0" fontId="10" fillId="8" borderId="8" xfId="0" applyFont="1" applyFill="1" applyBorder="1" applyAlignment="1">
      <alignment horizontal="left" vertical="center" wrapText="1"/>
    </xf>
    <xf numFmtId="0" fontId="10" fillId="8" borderId="23" xfId="0" applyFont="1" applyFill="1" applyBorder="1" applyAlignment="1">
      <alignment horizontal="left" vertical="center" wrapText="1"/>
    </xf>
    <xf numFmtId="0" fontId="10" fillId="8" borderId="9" xfId="0" applyFont="1" applyFill="1" applyBorder="1" applyAlignment="1">
      <alignment horizontal="left" vertical="center" wrapText="1"/>
    </xf>
    <xf numFmtId="0" fontId="9" fillId="0" borderId="10" xfId="0" applyFont="1" applyBorder="1" applyAlignment="1">
      <alignment horizontal="center"/>
    </xf>
    <xf numFmtId="0" fontId="18" fillId="5" borderId="8" xfId="0" applyFont="1" applyFill="1" applyBorder="1" applyAlignment="1">
      <alignment horizontal="left" vertical="center"/>
    </xf>
    <xf numFmtId="0" fontId="18" fillId="5" borderId="23" xfId="0" applyFont="1" applyFill="1" applyBorder="1" applyAlignment="1">
      <alignment horizontal="left" vertical="center"/>
    </xf>
    <xf numFmtId="0" fontId="18" fillId="5" borderId="9" xfId="0" applyFont="1" applyFill="1" applyBorder="1" applyAlignment="1">
      <alignment horizontal="left" vertical="center"/>
    </xf>
    <xf numFmtId="2" fontId="23" fillId="0" borderId="8" xfId="0" applyNumberFormat="1" applyFont="1" applyBorder="1" applyAlignment="1">
      <alignment horizontal="center" vertical="center"/>
    </xf>
    <xf numFmtId="2" fontId="23" fillId="0" borderId="9" xfId="0" applyNumberFormat="1" applyFont="1" applyBorder="1" applyAlignment="1">
      <alignment horizontal="center" vertical="center"/>
    </xf>
    <xf numFmtId="2" fontId="18" fillId="9" borderId="16" xfId="0" applyNumberFormat="1" applyFont="1" applyFill="1" applyBorder="1" applyAlignment="1">
      <alignment horizontal="center" vertical="center"/>
    </xf>
    <xf numFmtId="2" fontId="18" fillId="9" borderId="19" xfId="0" applyNumberFormat="1" applyFont="1" applyFill="1" applyBorder="1" applyAlignment="1">
      <alignment horizontal="center" vertical="center"/>
    </xf>
    <xf numFmtId="0" fontId="18" fillId="9" borderId="9" xfId="0" applyFont="1" applyFill="1" applyBorder="1" applyAlignment="1">
      <alignment horizontal="left" vertical="center"/>
    </xf>
    <xf numFmtId="2" fontId="18" fillId="9" borderId="8" xfId="0" applyNumberFormat="1" applyFont="1" applyFill="1" applyBorder="1" applyAlignment="1">
      <alignment horizontal="center" vertical="center"/>
    </xf>
    <xf numFmtId="2" fontId="18" fillId="9" borderId="23" xfId="0" applyNumberFormat="1" applyFont="1" applyFill="1" applyBorder="1" applyAlignment="1">
      <alignment horizontal="center" vertical="center"/>
    </xf>
    <xf numFmtId="2" fontId="18" fillId="0" borderId="8" xfId="0" applyNumberFormat="1" applyFont="1" applyBorder="1" applyAlignment="1">
      <alignment horizontal="center" vertical="center" wrapText="1"/>
    </xf>
    <xf numFmtId="2" fontId="18" fillId="0" borderId="23" xfId="0" applyNumberFormat="1" applyFont="1" applyBorder="1" applyAlignment="1">
      <alignment horizontal="center" vertical="center" wrapText="1"/>
    </xf>
    <xf numFmtId="2" fontId="18" fillId="9" borderId="9" xfId="0" applyNumberFormat="1" applyFont="1" applyFill="1" applyBorder="1" applyAlignment="1">
      <alignment horizontal="center" vertical="center"/>
    </xf>
    <xf numFmtId="2" fontId="18" fillId="8" borderId="16" xfId="0" applyNumberFormat="1" applyFont="1" applyFill="1" applyBorder="1" applyAlignment="1">
      <alignment horizontal="center" vertical="center"/>
    </xf>
    <xf numFmtId="2" fontId="18" fillId="8" borderId="22" xfId="0" applyNumberFormat="1" applyFont="1" applyFill="1" applyBorder="1" applyAlignment="1">
      <alignment horizontal="center" vertical="center"/>
    </xf>
    <xf numFmtId="2" fontId="18" fillId="10" borderId="19" xfId="0" applyNumberFormat="1" applyFont="1" applyFill="1" applyBorder="1" applyAlignment="1">
      <alignment horizontal="center" vertical="center"/>
    </xf>
    <xf numFmtId="2" fontId="18" fillId="10" borderId="22" xfId="0" applyNumberFormat="1" applyFont="1" applyFill="1" applyBorder="1" applyAlignment="1">
      <alignment horizontal="center" vertical="center"/>
    </xf>
    <xf numFmtId="2" fontId="18" fillId="5" borderId="8" xfId="0" applyNumberFormat="1" applyFont="1" applyFill="1" applyBorder="1" applyAlignment="1">
      <alignment horizontal="center" vertical="center"/>
    </xf>
    <xf numFmtId="2" fontId="18" fillId="5" borderId="23" xfId="0" applyNumberFormat="1" applyFont="1" applyFill="1" applyBorder="1" applyAlignment="1">
      <alignment horizontal="center" vertical="center"/>
    </xf>
    <xf numFmtId="2" fontId="18" fillId="5" borderId="9" xfId="0" applyNumberFormat="1" applyFont="1" applyFill="1" applyBorder="1" applyAlignment="1">
      <alignment horizontal="center" vertical="center"/>
    </xf>
    <xf numFmtId="0" fontId="18" fillId="8" borderId="17" xfId="0" applyFont="1" applyFill="1" applyBorder="1" applyAlignment="1">
      <alignment horizontal="left" vertical="center"/>
    </xf>
    <xf numFmtId="0" fontId="18" fillId="8" borderId="21" xfId="0" applyFont="1" applyFill="1" applyBorder="1" applyAlignment="1">
      <alignment horizontal="left" vertical="center"/>
    </xf>
    <xf numFmtId="0" fontId="18" fillId="8" borderId="8" xfId="0" applyFont="1" applyFill="1" applyBorder="1" applyAlignment="1">
      <alignment horizontal="left" vertical="center"/>
    </xf>
    <xf numFmtId="0" fontId="18" fillId="8" borderId="9" xfId="0" applyFont="1" applyFill="1" applyBorder="1" applyAlignment="1">
      <alignment horizontal="left" vertical="center"/>
    </xf>
    <xf numFmtId="0" fontId="10" fillId="6" borderId="17" xfId="0" applyFont="1" applyFill="1" applyBorder="1" applyAlignment="1">
      <alignment horizontal="left"/>
    </xf>
    <xf numFmtId="0" fontId="10" fillId="6" borderId="24" xfId="0" applyFont="1" applyFill="1" applyBorder="1" applyAlignment="1">
      <alignment horizontal="left"/>
    </xf>
    <xf numFmtId="0" fontId="10" fillId="6" borderId="16" xfId="0" applyFont="1" applyFill="1" applyBorder="1" applyAlignment="1">
      <alignment horizontal="left"/>
    </xf>
    <xf numFmtId="0" fontId="18" fillId="12" borderId="18" xfId="0" applyFont="1" applyFill="1" applyBorder="1" applyAlignment="1">
      <alignment horizontal="left"/>
    </xf>
    <xf numFmtId="0" fontId="18" fillId="12" borderId="0" xfId="0" applyFont="1" applyFill="1" applyBorder="1" applyAlignment="1">
      <alignment horizontal="left"/>
    </xf>
    <xf numFmtId="0" fontId="18" fillId="12" borderId="19" xfId="0" applyFont="1" applyFill="1" applyBorder="1" applyAlignment="1">
      <alignment horizontal="left"/>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10" fillId="0" borderId="10" xfId="0" applyFont="1" applyBorder="1" applyAlignment="1">
      <alignment horizontal="left"/>
    </xf>
    <xf numFmtId="0" fontId="10" fillId="0" borderId="12" xfId="0" applyFont="1" applyBorder="1" applyAlignment="1">
      <alignment horizontal="left"/>
    </xf>
    <xf numFmtId="0" fontId="22" fillId="0" borderId="17" xfId="0" applyFont="1" applyBorder="1" applyAlignment="1">
      <alignment horizontal="center" vertical="center"/>
    </xf>
    <xf numFmtId="0" fontId="22" fillId="0" borderId="16"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10" fillId="0" borderId="10" xfId="0" applyFont="1" applyBorder="1"/>
    <xf numFmtId="0" fontId="10" fillId="0" borderId="12" xfId="0" applyFont="1" applyBorder="1"/>
    <xf numFmtId="0" fontId="18" fillId="0" borderId="10" xfId="0" applyFont="1" applyBorder="1"/>
    <xf numFmtId="0" fontId="18" fillId="0" borderId="12" xfId="0" applyFont="1" applyBorder="1"/>
    <xf numFmtId="0" fontId="11" fillId="0" borderId="10" xfId="0" applyFont="1" applyBorder="1" applyAlignment="1">
      <alignment horizontal="center"/>
    </xf>
    <xf numFmtId="0" fontId="21" fillId="0" borderId="11" xfId="0" applyFont="1" applyBorder="1" applyAlignment="1">
      <alignment horizont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9" fillId="0" borderId="17"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8" fillId="0" borderId="21" xfId="0" applyFont="1" applyBorder="1" applyAlignment="1">
      <alignment horizontal="left"/>
    </xf>
    <xf numFmtId="0" fontId="18" fillId="0" borderId="20" xfId="0" applyFont="1" applyBorder="1" applyAlignment="1">
      <alignment horizontal="left"/>
    </xf>
    <xf numFmtId="0" fontId="18" fillId="0" borderId="22" xfId="0" applyFont="1" applyBorder="1" applyAlignment="1">
      <alignment horizontal="left"/>
    </xf>
    <xf numFmtId="0" fontId="23" fillId="9" borderId="17" xfId="0" applyFont="1" applyFill="1" applyBorder="1" applyAlignment="1">
      <alignment horizontal="center" vertical="center"/>
    </xf>
    <xf numFmtId="0" fontId="23" fillId="9" borderId="16" xfId="0" applyFont="1" applyFill="1" applyBorder="1" applyAlignment="1">
      <alignment horizontal="center" vertical="center"/>
    </xf>
    <xf numFmtId="0" fontId="23" fillId="9" borderId="21" xfId="0" applyFont="1" applyFill="1" applyBorder="1" applyAlignment="1">
      <alignment horizontal="center" vertical="center"/>
    </xf>
    <xf numFmtId="0" fontId="23" fillId="9" borderId="22" xfId="0" applyFont="1" applyFill="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13" fillId="7" borderId="17"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3" fillId="7" borderId="21" xfId="0" applyFont="1" applyFill="1" applyBorder="1" applyAlignment="1">
      <alignment horizontal="center" vertical="center" wrapText="1"/>
    </xf>
    <xf numFmtId="0" fontId="13" fillId="7" borderId="22" xfId="0" applyFont="1" applyFill="1" applyBorder="1" applyAlignment="1">
      <alignment horizontal="center" vertical="center" wrapText="1"/>
    </xf>
    <xf numFmtId="0" fontId="10" fillId="7" borderId="23" xfId="0" applyFont="1" applyFill="1" applyBorder="1" applyAlignment="1">
      <alignment horizontal="left" vertical="center"/>
    </xf>
    <xf numFmtId="0" fontId="9" fillId="0" borderId="11" xfId="0" applyFont="1" applyBorder="1" applyAlignment="1">
      <alignment horizontal="center"/>
    </xf>
    <xf numFmtId="0" fontId="9" fillId="0" borderId="12" xfId="0" applyFont="1" applyBorder="1" applyAlignment="1">
      <alignment horizontal="center"/>
    </xf>
    <xf numFmtId="0" fontId="9" fillId="6" borderId="11" xfId="0" applyFont="1" applyFill="1" applyBorder="1" applyAlignment="1" applyProtection="1">
      <alignment horizontal="center" vertical="center"/>
      <protection locked="0"/>
    </xf>
    <xf numFmtId="0" fontId="9" fillId="6" borderId="12" xfId="0" applyFont="1" applyFill="1" applyBorder="1" applyAlignment="1" applyProtection="1">
      <alignment horizontal="center" vertical="center"/>
      <protection locked="0"/>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3" fillId="8" borderId="10" xfId="0" applyFont="1" applyFill="1" applyBorder="1" applyAlignment="1">
      <alignment horizontal="center" vertical="center"/>
    </xf>
    <xf numFmtId="0" fontId="13" fillId="8" borderId="12" xfId="0" applyFont="1" applyFill="1" applyBorder="1" applyAlignment="1">
      <alignment horizontal="center" vertical="center"/>
    </xf>
    <xf numFmtId="0" fontId="10" fillId="10" borderId="8" xfId="0" applyFont="1" applyFill="1" applyBorder="1" applyAlignment="1">
      <alignment horizontal="center" vertical="center"/>
    </xf>
    <xf numFmtId="0" fontId="10" fillId="10" borderId="9" xfId="0" applyFont="1" applyFill="1" applyBorder="1" applyAlignment="1">
      <alignment horizontal="center" vertical="center"/>
    </xf>
    <xf numFmtId="0" fontId="7" fillId="0" borderId="7" xfId="0" applyFont="1" applyBorder="1" applyAlignment="1">
      <alignment horizontal="center"/>
    </xf>
    <xf numFmtId="0" fontId="13" fillId="10" borderId="7" xfId="0" applyFont="1" applyFill="1" applyBorder="1" applyAlignment="1">
      <alignment horizontal="center" vertical="center"/>
    </xf>
    <xf numFmtId="0" fontId="13" fillId="7" borderId="7" xfId="0" applyFont="1" applyFill="1" applyBorder="1" applyAlignment="1">
      <alignment horizontal="center" vertical="center"/>
    </xf>
    <xf numFmtId="0" fontId="13" fillId="9" borderId="7" xfId="0" applyFont="1" applyFill="1" applyBorder="1" applyAlignment="1">
      <alignment horizontal="center" vertical="center"/>
    </xf>
    <xf numFmtId="0" fontId="13" fillId="5" borderId="7" xfId="0" applyFont="1" applyFill="1" applyBorder="1" applyAlignment="1">
      <alignment horizontal="center" vertical="center"/>
    </xf>
    <xf numFmtId="0" fontId="7" fillId="11" borderId="8" xfId="0" applyFont="1" applyFill="1" applyBorder="1" applyAlignment="1">
      <alignment horizontal="center" vertical="center"/>
    </xf>
    <xf numFmtId="0" fontId="7" fillId="11" borderId="9"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7" fillId="11" borderId="8"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0" fillId="9" borderId="8" xfId="0" applyFont="1" applyFill="1" applyBorder="1" applyAlignment="1">
      <alignment horizontal="center" vertical="center"/>
    </xf>
    <xf numFmtId="0" fontId="10" fillId="9" borderId="23" xfId="0" applyFont="1" applyFill="1" applyBorder="1" applyAlignment="1">
      <alignment horizontal="center" vertical="center"/>
    </xf>
    <xf numFmtId="0" fontId="10" fillId="9" borderId="9"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23" xfId="0" applyFont="1" applyFill="1" applyBorder="1" applyAlignment="1">
      <alignment horizontal="center" vertical="center"/>
    </xf>
    <xf numFmtId="0" fontId="10" fillId="5" borderId="9" xfId="0" applyFont="1" applyFill="1" applyBorder="1" applyAlignment="1">
      <alignment horizontal="center" vertical="center"/>
    </xf>
    <xf numFmtId="0" fontId="10" fillId="7" borderId="8"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26" fillId="0" borderId="0" xfId="0" applyFont="1" applyAlignment="1">
      <alignment horizontal="center" vertical="center"/>
    </xf>
    <xf numFmtId="0" fontId="27" fillId="0" borderId="0" xfId="0" applyFont="1" applyAlignment="1">
      <alignment horizontal="center" vertical="center"/>
    </xf>
    <xf numFmtId="0" fontId="26" fillId="0" borderId="1" xfId="0" applyFont="1" applyBorder="1" applyAlignment="1">
      <alignment horizontal="left" vertical="center" wrapText="1"/>
    </xf>
    <xf numFmtId="0" fontId="26" fillId="0" borderId="25" xfId="0" applyFont="1" applyBorder="1" applyAlignment="1">
      <alignment horizontal="left" vertical="center" wrapText="1"/>
    </xf>
    <xf numFmtId="0" fontId="0" fillId="0" borderId="1" xfId="0" applyBorder="1" applyAlignment="1">
      <alignment horizontal="left" vertical="center" wrapText="1"/>
    </xf>
    <xf numFmtId="0" fontId="26" fillId="0" borderId="1"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0" xfId="0" applyFont="1" applyAlignment="1">
      <alignment horizontal="center"/>
    </xf>
    <xf numFmtId="0" fontId="27" fillId="0" borderId="0" xfId="0" applyFont="1" applyFill="1" applyAlignment="1">
      <alignment horizontal="center" vertical="center"/>
    </xf>
  </cellXfs>
  <cellStyles count="4">
    <cellStyle name="Normal" xfId="0" builtinId="0"/>
    <cellStyle name="Normal 2" xfId="1" xr:uid="{00000000-0005-0000-0000-000001000000}"/>
    <cellStyle name="Normal 3" xfId="3" xr:uid="{0251D9BD-FE6E-4D06-88C5-194C140283B5}"/>
    <cellStyle name="Percent" xfId="2" builtinId="5"/>
  </cellStyles>
  <dxfs count="206">
    <dxf>
      <fill>
        <patternFill>
          <bgColor rgb="FFFF0000"/>
        </patternFill>
      </fill>
    </dxf>
    <dxf>
      <fill>
        <patternFill>
          <bgColor rgb="FFFFFF00"/>
        </patternFill>
      </fill>
    </dxf>
    <dxf>
      <fill>
        <patternFill>
          <bgColor rgb="FF00B050"/>
        </patternFill>
      </fill>
    </dxf>
    <dxf>
      <font>
        <color theme="0"/>
      </font>
    </dxf>
    <dxf>
      <font>
        <color theme="0"/>
      </font>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s>
  <tableStyles count="0" defaultTableStyle="TableStyleMedium2" defaultPivotStyle="PivotStyleLight16"/>
  <colors>
    <mruColors>
      <color rgb="FFDDEBF7"/>
      <color rgb="FF2522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Overall Condition</a:t>
            </a:r>
            <a:r>
              <a:rPr lang="en-US" sz="2000" baseline="0"/>
              <a:t> Score 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'Data Summary'!$C$21:$C$22</c:f>
              <c:strCache>
                <c:ptCount val="1"/>
                <c:pt idx="0">
                  <c:v>ECS</c:v>
                </c:pt>
              </c:strCache>
            </c:strRef>
          </c:tx>
          <c:spPr>
            <a:ln w="19050" cap="rnd">
              <a:solidFill>
                <a:srgbClr val="FF0000">
                  <a:alpha val="50000"/>
                </a:srgbClr>
              </a:solidFill>
              <a:prstDash val="dash"/>
              <a:round/>
            </a:ln>
            <a:effectLst/>
          </c:spPr>
          <c:marker>
            <c:symbol val="none"/>
          </c:marker>
          <c:xVal>
            <c:numRef>
              <c:f>('Data Summary'!$F$22,'Data Summary'!$A$33)</c:f>
              <c:numCache>
                <c:formatCode>General</c:formatCode>
                <c:ptCount val="2"/>
                <c:pt idx="0">
                  <c:v>#N/A</c:v>
                </c:pt>
                <c:pt idx="1">
                  <c:v>0</c:v>
                </c:pt>
              </c:numCache>
            </c:numRef>
          </c:xVal>
          <c:yVal>
            <c:numRef>
              <c:f>('Data Summary'!$C$28,'Data Summary'!$C$28)</c:f>
              <c:numCache>
                <c:formatCode>0.00</c:formatCode>
                <c:ptCount val="2"/>
                <c:pt idx="0">
                  <c:v>0</c:v>
                </c:pt>
                <c:pt idx="1">
                  <c:v>0</c:v>
                </c:pt>
              </c:numCache>
            </c:numRef>
          </c:yVal>
          <c:smooth val="0"/>
          <c:extLst>
            <c:ext xmlns:c16="http://schemas.microsoft.com/office/drawing/2014/chart" uri="{C3380CC4-5D6E-409C-BE32-E72D297353CC}">
              <c16:uniqueId val="{00000000-377C-4EA9-9858-DD24FD97EF7F}"/>
            </c:ext>
          </c:extLst>
        </c:ser>
        <c:ser>
          <c:idx val="2"/>
          <c:order val="1"/>
          <c:tx>
            <c:strRef>
              <c:f>'Data Summary'!$D$21:$D$22</c:f>
              <c:strCache>
                <c:ptCount val="1"/>
                <c:pt idx="0">
                  <c:v>PCS</c:v>
                </c:pt>
              </c:strCache>
            </c:strRef>
          </c:tx>
          <c:spPr>
            <a:ln w="19050" cap="rnd">
              <a:solidFill>
                <a:srgbClr val="00B0F0"/>
              </a:solidFill>
              <a:round/>
            </a:ln>
            <a:effectLst/>
          </c:spPr>
          <c:marker>
            <c:symbol val="none"/>
          </c:marker>
          <c:xVal>
            <c:numRef>
              <c:f>('Data Summary'!$F$22,'Data Summary'!$A$33)</c:f>
              <c:numCache>
                <c:formatCode>General</c:formatCode>
                <c:ptCount val="2"/>
                <c:pt idx="0">
                  <c:v>#N/A</c:v>
                </c:pt>
                <c:pt idx="1">
                  <c:v>0</c:v>
                </c:pt>
              </c:numCache>
            </c:numRef>
          </c:xVal>
          <c:yVal>
            <c:numRef>
              <c:f>('Data Summary'!$D$28,'Data Summary'!$D$28)</c:f>
              <c:numCache>
                <c:formatCode>0.00</c:formatCode>
                <c:ptCount val="2"/>
                <c:pt idx="0">
                  <c:v>0</c:v>
                </c:pt>
                <c:pt idx="1">
                  <c:v>0</c:v>
                </c:pt>
              </c:numCache>
            </c:numRef>
          </c:yVal>
          <c:smooth val="0"/>
          <c:extLst>
            <c:ext xmlns:c16="http://schemas.microsoft.com/office/drawing/2014/chart" uri="{C3380CC4-5D6E-409C-BE32-E72D297353CC}">
              <c16:uniqueId val="{00000001-377C-4EA9-9858-DD24FD97EF7F}"/>
            </c:ext>
          </c:extLst>
        </c:ser>
        <c:ser>
          <c:idx val="3"/>
          <c:order val="2"/>
          <c:tx>
            <c:strRef>
              <c:f>'Data Summary'!$E$21:$E$22</c:f>
              <c:strCache>
                <c:ptCount val="1"/>
                <c:pt idx="0">
                  <c:v>As-Built</c:v>
                </c:pt>
              </c:strCache>
            </c:strRef>
          </c:tx>
          <c:spPr>
            <a:ln w="38100" cap="rnd" cmpd="dbl">
              <a:solidFill>
                <a:schemeClr val="bg2">
                  <a:lumMod val="75000"/>
                </a:schemeClr>
              </a:solidFill>
              <a:prstDash val="dash"/>
              <a:round/>
            </a:ln>
            <a:effectLst/>
          </c:spPr>
          <c:marker>
            <c:symbol val="none"/>
          </c:marker>
          <c:xVal>
            <c:numRef>
              <c:f>('Data Summary'!$F$22,'Data Summary'!$A$33)</c:f>
              <c:numCache>
                <c:formatCode>General</c:formatCode>
                <c:ptCount val="2"/>
                <c:pt idx="0">
                  <c:v>#N/A</c:v>
                </c:pt>
                <c:pt idx="1">
                  <c:v>0</c:v>
                </c:pt>
              </c:numCache>
            </c:numRef>
          </c:xVal>
          <c:yVal>
            <c:numRef>
              <c:f>('Data Summary'!$E$28,'Data Summary'!$E$28)</c:f>
              <c:numCache>
                <c:formatCode>0.00</c:formatCode>
                <c:ptCount val="2"/>
                <c:pt idx="0">
                  <c:v>0</c:v>
                </c:pt>
                <c:pt idx="1">
                  <c:v>0</c:v>
                </c:pt>
              </c:numCache>
            </c:numRef>
          </c:yVal>
          <c:smooth val="0"/>
          <c:extLst>
            <c:ext xmlns:c16="http://schemas.microsoft.com/office/drawing/2014/chart" uri="{C3380CC4-5D6E-409C-BE32-E72D297353CC}">
              <c16:uniqueId val="{00000002-377C-4EA9-9858-DD24FD97EF7F}"/>
            </c:ext>
          </c:extLst>
        </c:ser>
        <c:ser>
          <c:idx val="0"/>
          <c:order val="3"/>
          <c:tx>
            <c:v>Monitoring Data</c:v>
          </c:tx>
          <c:spPr>
            <a:ln w="28575" cap="rnd">
              <a:solidFill>
                <a:schemeClr val="tx1"/>
              </a:solidFill>
              <a:round/>
            </a:ln>
            <a:effectLst/>
          </c:spPr>
          <c:marker>
            <c:symbol val="none"/>
          </c:marker>
          <c:xVal>
            <c:numRef>
              <c:f>'Data Summary'!$F$22:$O$22</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Summary'!$F$28:$O$28</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D029-4D92-AEAF-A8311BD790D4}"/>
            </c:ext>
          </c:extLst>
        </c:ser>
        <c:dLbls>
          <c:showLegendKey val="0"/>
          <c:showVal val="0"/>
          <c:showCatName val="0"/>
          <c:showSerName val="0"/>
          <c:showPercent val="0"/>
          <c:showBubbleSize val="0"/>
        </c:dLbls>
        <c:axId val="379427824"/>
        <c:axId val="379433312"/>
      </c:scatterChart>
      <c:valAx>
        <c:axId val="379427824"/>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79433312"/>
        <c:crosses val="autoZero"/>
        <c:crossBetween val="midCat"/>
      </c:valAx>
      <c:valAx>
        <c:axId val="37943331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Condition Score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7942782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Pool Spacing Ratio for B and Ba Stream Types</a:t>
            </a:r>
            <a:endParaRPr lang="en-US" sz="1600">
              <a:effectLst/>
            </a:endParaRPr>
          </a:p>
        </c:rich>
      </c:tx>
      <c:layout>
        <c:manualLayout>
          <c:xMode val="edge"/>
          <c:yMode val="edge"/>
          <c:x val="0.2071894055085757"/>
          <c:y val="2.7304948427629358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v>Series 1</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dispRSqr val="0"/>
            <c:dispEq val="1"/>
            <c:trendlineLbl>
              <c:layout>
                <c:manualLayout>
                  <c:x val="-0.15986035772665833"/>
                  <c:y val="-0.10712994089976421"/>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Curves'!$W$180:$X$180</c:f>
              <c:numCache>
                <c:formatCode>0.0</c:formatCode>
                <c:ptCount val="2"/>
                <c:pt idx="0">
                  <c:v>3.9</c:v>
                </c:pt>
                <c:pt idx="1">
                  <c:v>2</c:v>
                </c:pt>
              </c:numCache>
            </c:numRef>
          </c:xVal>
          <c:yVal>
            <c:numRef>
              <c:f>'Reference Curves'!$W$181:$X$181</c:f>
              <c:numCache>
                <c:formatCode>0.00</c:formatCode>
                <c:ptCount val="2"/>
                <c:pt idx="0">
                  <c:v>0.7</c:v>
                </c:pt>
                <c:pt idx="1">
                  <c:v>1</c:v>
                </c:pt>
              </c:numCache>
            </c:numRef>
          </c:yVal>
          <c:smooth val="0"/>
          <c:extLst>
            <c:ext xmlns:c16="http://schemas.microsoft.com/office/drawing/2014/chart" uri="{C3380CC4-5D6E-409C-BE32-E72D297353CC}">
              <c16:uniqueId val="{00000001-3F89-4AE3-A340-207A3C2A9FF9}"/>
            </c:ext>
          </c:extLst>
        </c:ser>
        <c:ser>
          <c:idx val="0"/>
          <c:order val="1"/>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7180134599157279"/>
                  <c:y val="-0.22893477263901299"/>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Curves'!$S$180:$W$180</c:f>
              <c:numCache>
                <c:formatCode>General</c:formatCode>
                <c:ptCount val="5"/>
                <c:pt idx="0" formatCode="0.0">
                  <c:v>6</c:v>
                </c:pt>
                <c:pt idx="4" formatCode="0.0">
                  <c:v>3.9</c:v>
                </c:pt>
              </c:numCache>
            </c:numRef>
          </c:xVal>
          <c:yVal>
            <c:numRef>
              <c:f>'Reference Curves'!$S$181:$W$181</c:f>
              <c:numCache>
                <c:formatCode>0.00</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2-634B-46CB-8990-883033F9EEA8}"/>
            </c:ext>
          </c:extLst>
        </c:ser>
        <c:dLbls>
          <c:showLegendKey val="0"/>
          <c:showVal val="0"/>
          <c:showCatName val="0"/>
          <c:showSerName val="0"/>
          <c:showPercent val="0"/>
          <c:showBubbleSize val="0"/>
        </c:dLbls>
        <c:axId val="412059488"/>
        <c:axId val="412057920"/>
      </c:scatterChart>
      <c:valAx>
        <c:axId val="4120594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2057920"/>
        <c:crosses val="autoZero"/>
        <c:crossBetween val="midCat"/>
      </c:valAx>
      <c:valAx>
        <c:axId val="41205792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20594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Pool Spacing Ratio for C </a:t>
            </a:r>
            <a:r>
              <a:rPr lang="en-US" sz="1600" baseline="0"/>
              <a:t>Stream Types</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5.5329068273398237E-2"/>
                  <c:y val="0.16043736432438069"/>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Curves'!$S$244:$X$244</c:f>
              <c:numCache>
                <c:formatCode>General</c:formatCode>
                <c:ptCount val="6"/>
                <c:pt idx="0" formatCode="0.0">
                  <c:v>3</c:v>
                </c:pt>
                <c:pt idx="4">
                  <c:v>3.7</c:v>
                </c:pt>
                <c:pt idx="5" formatCode="0.0">
                  <c:v>4</c:v>
                </c:pt>
              </c:numCache>
            </c:numRef>
          </c:xVal>
          <c:yVal>
            <c:numRef>
              <c:f>'Reference Curves'!$S$246:$X$246</c:f>
              <c:numCache>
                <c:formatCode>0.00</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0-ED1E-4832-8408-8CBD3FC589E3}"/>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2.3429011662041317E-2"/>
                  <c:y val="-0.58498255547659106"/>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Curves'!$S$245:$X$245</c:f>
              <c:numCache>
                <c:formatCode>General</c:formatCode>
                <c:ptCount val="6"/>
                <c:pt idx="0" formatCode="0.0">
                  <c:v>9.3000000000000007</c:v>
                </c:pt>
                <c:pt idx="4">
                  <c:v>7</c:v>
                </c:pt>
                <c:pt idx="5" formatCode="0.0">
                  <c:v>6</c:v>
                </c:pt>
              </c:numCache>
            </c:numRef>
          </c:xVal>
          <c:yVal>
            <c:numRef>
              <c:f>'Reference Curves'!$S$246:$X$246</c:f>
              <c:numCache>
                <c:formatCode>0.00</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8AA4-4E0C-8114-2D9E850C5DD4}"/>
            </c:ext>
          </c:extLst>
        </c:ser>
        <c:ser>
          <c:idx val="2"/>
          <c:order val="2"/>
          <c:tx>
            <c:v>Crest</c:v>
          </c:tx>
          <c:spPr>
            <a:ln w="25400" cap="rnd">
              <a:solidFill>
                <a:schemeClr val="tx1"/>
              </a:solidFill>
              <a:prstDash val="solid"/>
              <a:round/>
            </a:ln>
            <a:effectLst/>
          </c:spPr>
          <c:marker>
            <c:symbol val="none"/>
          </c:marker>
          <c:dPt>
            <c:idx val="0"/>
            <c:marker>
              <c:symbol val="none"/>
            </c:marker>
            <c:bubble3D val="0"/>
            <c:spPr>
              <a:ln w="25400" cap="rnd">
                <a:solidFill>
                  <a:schemeClr val="tx1"/>
                </a:solidFill>
                <a:prstDash val="solid"/>
                <a:round/>
              </a:ln>
              <a:effectLst/>
            </c:spPr>
            <c:extLst>
              <c:ext xmlns:c16="http://schemas.microsoft.com/office/drawing/2014/chart" uri="{C3380CC4-5D6E-409C-BE32-E72D297353CC}">
                <c16:uniqueId val="{00000003-5466-4A04-A7DC-2E2A2431BA88}"/>
              </c:ext>
            </c:extLst>
          </c:dPt>
          <c:xVal>
            <c:numRef>
              <c:f>('Reference Curves'!$X$244,'Reference Curves'!$X$245)</c:f>
              <c:numCache>
                <c:formatCode>0.0</c:formatCode>
                <c:ptCount val="2"/>
                <c:pt idx="0">
                  <c:v>4</c:v>
                </c:pt>
                <c:pt idx="1">
                  <c:v>6</c:v>
                </c:pt>
              </c:numCache>
            </c:numRef>
          </c:xVal>
          <c:yVal>
            <c:numRef>
              <c:f>('Reference Curves'!$X$246,'Reference Curves'!$X$246)</c:f>
              <c:numCache>
                <c:formatCode>0.00</c:formatCode>
                <c:ptCount val="2"/>
                <c:pt idx="0">
                  <c:v>1</c:v>
                </c:pt>
                <c:pt idx="1">
                  <c:v>1</c:v>
                </c:pt>
              </c:numCache>
            </c:numRef>
          </c:yVal>
          <c:smooth val="0"/>
          <c:extLst>
            <c:ext xmlns:c16="http://schemas.microsoft.com/office/drawing/2014/chart" uri="{C3380CC4-5D6E-409C-BE32-E72D297353CC}">
              <c16:uniqueId val="{00000003-8AA4-4E0C-8114-2D9E850C5DD4}"/>
            </c:ext>
          </c:extLst>
        </c:ser>
        <c:dLbls>
          <c:showLegendKey val="0"/>
          <c:showVal val="0"/>
          <c:showCatName val="0"/>
          <c:showSerName val="0"/>
          <c:showPercent val="0"/>
          <c:showBubbleSize val="0"/>
        </c:dLbls>
        <c:axId val="412054392"/>
        <c:axId val="412055176"/>
      </c:scatterChart>
      <c:valAx>
        <c:axId val="4120543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2055176"/>
        <c:crosses val="autoZero"/>
        <c:crossBetween val="midCat"/>
        <c:majorUnit val="1"/>
      </c:valAx>
      <c:valAx>
        <c:axId val="41205517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20543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Pool Depth Ratio</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529703548794795"/>
          <c:y val="0.11798067803018673"/>
          <c:w val="0.59463780714836989"/>
          <c:h val="0.73736631113251172"/>
        </c:manualLayout>
      </c:layout>
      <c:scatterChart>
        <c:scatterStyle val="lineMarker"/>
        <c:varyColors val="0"/>
        <c:ser>
          <c:idx val="1"/>
          <c:order val="0"/>
          <c:tx>
            <c:strRef>
              <c:f>'Reference Curves'!$R$311</c:f>
              <c:strCache>
                <c:ptCount val="1"/>
                <c:pt idx="0">
                  <c:v>B &amp; Ba Streams</c:v>
                </c:pt>
              </c:strCache>
            </c:strRef>
          </c:tx>
          <c:spPr>
            <a:ln w="25400" cap="rnd">
              <a:noFill/>
              <a:round/>
            </a:ln>
            <a:effectLst/>
          </c:spPr>
          <c:marker>
            <c:symbol val="circle"/>
            <c:size val="5"/>
            <c:spPr>
              <a:solidFill>
                <a:schemeClr val="accent5">
                  <a:lumMod val="75000"/>
                </a:schemeClr>
              </a:solidFill>
              <a:ln w="9525">
                <a:solidFill>
                  <a:schemeClr val="accent5">
                    <a:lumMod val="75000"/>
                  </a:schemeClr>
                </a:solidFill>
              </a:ln>
              <a:effectLst/>
            </c:spPr>
          </c:marker>
          <c:trendline>
            <c:spPr>
              <a:ln w="19050" cap="rnd">
                <a:solidFill>
                  <a:schemeClr val="accent5">
                    <a:lumMod val="75000"/>
                  </a:schemeClr>
                </a:solidFill>
                <a:prstDash val="sysDot"/>
              </a:ln>
              <a:effectLst/>
            </c:spPr>
            <c:trendlineType val="linear"/>
            <c:dispRSqr val="0"/>
            <c:dispEq val="1"/>
            <c:trendlineLbl>
              <c:layout>
                <c:manualLayout>
                  <c:x val="-0.18114133773886515"/>
                  <c:y val="4.3255026872232767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lumMod val="75000"/>
                        </a:schemeClr>
                      </a:solidFill>
                      <a:latin typeface="+mn-lt"/>
                      <a:ea typeface="+mn-ea"/>
                      <a:cs typeface="+mn-cs"/>
                    </a:defRPr>
                  </a:pPr>
                  <a:endParaRPr lang="en-US"/>
                </a:p>
              </c:txPr>
            </c:trendlineLbl>
          </c:trendline>
          <c:xVal>
            <c:numRef>
              <c:f>'Reference Curves'!$W$311:$X$311</c:f>
              <c:numCache>
                <c:formatCode>0.0</c:formatCode>
                <c:ptCount val="2"/>
                <c:pt idx="0">
                  <c:v>1.8</c:v>
                </c:pt>
                <c:pt idx="1">
                  <c:v>2.8</c:v>
                </c:pt>
              </c:numCache>
            </c:numRef>
          </c:xVal>
          <c:yVal>
            <c:numRef>
              <c:f>'Reference Curves'!$W$313:$X$313</c:f>
              <c:numCache>
                <c:formatCode>0.00</c:formatCode>
                <c:ptCount val="2"/>
                <c:pt idx="0">
                  <c:v>0.7</c:v>
                </c:pt>
                <c:pt idx="1">
                  <c:v>1</c:v>
                </c:pt>
              </c:numCache>
            </c:numRef>
          </c:yVal>
          <c:smooth val="0"/>
          <c:extLst>
            <c:ext xmlns:c16="http://schemas.microsoft.com/office/drawing/2014/chart" uri="{C3380CC4-5D6E-409C-BE32-E72D297353CC}">
              <c16:uniqueId val="{00000000-6121-4ADE-A1F7-55E2A9FD0207}"/>
            </c:ext>
          </c:extLst>
        </c:ser>
        <c:ser>
          <c:idx val="3"/>
          <c:order val="1"/>
          <c:tx>
            <c:strRef>
              <c:f>'Reference Curves'!$R$312</c:f>
              <c:strCache>
                <c:ptCount val="1"/>
                <c:pt idx="0">
                  <c:v>All other Streams</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12809719042980797"/>
                  <c:y val="0.13999644981368448"/>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4"/>
                      </a:solidFill>
                      <a:latin typeface="+mn-lt"/>
                      <a:ea typeface="+mn-ea"/>
                      <a:cs typeface="+mn-cs"/>
                    </a:defRPr>
                  </a:pPr>
                  <a:endParaRPr lang="en-US"/>
                </a:p>
              </c:txPr>
            </c:trendlineLbl>
          </c:trendline>
          <c:xVal>
            <c:numRef>
              <c:f>'Reference Curves'!$W$312:$X$312</c:f>
              <c:numCache>
                <c:formatCode>0.0</c:formatCode>
                <c:ptCount val="2"/>
                <c:pt idx="0">
                  <c:v>2.2000000000000002</c:v>
                </c:pt>
                <c:pt idx="1">
                  <c:v>3.2</c:v>
                </c:pt>
              </c:numCache>
            </c:numRef>
          </c:xVal>
          <c:yVal>
            <c:numRef>
              <c:f>'Reference Curves'!$W$313:$X$313</c:f>
              <c:numCache>
                <c:formatCode>0.00</c:formatCode>
                <c:ptCount val="2"/>
                <c:pt idx="0">
                  <c:v>0.7</c:v>
                </c:pt>
                <c:pt idx="1">
                  <c:v>1</c:v>
                </c:pt>
              </c:numCache>
            </c:numRef>
          </c:yVal>
          <c:smooth val="0"/>
          <c:extLst>
            <c:ext xmlns:c16="http://schemas.microsoft.com/office/drawing/2014/chart" uri="{C3380CC4-5D6E-409C-BE32-E72D297353CC}">
              <c16:uniqueId val="{00000004-5A45-4BEC-BF33-1F55ED4F59B7}"/>
            </c:ext>
          </c:extLst>
        </c:ser>
        <c:ser>
          <c:idx val="0"/>
          <c:order val="2"/>
          <c:tx>
            <c:strRef>
              <c:f>'Reference Curves'!$R$311</c:f>
              <c:strCache>
                <c:ptCount val="1"/>
                <c:pt idx="0">
                  <c:v>B &amp; Ba Streams</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7.1473092282625855E-2"/>
                  <c:y val="0.1158311764066343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Curves'!$S$311:$W$311</c:f>
              <c:numCache>
                <c:formatCode>General</c:formatCode>
                <c:ptCount val="5"/>
                <c:pt idx="0" formatCode="0.0">
                  <c:v>1</c:v>
                </c:pt>
                <c:pt idx="4" formatCode="0.0">
                  <c:v>1.8</c:v>
                </c:pt>
              </c:numCache>
            </c:numRef>
          </c:xVal>
          <c:yVal>
            <c:numRef>
              <c:f>'Reference Curves'!$S$313:$W$313</c:f>
              <c:numCache>
                <c:formatCode>0.00</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E795-4FA4-A294-C8061F842EF8}"/>
            </c:ext>
          </c:extLst>
        </c:ser>
        <c:ser>
          <c:idx val="2"/>
          <c:order val="3"/>
          <c:tx>
            <c:strRef>
              <c:f>'Reference Curves'!$R$312</c:f>
              <c:strCache>
                <c:ptCount val="1"/>
                <c:pt idx="0">
                  <c:v>All other Streams</c:v>
                </c:pt>
              </c:strCache>
            </c:strRef>
          </c:tx>
          <c:spPr>
            <a:ln w="25400" cap="rnd">
              <a:noFill/>
              <a:round/>
            </a:ln>
            <a:effectLst/>
          </c:spPr>
          <c:marker>
            <c:symbol val="circle"/>
            <c:size val="5"/>
            <c:spPr>
              <a:solidFill>
                <a:schemeClr val="accent2">
                  <a:lumMod val="75000"/>
                </a:schemeClr>
              </a:solidFill>
              <a:ln w="9525">
                <a:solidFill>
                  <a:schemeClr val="accent2">
                    <a:lumMod val="75000"/>
                  </a:schemeClr>
                </a:solidFill>
              </a:ln>
              <a:effectLst/>
            </c:spPr>
          </c:marker>
          <c:trendline>
            <c:spPr>
              <a:ln w="19050" cap="rnd">
                <a:solidFill>
                  <a:schemeClr val="accent2">
                    <a:lumMod val="75000"/>
                  </a:schemeClr>
                </a:solidFill>
                <a:prstDash val="sysDot"/>
              </a:ln>
              <a:effectLst/>
            </c:spPr>
            <c:trendlineType val="linear"/>
            <c:dispRSqr val="0"/>
            <c:dispEq val="1"/>
            <c:trendlineLbl>
              <c:layout>
                <c:manualLayout>
                  <c:x val="0.22436816622305092"/>
                  <c:y val="0.19498324972236758"/>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lumMod val="75000"/>
                        </a:schemeClr>
                      </a:solidFill>
                      <a:latin typeface="+mn-lt"/>
                      <a:ea typeface="+mn-ea"/>
                      <a:cs typeface="+mn-cs"/>
                    </a:defRPr>
                  </a:pPr>
                  <a:endParaRPr lang="en-US"/>
                </a:p>
              </c:txPr>
            </c:trendlineLbl>
          </c:trendline>
          <c:xVal>
            <c:numRef>
              <c:f>'Reference Curves'!$S$312:$W$312</c:f>
              <c:numCache>
                <c:formatCode>General</c:formatCode>
                <c:ptCount val="5"/>
                <c:pt idx="0" formatCode="0.0">
                  <c:v>1</c:v>
                </c:pt>
                <c:pt idx="4" formatCode="0.0">
                  <c:v>2.2000000000000002</c:v>
                </c:pt>
              </c:numCache>
            </c:numRef>
          </c:xVal>
          <c:yVal>
            <c:numRef>
              <c:f>'Reference Curves'!$S$313:$W$313</c:f>
              <c:numCache>
                <c:formatCode>0.00</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3-5A45-4BEC-BF33-1F55ED4F59B7}"/>
            </c:ext>
          </c:extLst>
        </c:ser>
        <c:dLbls>
          <c:showLegendKey val="0"/>
          <c:showVal val="0"/>
          <c:showCatName val="0"/>
          <c:showSerName val="0"/>
          <c:showPercent val="0"/>
          <c:showBubbleSize val="0"/>
        </c:dLbls>
        <c:axId val="379427040"/>
        <c:axId val="379432136"/>
      </c:scatterChart>
      <c:valAx>
        <c:axId val="3794270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79432136"/>
        <c:crosses val="autoZero"/>
        <c:crossBetween val="midCat"/>
      </c:valAx>
      <c:valAx>
        <c:axId val="37943213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79427040"/>
        <c:crosses val="autoZero"/>
        <c:crossBetween val="midCat"/>
      </c:valAx>
      <c:spPr>
        <a:noFill/>
        <a:ln>
          <a:noFill/>
        </a:ln>
        <a:effectLst/>
      </c:spPr>
    </c:plotArea>
    <c:legend>
      <c:legendPos val="r"/>
      <c:layout>
        <c:manualLayout>
          <c:xMode val="edge"/>
          <c:yMode val="edge"/>
          <c:x val="0.70271625604621424"/>
          <c:y val="0.34393711045765318"/>
          <c:w val="0.28424645405390425"/>
          <c:h val="0.1495662520234395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Percent Riffle for Slopes &lt; 3%</a:t>
            </a:r>
          </a:p>
        </c:rich>
      </c:tx>
      <c:layout>
        <c:manualLayout>
          <c:xMode val="edge"/>
          <c:yMode val="edge"/>
          <c:x val="0.26547633324907888"/>
          <c:y val="2.3591773158599411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25"/>
            <c:dispRSqr val="0"/>
            <c:dispEq val="1"/>
            <c:trendlineLbl>
              <c:layout>
                <c:manualLayout>
                  <c:x val="3.1936590629226991E-2"/>
                  <c:y val="0.33398721557655137"/>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Curves'!$S$379:$W$379</c:f>
              <c:numCache>
                <c:formatCode>General</c:formatCode>
                <c:ptCount val="5"/>
                <c:pt idx="0" formatCode="0">
                  <c:v>0</c:v>
                </c:pt>
                <c:pt idx="4">
                  <c:v>39</c:v>
                </c:pt>
              </c:numCache>
            </c:numRef>
          </c:xVal>
          <c:yVal>
            <c:numRef>
              <c:f>'Reference Curves'!$S$381:$W$381</c:f>
              <c:numCache>
                <c:formatCode>0.00</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0-33CC-400E-91D8-8DB0C3E7DC9D}"/>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21"/>
            <c:dispRSqr val="0"/>
            <c:dispEq val="1"/>
            <c:trendlineLbl>
              <c:layout>
                <c:manualLayout>
                  <c:x val="-0.22572554819870763"/>
                  <c:y val="-0.29989670643624033"/>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Curves'!$S$380:$W$380</c:f>
              <c:numCache>
                <c:formatCode>General</c:formatCode>
                <c:ptCount val="5"/>
                <c:pt idx="0" formatCode="0">
                  <c:v>100</c:v>
                </c:pt>
                <c:pt idx="4">
                  <c:v>69</c:v>
                </c:pt>
              </c:numCache>
            </c:numRef>
          </c:xVal>
          <c:yVal>
            <c:numRef>
              <c:f>'Reference Curves'!$S$381:$W$381</c:f>
              <c:numCache>
                <c:formatCode>0.00</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33CC-400E-91D8-8DB0C3E7DC9D}"/>
            </c:ext>
          </c:extLst>
        </c:ser>
        <c:ser>
          <c:idx val="2"/>
          <c:order val="2"/>
          <c:tx>
            <c:v>Crest</c:v>
          </c:tx>
          <c:spPr>
            <a:ln w="25400" cap="rnd">
              <a:solidFill>
                <a:schemeClr val="tx1"/>
              </a:solidFill>
              <a:prstDash val="solid"/>
              <a:round/>
            </a:ln>
            <a:effectLst/>
          </c:spPr>
          <c:marker>
            <c:symbol val="none"/>
          </c:marker>
          <c:trendline>
            <c:spPr>
              <a:ln w="22225" cap="rnd">
                <a:solidFill>
                  <a:schemeClr val="tx1"/>
                </a:solidFill>
                <a:prstDash val="solid"/>
              </a:ln>
              <a:effectLst/>
            </c:spPr>
            <c:trendlineType val="linear"/>
            <c:dispRSqr val="0"/>
            <c:dispEq val="0"/>
          </c:trendline>
          <c:xVal>
            <c:numRef>
              <c:f>'Reference Curves'!$X$379:$X$380</c:f>
              <c:numCache>
                <c:formatCode>General</c:formatCode>
                <c:ptCount val="2"/>
                <c:pt idx="0">
                  <c:v>50</c:v>
                </c:pt>
                <c:pt idx="1">
                  <c:v>60</c:v>
                </c:pt>
              </c:numCache>
            </c:numRef>
          </c:xVal>
          <c:yVal>
            <c:numRef>
              <c:f>('Reference Curves'!$X$381,'Reference Curves'!$X$381)</c:f>
              <c:numCache>
                <c:formatCode>0.00</c:formatCode>
                <c:ptCount val="2"/>
                <c:pt idx="0">
                  <c:v>1</c:v>
                </c:pt>
                <c:pt idx="1">
                  <c:v>1</c:v>
                </c:pt>
              </c:numCache>
            </c:numRef>
          </c:yVal>
          <c:smooth val="0"/>
          <c:extLst>
            <c:ext xmlns:c16="http://schemas.microsoft.com/office/drawing/2014/chart" uri="{C3380CC4-5D6E-409C-BE32-E72D297353CC}">
              <c16:uniqueId val="{00000000-FA7A-475D-A63F-B00735B9BBEC}"/>
            </c:ext>
          </c:extLst>
        </c:ser>
        <c:ser>
          <c:idx val="3"/>
          <c:order val="3"/>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20627441943755556"/>
                  <c:y val="-0.1216488913482955"/>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4"/>
                      </a:solidFill>
                      <a:latin typeface="+mn-lt"/>
                      <a:ea typeface="+mn-ea"/>
                      <a:cs typeface="+mn-cs"/>
                    </a:defRPr>
                  </a:pPr>
                  <a:endParaRPr lang="en-US"/>
                </a:p>
              </c:txPr>
            </c:trendlineLbl>
          </c:trendline>
          <c:xVal>
            <c:numRef>
              <c:f>'Reference Curves'!$W$380:$X$380</c:f>
              <c:numCache>
                <c:formatCode>General</c:formatCode>
                <c:ptCount val="2"/>
                <c:pt idx="0">
                  <c:v>69</c:v>
                </c:pt>
                <c:pt idx="1">
                  <c:v>60</c:v>
                </c:pt>
              </c:numCache>
            </c:numRef>
          </c:xVal>
          <c:yVal>
            <c:numRef>
              <c:f>'Reference Curves'!$W$381:$X$381</c:f>
              <c:numCache>
                <c:formatCode>0.00</c:formatCode>
                <c:ptCount val="2"/>
                <c:pt idx="0">
                  <c:v>0.7</c:v>
                </c:pt>
                <c:pt idx="1">
                  <c:v>1</c:v>
                </c:pt>
              </c:numCache>
            </c:numRef>
          </c:yVal>
          <c:smooth val="0"/>
          <c:extLst>
            <c:ext xmlns:c16="http://schemas.microsoft.com/office/drawing/2014/chart" uri="{C3380CC4-5D6E-409C-BE32-E72D297353CC}">
              <c16:uniqueId val="{00000004-AF8B-4A07-9086-1B0D8040C409}"/>
            </c:ext>
          </c:extLst>
        </c:ser>
        <c:ser>
          <c:idx val="4"/>
          <c:order val="4"/>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7.7718738255359021E-2"/>
                  <c:y val="6.8503910009938801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Curves'!$W$379:$X$379</c:f>
              <c:numCache>
                <c:formatCode>General</c:formatCode>
                <c:ptCount val="2"/>
                <c:pt idx="0">
                  <c:v>39</c:v>
                </c:pt>
                <c:pt idx="1">
                  <c:v>50</c:v>
                </c:pt>
              </c:numCache>
            </c:numRef>
          </c:xVal>
          <c:yVal>
            <c:numRef>
              <c:f>'Reference Curves'!$W$381:$X$381</c:f>
              <c:numCache>
                <c:formatCode>0.00</c:formatCode>
                <c:ptCount val="2"/>
                <c:pt idx="0">
                  <c:v>0.7</c:v>
                </c:pt>
                <c:pt idx="1">
                  <c:v>1</c:v>
                </c:pt>
              </c:numCache>
            </c:numRef>
          </c:yVal>
          <c:smooth val="0"/>
          <c:extLst>
            <c:ext xmlns:c16="http://schemas.microsoft.com/office/drawing/2014/chart" uri="{C3380CC4-5D6E-409C-BE32-E72D297353CC}">
              <c16:uniqueId val="{00000005-AF8B-4A07-9086-1B0D8040C409}"/>
            </c:ext>
          </c:extLst>
        </c:ser>
        <c:dLbls>
          <c:showLegendKey val="0"/>
          <c:showVal val="0"/>
          <c:showCatName val="0"/>
          <c:showSerName val="0"/>
          <c:showPercent val="0"/>
          <c:showBubbleSize val="0"/>
        </c:dLbls>
        <c:axId val="412666664"/>
        <c:axId val="412667448"/>
      </c:scatterChart>
      <c:valAx>
        <c:axId val="412666664"/>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2667448"/>
        <c:crosses val="autoZero"/>
        <c:crossBetween val="midCat"/>
        <c:majorUnit val="10"/>
        <c:minorUnit val="5"/>
      </c:valAx>
      <c:valAx>
        <c:axId val="41266744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2666664"/>
        <c:crosses val="autoZero"/>
        <c:crossBetween val="midCat"/>
      </c:valAx>
      <c:spPr>
        <a:noFill/>
        <a:ln>
          <a:noFill/>
          <a:prstDash val="solid"/>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B, C and E Streams &lt; 3% slope and Percent Riffle &gt;=60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2456070937341359"/>
                  <c:y val="-0.1776675096258496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c:ext xmlns:c16="http://schemas.microsoft.com/office/drawing/2014/chart" uri="{C3380CC4-5D6E-409C-BE32-E72D297353CC}">
              <c16:uniqueId val="{00000000-1CCE-4783-8506-AA46E4409ADE}"/>
            </c:ext>
          </c:extLst>
        </c:ser>
        <c:dLbls>
          <c:showLegendKey val="0"/>
          <c:showVal val="0"/>
          <c:showCatName val="0"/>
          <c:showSerName val="0"/>
          <c:showPercent val="0"/>
          <c:showBubbleSize val="0"/>
        </c:dLbls>
        <c:axId val="412664312"/>
        <c:axId val="412660784"/>
      </c:scatterChart>
      <c:valAx>
        <c:axId val="412664312"/>
        <c:scaling>
          <c:orientation val="minMax"/>
          <c:min val="7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660784"/>
        <c:crosses val="autoZero"/>
        <c:crossBetween val="midCat"/>
      </c:valAx>
      <c:valAx>
        <c:axId val="41266078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6643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A</a:t>
            </a:r>
            <a:r>
              <a:rPr lang="en-US" baseline="0"/>
              <a:t> and B</a:t>
            </a:r>
            <a:r>
              <a:rPr lang="en-US"/>
              <a:t> Streams and Percent Riffle &gt;70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7622122197586678"/>
                  <c:y val="-7.6397433403473824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c:ext xmlns:c16="http://schemas.microsoft.com/office/drawing/2014/chart" uri="{C3380CC4-5D6E-409C-BE32-E72D297353CC}">
              <c16:uniqueId val="{00000000-A234-4278-B36B-2D355F1EA40B}"/>
            </c:ext>
          </c:extLst>
        </c:ser>
        <c:dLbls>
          <c:showLegendKey val="0"/>
          <c:showVal val="0"/>
          <c:showCatName val="0"/>
          <c:showSerName val="0"/>
          <c:showPercent val="0"/>
          <c:showBubbleSize val="0"/>
        </c:dLbls>
        <c:axId val="412663136"/>
        <c:axId val="412664704"/>
      </c:scatterChart>
      <c:valAx>
        <c:axId val="412663136"/>
        <c:scaling>
          <c:orientation val="minMax"/>
          <c:min val="6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664704"/>
        <c:crosses val="autoZero"/>
        <c:crossBetween val="midCat"/>
      </c:valAx>
      <c:valAx>
        <c:axId val="412664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6631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Riparian</a:t>
            </a:r>
            <a:r>
              <a:rPr lang="en-US" baseline="0"/>
              <a:t> Vegetation Density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62154362696391308"/>
                  <c:y val="8.692740728762538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c:ext xmlns:c16="http://schemas.microsoft.com/office/drawing/2014/chart" uri="{C3380CC4-5D6E-409C-BE32-E72D297353CC}">
              <c16:uniqueId val="{00000000-7E87-4708-8D6A-0B0F5C65BEC1}"/>
            </c:ext>
          </c:extLst>
        </c:ser>
        <c:dLbls>
          <c:showLegendKey val="0"/>
          <c:showVal val="0"/>
          <c:showCatName val="0"/>
          <c:showSerName val="0"/>
          <c:showPercent val="0"/>
          <c:showBubbleSize val="0"/>
        </c:dLbls>
        <c:axId val="413024544"/>
        <c:axId val="413025328"/>
      </c:scatterChart>
      <c:valAx>
        <c:axId val="413024544"/>
        <c:scaling>
          <c:orientation val="minMax"/>
          <c:min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025328"/>
        <c:crosses val="autoZero"/>
        <c:crossBetween val="midCat"/>
      </c:valAx>
      <c:valAx>
        <c:axId val="4130253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0245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Streambank Erosion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'Reference Curves'!$S$83</c:f>
              <c:strCache>
                <c:ptCount val="1"/>
                <c:pt idx="0">
                  <c:v>NF/FAR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5.2696415188874532E-3"/>
                  <c:y val="-0.32533589386754874"/>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Curves'!$S$80:$W$80</c:f>
              <c:numCache>
                <c:formatCode>General</c:formatCode>
                <c:ptCount val="5"/>
                <c:pt idx="0">
                  <c:v>75</c:v>
                </c:pt>
                <c:pt idx="4">
                  <c:v>10</c:v>
                </c:pt>
              </c:numCache>
            </c:numRef>
          </c:xVal>
          <c:yVal>
            <c:numRef>
              <c:f>'Reference Curves'!$S$81:$W$81</c:f>
              <c:numCache>
                <c:formatCode>0.00</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0-5148-4788-A083-43E68337C776}"/>
            </c:ext>
          </c:extLst>
        </c:ser>
        <c:ser>
          <c:idx val="1"/>
          <c:order val="1"/>
          <c:tx>
            <c:strRef>
              <c:f>'Reference Curves'!$T$83</c:f>
              <c:strCache>
                <c:ptCount val="1"/>
                <c:pt idx="0">
                  <c:v>F</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9919561387761267"/>
                  <c:y val="-0.18443863649204537"/>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Curves'!$W$80:$X$80</c:f>
              <c:numCache>
                <c:formatCode>General</c:formatCode>
                <c:ptCount val="2"/>
                <c:pt idx="0">
                  <c:v>10</c:v>
                </c:pt>
                <c:pt idx="1">
                  <c:v>5</c:v>
                </c:pt>
              </c:numCache>
            </c:numRef>
          </c:xVal>
          <c:yVal>
            <c:numRef>
              <c:f>'Reference Curves'!$W$81:$X$81</c:f>
              <c:numCache>
                <c:formatCode>0.00</c:formatCode>
                <c:ptCount val="2"/>
                <c:pt idx="0">
                  <c:v>0.7</c:v>
                </c:pt>
                <c:pt idx="1">
                  <c:v>1</c:v>
                </c:pt>
              </c:numCache>
            </c:numRef>
          </c:yVal>
          <c:smooth val="0"/>
          <c:extLst>
            <c:ext xmlns:c16="http://schemas.microsoft.com/office/drawing/2014/chart" uri="{C3380CC4-5D6E-409C-BE32-E72D297353CC}">
              <c16:uniqueId val="{00000001-FA3B-4C74-84DA-06940A6493E0}"/>
            </c:ext>
          </c:extLst>
        </c:ser>
        <c:dLbls>
          <c:showLegendKey val="0"/>
          <c:showVal val="0"/>
          <c:showCatName val="0"/>
          <c:showSerName val="0"/>
          <c:showPercent val="0"/>
          <c:showBubbleSize val="0"/>
        </c:dLbls>
        <c:axId val="413020232"/>
        <c:axId val="413904472"/>
      </c:scatterChart>
      <c:valAx>
        <c:axId val="413020232"/>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904472"/>
        <c:crosses val="autoZero"/>
        <c:crossBetween val="midCat"/>
      </c:valAx>
      <c:valAx>
        <c:axId val="41390447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0202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Riparian</a:t>
            </a:r>
            <a:r>
              <a:rPr lang="en-US" sz="1600" baseline="0"/>
              <a:t> Extent</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590069433611537"/>
          <c:y val="0.11560316588269008"/>
          <c:w val="0.60517314889709573"/>
          <c:h val="0.74265882848407794"/>
        </c:manualLayout>
      </c:layout>
      <c:scatterChart>
        <c:scatterStyle val="lineMarker"/>
        <c:varyColors val="0"/>
        <c:ser>
          <c:idx val="0"/>
          <c:order val="0"/>
          <c:tx>
            <c:strRef>
              <c:f>'Reference Curves'!$R$414</c:f>
              <c:strCache>
                <c:ptCount val="1"/>
                <c:pt idx="0">
                  <c:v>Unconfined Alluvial Valleys</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20"/>
            <c:dispRSqr val="0"/>
            <c:dispEq val="1"/>
            <c:trendlineLbl>
              <c:layout>
                <c:manualLayout>
                  <c:x val="-0.2273992166762451"/>
                  <c:y val="0.17722542036465228"/>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Curves'!$S$414:$X$414</c:f>
              <c:numCache>
                <c:formatCode>General</c:formatCode>
                <c:ptCount val="6"/>
                <c:pt idx="0">
                  <c:v>0</c:v>
                </c:pt>
                <c:pt idx="5">
                  <c:v>100</c:v>
                </c:pt>
              </c:numCache>
            </c:numRef>
          </c:xVal>
          <c:yVal>
            <c:numRef>
              <c:f>'Reference Curves'!$S$416:$X$416</c:f>
              <c:numCache>
                <c:formatCode>0.00</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5-7F5E-43A3-B121-15C2F36C966D}"/>
            </c:ext>
          </c:extLst>
        </c:ser>
        <c:ser>
          <c:idx val="1"/>
          <c:order val="1"/>
          <c:tx>
            <c:strRef>
              <c:f>'Reference Curves'!$R$415</c:f>
              <c:strCache>
                <c:ptCount val="1"/>
                <c:pt idx="0">
                  <c:v>Confined Alluvial or Colluvial/V-Shaped Valleys</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1.9268351107709771E-2"/>
                  <c:y val="0.36939417724583568"/>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Curves'!$U$415:$X$415</c:f>
              <c:numCache>
                <c:formatCode>General</c:formatCode>
                <c:ptCount val="4"/>
                <c:pt idx="0">
                  <c:v>60</c:v>
                </c:pt>
                <c:pt idx="3">
                  <c:v>100</c:v>
                </c:pt>
              </c:numCache>
            </c:numRef>
          </c:xVal>
          <c:yVal>
            <c:numRef>
              <c:f>'Reference Curves'!$U$416:$X$416</c:f>
              <c:numCache>
                <c:formatCode>0.00</c:formatCode>
                <c:ptCount val="4"/>
                <c:pt idx="0">
                  <c:v>0.3</c:v>
                </c:pt>
                <c:pt idx="1">
                  <c:v>0.69</c:v>
                </c:pt>
                <c:pt idx="2">
                  <c:v>0.7</c:v>
                </c:pt>
                <c:pt idx="3">
                  <c:v>1</c:v>
                </c:pt>
              </c:numCache>
            </c:numRef>
          </c:yVal>
          <c:smooth val="0"/>
          <c:extLst>
            <c:ext xmlns:c16="http://schemas.microsoft.com/office/drawing/2014/chart" uri="{C3380CC4-5D6E-409C-BE32-E72D297353CC}">
              <c16:uniqueId val="{00000003-F069-489C-BEF0-4E6A7244ADF4}"/>
            </c:ext>
          </c:extLst>
        </c:ser>
        <c:ser>
          <c:idx val="2"/>
          <c:order val="2"/>
          <c:tx>
            <c:strRef>
              <c:f>'Reference Curves'!$R$415</c:f>
              <c:strCache>
                <c:ptCount val="1"/>
                <c:pt idx="0">
                  <c:v>Confined Alluvial or Colluvial/V-Shaped Valleys</c:v>
                </c:pt>
              </c:strCache>
            </c:strRef>
          </c:tx>
          <c:spPr>
            <a:ln w="25400" cap="rnd">
              <a:no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trendline>
            <c:spPr>
              <a:ln w="19050" cap="rnd">
                <a:solidFill>
                  <a:schemeClr val="accent2">
                    <a:lumMod val="60000"/>
                    <a:lumOff val="40000"/>
                  </a:schemeClr>
                </a:solidFill>
                <a:prstDash val="sysDot"/>
              </a:ln>
              <a:effectLst/>
            </c:spPr>
            <c:trendlineType val="linear"/>
            <c:backward val="17"/>
            <c:dispRSqr val="0"/>
            <c:dispEq val="1"/>
            <c:trendlineLbl>
              <c:layout>
                <c:manualLayout>
                  <c:x val="4.3785224204788307E-3"/>
                  <c:y val="0.12166508787739629"/>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lumMod val="60000"/>
                          <a:lumOff val="40000"/>
                        </a:schemeClr>
                      </a:solidFill>
                      <a:latin typeface="+mn-lt"/>
                      <a:ea typeface="+mn-ea"/>
                      <a:cs typeface="+mn-cs"/>
                    </a:defRPr>
                  </a:pPr>
                  <a:endParaRPr lang="en-US"/>
                </a:p>
              </c:txPr>
            </c:trendlineLbl>
          </c:trendline>
          <c:xVal>
            <c:numRef>
              <c:f>'Reference Curves'!$S$415:$U$415</c:f>
              <c:numCache>
                <c:formatCode>General</c:formatCode>
                <c:ptCount val="3"/>
                <c:pt idx="0">
                  <c:v>0</c:v>
                </c:pt>
                <c:pt idx="2">
                  <c:v>60</c:v>
                </c:pt>
              </c:numCache>
            </c:numRef>
          </c:xVal>
          <c:yVal>
            <c:numRef>
              <c:f>'Reference Curves'!$S$416:$U$416</c:f>
              <c:numCache>
                <c:formatCode>0.00</c:formatCode>
                <c:ptCount val="3"/>
                <c:pt idx="0">
                  <c:v>0</c:v>
                </c:pt>
                <c:pt idx="1">
                  <c:v>0.28999999999999998</c:v>
                </c:pt>
                <c:pt idx="2">
                  <c:v>0.3</c:v>
                </c:pt>
              </c:numCache>
            </c:numRef>
          </c:yVal>
          <c:smooth val="0"/>
          <c:extLst>
            <c:ext xmlns:c16="http://schemas.microsoft.com/office/drawing/2014/chart" uri="{C3380CC4-5D6E-409C-BE32-E72D297353CC}">
              <c16:uniqueId val="{00000007-7F5E-43A3-B121-15C2F36C966D}"/>
            </c:ext>
          </c:extLst>
        </c:ser>
        <c:dLbls>
          <c:showLegendKey val="0"/>
          <c:showVal val="0"/>
          <c:showCatName val="0"/>
          <c:showSerName val="0"/>
          <c:showPercent val="0"/>
          <c:showBubbleSize val="0"/>
        </c:dLbls>
        <c:axId val="413901728"/>
        <c:axId val="413906040"/>
      </c:scatterChart>
      <c:valAx>
        <c:axId val="413901728"/>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 of Expected)</a:t>
                </a:r>
              </a:p>
            </c:rich>
          </c:tx>
          <c:layout>
            <c:manualLayout>
              <c:xMode val="edge"/>
              <c:yMode val="edge"/>
              <c:x val="0.31084857432243473"/>
              <c:y val="0.920981320427104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3906040"/>
        <c:crosses val="autoZero"/>
        <c:crossBetween val="midCat"/>
      </c:valAx>
      <c:valAx>
        <c:axId val="41390604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3901728"/>
        <c:crosses val="autoZero"/>
        <c:crossBetween val="midCat"/>
      </c:valAx>
      <c:spPr>
        <a:noFill/>
        <a:ln>
          <a:noFill/>
        </a:ln>
        <a:effectLst/>
      </c:spPr>
    </c:plotArea>
    <c:legend>
      <c:legendPos val="r"/>
      <c:layout>
        <c:manualLayout>
          <c:xMode val="edge"/>
          <c:yMode val="edge"/>
          <c:x val="0.72930015276855309"/>
          <c:y val="0.17988974734888299"/>
          <c:w val="0.25629169490761766"/>
          <c:h val="0.214716993841031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Land</a:t>
            </a:r>
            <a:r>
              <a:rPr lang="en-US" baseline="0"/>
              <a:t> Use Coefficient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'Reference Curves'!$D$12</c:f>
              <c:strCache>
                <c:ptCount val="1"/>
                <c:pt idx="0">
                  <c:v>FAR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25265130823508547"/>
                  <c:y val="-0.1878259011379938"/>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Curves'!$E$9:$G$9</c:f>
              <c:numCache>
                <c:formatCode>General</c:formatCode>
                <c:ptCount val="3"/>
                <c:pt idx="0">
                  <c:v>22</c:v>
                </c:pt>
                <c:pt idx="2">
                  <c:v>16</c:v>
                </c:pt>
              </c:numCache>
            </c:numRef>
          </c:xVal>
          <c:yVal>
            <c:numRef>
              <c:f>'Reference Curves'!$E$10:$G$10</c:f>
              <c:numCache>
                <c:formatCode>0.00</c:formatCode>
                <c:ptCount val="3"/>
                <c:pt idx="0">
                  <c:v>0.3</c:v>
                </c:pt>
                <c:pt idx="1">
                  <c:v>0.69</c:v>
                </c:pt>
                <c:pt idx="2">
                  <c:v>0.7</c:v>
                </c:pt>
              </c:numCache>
            </c:numRef>
          </c:yVal>
          <c:smooth val="0"/>
          <c:extLst>
            <c:ext xmlns:c16="http://schemas.microsoft.com/office/drawing/2014/chart" uri="{C3380CC4-5D6E-409C-BE32-E72D297353CC}">
              <c16:uniqueId val="{00000001-7AC5-45EF-9405-04BE8E1983D1}"/>
            </c:ext>
          </c:extLst>
        </c:ser>
        <c:ser>
          <c:idx val="1"/>
          <c:order val="1"/>
          <c:tx>
            <c:strRef>
              <c:f>'Reference Curves'!$C$12</c:f>
              <c:strCache>
                <c:ptCount val="1"/>
                <c:pt idx="0">
                  <c:v>NF</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0213620813476301"/>
                  <c:y val="-0.17203451389856769"/>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accent2"/>
                      </a:solidFill>
                      <a:latin typeface="+mn-lt"/>
                      <a:ea typeface="+mn-ea"/>
                      <a:cs typeface="+mn-cs"/>
                    </a:defRPr>
                  </a:pPr>
                  <a:endParaRPr lang="en-US"/>
                </a:p>
              </c:txPr>
            </c:trendlineLbl>
          </c:trendline>
          <c:xVal>
            <c:numRef>
              <c:f>'Reference Curves'!$C$9:$E$9</c:f>
              <c:numCache>
                <c:formatCode>General</c:formatCode>
                <c:ptCount val="3"/>
                <c:pt idx="0">
                  <c:v>86</c:v>
                </c:pt>
                <c:pt idx="2">
                  <c:v>22</c:v>
                </c:pt>
              </c:numCache>
            </c:numRef>
          </c:xVal>
          <c:yVal>
            <c:numRef>
              <c:f>'Reference Curves'!$C$10:$E$10</c:f>
              <c:numCache>
                <c:formatCode>0.00</c:formatCode>
                <c:ptCount val="3"/>
                <c:pt idx="0">
                  <c:v>0</c:v>
                </c:pt>
                <c:pt idx="1">
                  <c:v>0.28999999999999998</c:v>
                </c:pt>
                <c:pt idx="2">
                  <c:v>0.3</c:v>
                </c:pt>
              </c:numCache>
            </c:numRef>
          </c:yVal>
          <c:smooth val="0"/>
          <c:extLst>
            <c:ext xmlns:c16="http://schemas.microsoft.com/office/drawing/2014/chart" uri="{C3380CC4-5D6E-409C-BE32-E72D297353CC}">
              <c16:uniqueId val="{00000001-CDCB-4533-8969-F472DF24AC45}"/>
            </c:ext>
          </c:extLst>
        </c:ser>
        <c:ser>
          <c:idx val="2"/>
          <c:order val="2"/>
          <c:tx>
            <c:strRef>
              <c:f>'Reference Curves'!$E$12</c:f>
              <c:strCache>
                <c:ptCount val="1"/>
                <c:pt idx="0">
                  <c:v>F</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1"/>
            <c:trendlineLbl>
              <c:layout>
                <c:manualLayout>
                  <c:x val="0.24301090660473396"/>
                  <c:y val="-0.1774210862274451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Curves'!$G$9:$H$9</c:f>
              <c:numCache>
                <c:formatCode>General</c:formatCode>
                <c:ptCount val="2"/>
                <c:pt idx="0">
                  <c:v>16</c:v>
                </c:pt>
                <c:pt idx="1">
                  <c:v>9</c:v>
                </c:pt>
              </c:numCache>
            </c:numRef>
          </c:xVal>
          <c:yVal>
            <c:numRef>
              <c:f>'Reference Curves'!$G$10:$H$10</c:f>
              <c:numCache>
                <c:formatCode>0.00</c:formatCode>
                <c:ptCount val="2"/>
                <c:pt idx="0">
                  <c:v>0.7</c:v>
                </c:pt>
                <c:pt idx="1">
                  <c:v>1</c:v>
                </c:pt>
              </c:numCache>
            </c:numRef>
          </c:yVal>
          <c:smooth val="0"/>
          <c:extLst>
            <c:ext xmlns:c16="http://schemas.microsoft.com/office/drawing/2014/chart" uri="{C3380CC4-5D6E-409C-BE32-E72D297353CC}">
              <c16:uniqueId val="{00000003-E698-44BA-B77A-8EEA95298A8B}"/>
            </c:ext>
          </c:extLst>
        </c:ser>
        <c:dLbls>
          <c:showLegendKey val="0"/>
          <c:showVal val="0"/>
          <c:showCatName val="0"/>
          <c:showSerName val="0"/>
          <c:showPercent val="0"/>
          <c:showBubbleSize val="0"/>
        </c:dLbls>
        <c:axId val="413908000"/>
        <c:axId val="413907216"/>
      </c:scatterChart>
      <c:valAx>
        <c:axId val="4139080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(Unitless</a:t>
                </a:r>
                <a:r>
                  <a:rPr lang="en-US" baseline="0"/>
                  <a:t>)</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907216"/>
        <c:crosses val="autoZero"/>
        <c:crossBetween val="midCat"/>
      </c:valAx>
      <c:valAx>
        <c:axId val="41390721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0" i="0" baseline="0">
                    <a:effectLst/>
                  </a:rPr>
                  <a:t>Index Value</a:t>
                </a:r>
                <a:endParaRPr lang="en-US" sz="1100">
                  <a:effectLst/>
                </a:endParaRP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9080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Functional Feet Score </a:t>
            </a:r>
            <a:r>
              <a:rPr lang="en-US" sz="2000" baseline="0"/>
              <a:t>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'Data Summary'!$C$21:$C$22</c:f>
              <c:strCache>
                <c:ptCount val="1"/>
                <c:pt idx="0">
                  <c:v>ECS</c:v>
                </c:pt>
              </c:strCache>
            </c:strRef>
          </c:tx>
          <c:spPr>
            <a:ln w="19050" cap="rnd">
              <a:solidFill>
                <a:srgbClr val="FF0000">
                  <a:alpha val="50000"/>
                </a:srgbClr>
              </a:solidFill>
              <a:prstDash val="dash"/>
              <a:round/>
            </a:ln>
            <a:effectLst/>
          </c:spPr>
          <c:marker>
            <c:symbol val="none"/>
          </c:marker>
          <c:xVal>
            <c:numRef>
              <c:f>('Data Summary'!$F$22,'Data Summary'!$A$33)</c:f>
              <c:numCache>
                <c:formatCode>General</c:formatCode>
                <c:ptCount val="2"/>
                <c:pt idx="0">
                  <c:v>#N/A</c:v>
                </c:pt>
                <c:pt idx="1">
                  <c:v>0</c:v>
                </c:pt>
              </c:numCache>
            </c:numRef>
          </c:xVal>
          <c:yVal>
            <c:numRef>
              <c:f>('Data Summary'!$C$29,'Data Summary'!$C$29)</c:f>
              <c:numCache>
                <c:formatCode>0.0</c:formatCode>
                <c:ptCount val="2"/>
                <c:pt idx="0">
                  <c:v>0</c:v>
                </c:pt>
                <c:pt idx="1">
                  <c:v>0</c:v>
                </c:pt>
              </c:numCache>
            </c:numRef>
          </c:yVal>
          <c:smooth val="0"/>
          <c:extLst>
            <c:ext xmlns:c16="http://schemas.microsoft.com/office/drawing/2014/chart" uri="{C3380CC4-5D6E-409C-BE32-E72D297353CC}">
              <c16:uniqueId val="{00000001-BF5F-49D1-B7E8-F18A8E0EDA1E}"/>
            </c:ext>
          </c:extLst>
        </c:ser>
        <c:ser>
          <c:idx val="2"/>
          <c:order val="1"/>
          <c:tx>
            <c:strRef>
              <c:f>'Data Summary'!$D$21:$D$22</c:f>
              <c:strCache>
                <c:ptCount val="1"/>
                <c:pt idx="0">
                  <c:v>PCS</c:v>
                </c:pt>
              </c:strCache>
            </c:strRef>
          </c:tx>
          <c:spPr>
            <a:ln w="19050" cap="rnd">
              <a:solidFill>
                <a:srgbClr val="00B0F0"/>
              </a:solidFill>
              <a:round/>
            </a:ln>
            <a:effectLst/>
          </c:spPr>
          <c:marker>
            <c:symbol val="none"/>
          </c:marker>
          <c:xVal>
            <c:numRef>
              <c:f>('Data Summary'!$F$22,'Data Summary'!$A$33)</c:f>
              <c:numCache>
                <c:formatCode>General</c:formatCode>
                <c:ptCount val="2"/>
                <c:pt idx="0">
                  <c:v>#N/A</c:v>
                </c:pt>
                <c:pt idx="1">
                  <c:v>0</c:v>
                </c:pt>
              </c:numCache>
            </c:numRef>
          </c:xVal>
          <c:yVal>
            <c:numRef>
              <c:f>('Data Summary'!$D$29,'Data Summary'!$D$29)</c:f>
              <c:numCache>
                <c:formatCode>0.0</c:formatCode>
                <c:ptCount val="2"/>
                <c:pt idx="0">
                  <c:v>0</c:v>
                </c:pt>
                <c:pt idx="1">
                  <c:v>0</c:v>
                </c:pt>
              </c:numCache>
            </c:numRef>
          </c:yVal>
          <c:smooth val="0"/>
          <c:extLst>
            <c:ext xmlns:c16="http://schemas.microsoft.com/office/drawing/2014/chart" uri="{C3380CC4-5D6E-409C-BE32-E72D297353CC}">
              <c16:uniqueId val="{00000002-BF5F-49D1-B7E8-F18A8E0EDA1E}"/>
            </c:ext>
          </c:extLst>
        </c:ser>
        <c:ser>
          <c:idx val="3"/>
          <c:order val="2"/>
          <c:tx>
            <c:strRef>
              <c:f>'Data Summary'!$E$21:$E$22</c:f>
              <c:strCache>
                <c:ptCount val="1"/>
                <c:pt idx="0">
                  <c:v>As-Built</c:v>
                </c:pt>
              </c:strCache>
            </c:strRef>
          </c:tx>
          <c:spPr>
            <a:ln w="38100" cap="rnd" cmpd="dbl">
              <a:solidFill>
                <a:schemeClr val="bg2">
                  <a:lumMod val="75000"/>
                </a:schemeClr>
              </a:solidFill>
              <a:prstDash val="dash"/>
              <a:round/>
            </a:ln>
            <a:effectLst/>
          </c:spPr>
          <c:marker>
            <c:symbol val="none"/>
          </c:marker>
          <c:xVal>
            <c:numRef>
              <c:f>('Data Summary'!$F$22,'Data Summary'!$A$33)</c:f>
              <c:numCache>
                <c:formatCode>General</c:formatCode>
                <c:ptCount val="2"/>
                <c:pt idx="0">
                  <c:v>#N/A</c:v>
                </c:pt>
                <c:pt idx="1">
                  <c:v>0</c:v>
                </c:pt>
              </c:numCache>
            </c:numRef>
          </c:xVal>
          <c:yVal>
            <c:numRef>
              <c:f>('Data Summary'!$E$29,'Data Summary'!$E$29)</c:f>
              <c:numCache>
                <c:formatCode>0.0</c:formatCode>
                <c:ptCount val="2"/>
                <c:pt idx="0">
                  <c:v>0</c:v>
                </c:pt>
                <c:pt idx="1">
                  <c:v>0</c:v>
                </c:pt>
              </c:numCache>
            </c:numRef>
          </c:yVal>
          <c:smooth val="0"/>
          <c:extLst>
            <c:ext xmlns:c16="http://schemas.microsoft.com/office/drawing/2014/chart" uri="{C3380CC4-5D6E-409C-BE32-E72D297353CC}">
              <c16:uniqueId val="{00000003-BF5F-49D1-B7E8-F18A8E0EDA1E}"/>
            </c:ext>
          </c:extLst>
        </c:ser>
        <c:ser>
          <c:idx val="0"/>
          <c:order val="3"/>
          <c:tx>
            <c:v>Monitoring Data</c:v>
          </c:tx>
          <c:spPr>
            <a:ln w="28575" cap="rnd">
              <a:solidFill>
                <a:schemeClr val="tx1"/>
              </a:solidFill>
              <a:round/>
            </a:ln>
            <a:effectLst/>
          </c:spPr>
          <c:marker>
            <c:symbol val="none"/>
          </c:marker>
          <c:xVal>
            <c:numRef>
              <c:f>'Data Summary'!$F$22:$O$22</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Summary'!$F$29:$O$29</c:f>
              <c:numCache>
                <c:formatCode>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BF5F-49D1-B7E8-F18A8E0EDA1E}"/>
            </c:ext>
          </c:extLst>
        </c:ser>
        <c:dLbls>
          <c:showLegendKey val="0"/>
          <c:showVal val="0"/>
          <c:showCatName val="0"/>
          <c:showSerName val="0"/>
          <c:showPercent val="0"/>
          <c:showBubbleSize val="0"/>
        </c:dLbls>
        <c:axId val="379431744"/>
        <c:axId val="379426256"/>
      </c:scatterChart>
      <c:valAx>
        <c:axId val="379431744"/>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79426256"/>
        <c:crosses val="autoZero"/>
        <c:crossBetween val="midCat"/>
      </c:valAx>
      <c:valAx>
        <c:axId val="379426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Functional Feet</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7943174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Daily Maximum Temperature</a:t>
            </a:r>
          </a:p>
        </c:rich>
      </c:tx>
      <c:layout>
        <c:manualLayout>
          <c:xMode val="edge"/>
          <c:yMode val="edge"/>
          <c:x val="0.36360055074249176"/>
          <c:y val="1.5668010308950164E-2"/>
        </c:manualLayout>
      </c:layout>
      <c:overlay val="0"/>
      <c:spPr>
        <a:solidFill>
          <a:sysClr val="window" lastClr="FFFFFF"/>
        </a:solid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197240542752902E-2"/>
          <c:y val="9.3141937954091245E-2"/>
          <c:w val="0.83139173807186462"/>
          <c:h val="0.7791487548364594"/>
        </c:manualLayout>
      </c:layout>
      <c:scatterChart>
        <c:scatterStyle val="lineMarker"/>
        <c:varyColors val="0"/>
        <c:ser>
          <c:idx val="0"/>
          <c:order val="0"/>
          <c:tx>
            <c:strRef>
              <c:f>'Reference Curves'!$Z$9</c:f>
              <c:strCache>
                <c:ptCount val="1"/>
                <c:pt idx="0">
                  <c:v>Field Value</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0.1"/>
            <c:dispRSqr val="0"/>
            <c:dispEq val="1"/>
            <c:trendlineLbl>
              <c:layout>
                <c:manualLayout>
                  <c:x val="-0.13195924517142216"/>
                  <c:y val="-0.56209937591651604"/>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en-US"/>
                </a:p>
              </c:txPr>
            </c:trendlineLbl>
          </c:trendline>
          <c:xVal>
            <c:numRef>
              <c:f>'Reference Curves'!$AA$9:$AF$9</c:f>
              <c:numCache>
                <c:formatCode>0.00</c:formatCode>
                <c:ptCount val="6"/>
                <c:pt idx="2">
                  <c:v>1.25</c:v>
                </c:pt>
                <c:pt idx="5">
                  <c:v>1.1000000000000001</c:v>
                </c:pt>
              </c:numCache>
            </c:numRef>
          </c:xVal>
          <c:yVal>
            <c:numRef>
              <c:f>'Reference Curves'!$AA$10:$AF$10</c:f>
              <c:numCache>
                <c:formatCode>0.00</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CDE3-4C06-8410-8D7E48799058}"/>
            </c:ext>
          </c:extLst>
        </c:ser>
        <c:dLbls>
          <c:showLegendKey val="0"/>
          <c:showVal val="0"/>
          <c:showCatName val="0"/>
          <c:showSerName val="0"/>
          <c:showPercent val="0"/>
          <c:showBubbleSize val="0"/>
        </c:dLbls>
        <c:axId val="415021312"/>
        <c:axId val="415018960"/>
      </c:scatterChart>
      <c:valAx>
        <c:axId val="415021312"/>
        <c:scaling>
          <c:orientation val="minMax"/>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(O/E)</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5018960"/>
        <c:crosses val="autoZero"/>
        <c:crossBetween val="midCat"/>
      </c:valAx>
      <c:valAx>
        <c:axId val="41501896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50213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Vegetative Complexity</a:t>
            </a:r>
            <a:endParaRPr lang="en-US"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28084387367101"/>
          <c:y val="0.11383995627777838"/>
          <c:w val="0.60025177606363356"/>
          <c:h val="0.73757538467374906"/>
        </c:manualLayout>
      </c:layout>
      <c:scatterChart>
        <c:scatterStyle val="lineMarker"/>
        <c:varyColors val="0"/>
        <c:ser>
          <c:idx val="0"/>
          <c:order val="0"/>
          <c:tx>
            <c:strRef>
              <c:f>'Reference Curves'!$R$483</c:f>
              <c:strCache>
                <c:ptCount val="1"/>
                <c:pt idx="0">
                  <c:v>Interior Bottomlands</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21605385121157208"/>
                  <c:y val="-0.1049532536591484"/>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Curves'!$S$483:$U$483</c:f>
              <c:numCache>
                <c:formatCode>0.00</c:formatCode>
                <c:ptCount val="3"/>
                <c:pt idx="0">
                  <c:v>0</c:v>
                </c:pt>
                <c:pt idx="2">
                  <c:v>1.19</c:v>
                </c:pt>
              </c:numCache>
            </c:numRef>
          </c:xVal>
          <c:yVal>
            <c:numRef>
              <c:f>'Reference Curves'!$S$485:$U$485</c:f>
              <c:numCache>
                <c:formatCode>0.00</c:formatCode>
                <c:ptCount val="3"/>
                <c:pt idx="0">
                  <c:v>0</c:v>
                </c:pt>
                <c:pt idx="1">
                  <c:v>0.28999999999999998</c:v>
                </c:pt>
                <c:pt idx="2">
                  <c:v>0.3</c:v>
                </c:pt>
              </c:numCache>
            </c:numRef>
          </c:yVal>
          <c:smooth val="0"/>
          <c:extLst>
            <c:ext xmlns:c16="http://schemas.microsoft.com/office/drawing/2014/chart" uri="{C3380CC4-5D6E-409C-BE32-E72D297353CC}">
              <c16:uniqueId val="{00000001-10D3-4C59-8971-E3636C93B379}"/>
            </c:ext>
          </c:extLst>
        </c:ser>
        <c:ser>
          <c:idx val="1"/>
          <c:order val="1"/>
          <c:tx>
            <c:strRef>
              <c:f>'Reference Curves'!$R$484</c:f>
              <c:strCache>
                <c:ptCount val="1"/>
                <c:pt idx="0">
                  <c:v>Interior Forested Lowlands/Uplands</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23923504979392851"/>
                  <c:y val="-3.4593249166583982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Curves'!$S$484:$U$484</c:f>
              <c:numCache>
                <c:formatCode>0.00</c:formatCode>
                <c:ptCount val="3"/>
                <c:pt idx="0">
                  <c:v>0</c:v>
                </c:pt>
                <c:pt idx="2">
                  <c:v>1.24</c:v>
                </c:pt>
              </c:numCache>
            </c:numRef>
          </c:xVal>
          <c:yVal>
            <c:numRef>
              <c:f>'Reference Curves'!$S$485:$U$485</c:f>
              <c:numCache>
                <c:formatCode>0.00</c:formatCode>
                <c:ptCount val="3"/>
                <c:pt idx="0">
                  <c:v>0</c:v>
                </c:pt>
                <c:pt idx="1">
                  <c:v>0.28999999999999998</c:v>
                </c:pt>
                <c:pt idx="2">
                  <c:v>0.3</c:v>
                </c:pt>
              </c:numCache>
            </c:numRef>
          </c:yVal>
          <c:smooth val="0"/>
          <c:extLst>
            <c:ext xmlns:c16="http://schemas.microsoft.com/office/drawing/2014/chart" uri="{C3380CC4-5D6E-409C-BE32-E72D297353CC}">
              <c16:uniqueId val="{00000002-D4C6-49D8-8CDF-A877FEA84B8C}"/>
            </c:ext>
          </c:extLst>
        </c:ser>
        <c:ser>
          <c:idx val="6"/>
          <c:order val="2"/>
          <c:tx>
            <c:strRef>
              <c:f>'Reference Curves'!$R$483</c:f>
              <c:strCache>
                <c:ptCount val="1"/>
                <c:pt idx="0">
                  <c:v>Interior Bottomlands</c:v>
                </c:pt>
              </c:strCache>
            </c:strRef>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accent1">
                    <a:lumMod val="60000"/>
                  </a:schemeClr>
                </a:solidFill>
                <a:prstDash val="sysDot"/>
              </a:ln>
              <a:effectLst/>
            </c:spPr>
            <c:trendlineType val="linear"/>
            <c:dispRSqr val="0"/>
            <c:dispEq val="1"/>
            <c:trendlineLbl>
              <c:layout>
                <c:manualLayout>
                  <c:x val="-0.18863062687428836"/>
                  <c:y val="0.1165185849631050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lumMod val="75000"/>
                        </a:schemeClr>
                      </a:solidFill>
                      <a:latin typeface="+mn-lt"/>
                      <a:ea typeface="+mn-ea"/>
                      <a:cs typeface="+mn-cs"/>
                    </a:defRPr>
                  </a:pPr>
                  <a:endParaRPr lang="en-US"/>
                </a:p>
              </c:txPr>
            </c:trendlineLbl>
          </c:trendline>
          <c:xVal>
            <c:numRef>
              <c:f>'Reference Curves'!$U$483:$W$483</c:f>
              <c:numCache>
                <c:formatCode>0.00</c:formatCode>
                <c:ptCount val="3"/>
                <c:pt idx="0">
                  <c:v>1.19</c:v>
                </c:pt>
                <c:pt idx="2">
                  <c:v>1.37</c:v>
                </c:pt>
              </c:numCache>
            </c:numRef>
          </c:xVal>
          <c:yVal>
            <c:numRef>
              <c:f>'Reference Curves'!$U$485:$W$485</c:f>
              <c:numCache>
                <c:formatCode>0.00</c:formatCode>
                <c:ptCount val="3"/>
                <c:pt idx="0">
                  <c:v>0.3</c:v>
                </c:pt>
                <c:pt idx="1">
                  <c:v>0.69</c:v>
                </c:pt>
                <c:pt idx="2">
                  <c:v>0.7</c:v>
                </c:pt>
              </c:numCache>
            </c:numRef>
          </c:yVal>
          <c:smooth val="0"/>
          <c:extLst>
            <c:ext xmlns:c16="http://schemas.microsoft.com/office/drawing/2014/chart" uri="{C3380CC4-5D6E-409C-BE32-E72D297353CC}">
              <c16:uniqueId val="{00000007-D4C6-49D8-8CDF-A877FEA84B8C}"/>
            </c:ext>
          </c:extLst>
        </c:ser>
        <c:ser>
          <c:idx val="4"/>
          <c:order val="3"/>
          <c:tx>
            <c:strRef>
              <c:f>'Reference Curves'!$R$483</c:f>
              <c:strCache>
                <c:ptCount val="1"/>
                <c:pt idx="0">
                  <c:v>Interior Bottomlands</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0.32368731658033578"/>
                  <c:y val="0.2091764656109811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Curves'!$W$483:$X$483</c:f>
              <c:numCache>
                <c:formatCode>0.00</c:formatCode>
                <c:ptCount val="2"/>
                <c:pt idx="0">
                  <c:v>1.37</c:v>
                </c:pt>
                <c:pt idx="1">
                  <c:v>1.82</c:v>
                </c:pt>
              </c:numCache>
            </c:numRef>
          </c:xVal>
          <c:yVal>
            <c:numRef>
              <c:f>'Reference Curves'!$W$485:$X$485</c:f>
              <c:numCache>
                <c:formatCode>0.00</c:formatCode>
                <c:ptCount val="2"/>
                <c:pt idx="0">
                  <c:v>0.7</c:v>
                </c:pt>
                <c:pt idx="1">
                  <c:v>1</c:v>
                </c:pt>
              </c:numCache>
            </c:numRef>
          </c:yVal>
          <c:smooth val="0"/>
          <c:extLst>
            <c:ext xmlns:c16="http://schemas.microsoft.com/office/drawing/2014/chart" uri="{C3380CC4-5D6E-409C-BE32-E72D297353CC}">
              <c16:uniqueId val="{00000005-D4C6-49D8-8CDF-A877FEA84B8C}"/>
            </c:ext>
          </c:extLst>
        </c:ser>
        <c:ser>
          <c:idx val="3"/>
          <c:order val="4"/>
          <c:tx>
            <c:strRef>
              <c:f>'Reference Curves'!$R$484</c:f>
              <c:strCache>
                <c:ptCount val="1"/>
                <c:pt idx="0">
                  <c:v>Interior Forested Lowlands/Uplands</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1824712542296775"/>
                  <c:y val="0.1900767714780586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4"/>
                      </a:solidFill>
                      <a:latin typeface="+mn-lt"/>
                      <a:ea typeface="+mn-ea"/>
                      <a:cs typeface="+mn-cs"/>
                    </a:defRPr>
                  </a:pPr>
                  <a:endParaRPr lang="en-US"/>
                </a:p>
              </c:txPr>
            </c:trendlineLbl>
          </c:trendline>
          <c:xVal>
            <c:numRef>
              <c:f>'Reference Curves'!$U$484:$W$484</c:f>
              <c:numCache>
                <c:formatCode>0.00</c:formatCode>
                <c:ptCount val="3"/>
                <c:pt idx="0">
                  <c:v>1.24</c:v>
                </c:pt>
                <c:pt idx="2">
                  <c:v>1.45</c:v>
                </c:pt>
              </c:numCache>
            </c:numRef>
          </c:xVal>
          <c:yVal>
            <c:numRef>
              <c:f>'Reference Curves'!$U$485:$W$485</c:f>
              <c:numCache>
                <c:formatCode>0.00</c:formatCode>
                <c:ptCount val="3"/>
                <c:pt idx="0">
                  <c:v>0.3</c:v>
                </c:pt>
                <c:pt idx="1">
                  <c:v>0.69</c:v>
                </c:pt>
                <c:pt idx="2">
                  <c:v>0.7</c:v>
                </c:pt>
              </c:numCache>
            </c:numRef>
          </c:yVal>
          <c:smooth val="0"/>
          <c:extLst>
            <c:ext xmlns:c16="http://schemas.microsoft.com/office/drawing/2014/chart" uri="{C3380CC4-5D6E-409C-BE32-E72D297353CC}">
              <c16:uniqueId val="{00000004-D4C6-49D8-8CDF-A877FEA84B8C}"/>
            </c:ext>
          </c:extLst>
        </c:ser>
        <c:ser>
          <c:idx val="7"/>
          <c:order val="5"/>
          <c:tx>
            <c:strRef>
              <c:f>'Reference Curves'!$R$484</c:f>
              <c:strCache>
                <c:ptCount val="1"/>
                <c:pt idx="0">
                  <c:v>Interior Forested Lowlands/Uplands</c:v>
                </c:pt>
              </c:strCache>
            </c:strRef>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trendline>
            <c:spPr>
              <a:ln w="19050" cap="rnd">
                <a:solidFill>
                  <a:schemeClr val="accent2">
                    <a:lumMod val="60000"/>
                  </a:schemeClr>
                </a:solidFill>
                <a:prstDash val="sysDot"/>
              </a:ln>
              <a:effectLst/>
            </c:spPr>
            <c:trendlineType val="linear"/>
            <c:dispRSqr val="0"/>
            <c:dispEq val="1"/>
            <c:trendlineLbl>
              <c:layout>
                <c:manualLayout>
                  <c:x val="6.8933244391112578E-2"/>
                  <c:y val="0.2986995958539763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lumMod val="75000"/>
                        </a:schemeClr>
                      </a:solidFill>
                      <a:latin typeface="+mn-lt"/>
                      <a:ea typeface="+mn-ea"/>
                      <a:cs typeface="+mn-cs"/>
                    </a:defRPr>
                  </a:pPr>
                  <a:endParaRPr lang="en-US"/>
                </a:p>
              </c:txPr>
            </c:trendlineLbl>
          </c:trendline>
          <c:xVal>
            <c:numRef>
              <c:f>'Reference Curves'!$W$484:$X$484</c:f>
              <c:numCache>
                <c:formatCode>0.00</c:formatCode>
                <c:ptCount val="2"/>
                <c:pt idx="0">
                  <c:v>1.45</c:v>
                </c:pt>
                <c:pt idx="1">
                  <c:v>1.87</c:v>
                </c:pt>
              </c:numCache>
            </c:numRef>
          </c:xVal>
          <c:yVal>
            <c:numRef>
              <c:f>'Reference Curves'!$W$485:$X$485</c:f>
              <c:numCache>
                <c:formatCode>0.00</c:formatCode>
                <c:ptCount val="2"/>
                <c:pt idx="0">
                  <c:v>0.7</c:v>
                </c:pt>
                <c:pt idx="1">
                  <c:v>1</c:v>
                </c:pt>
              </c:numCache>
            </c:numRef>
          </c:yVal>
          <c:smooth val="0"/>
          <c:extLst>
            <c:ext xmlns:c16="http://schemas.microsoft.com/office/drawing/2014/chart" uri="{C3380CC4-5D6E-409C-BE32-E72D297353CC}">
              <c16:uniqueId val="{00000009-D4C6-49D8-8CDF-A877FEA84B8C}"/>
            </c:ext>
          </c:extLst>
        </c:ser>
        <c:dLbls>
          <c:showLegendKey val="0"/>
          <c:showVal val="0"/>
          <c:showCatName val="0"/>
          <c:showSerName val="0"/>
          <c:showPercent val="0"/>
          <c:showBubbleSize val="0"/>
        </c:dLbls>
        <c:axId val="415020920"/>
        <c:axId val="415023272"/>
      </c:scatterChart>
      <c:valAx>
        <c:axId val="415020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(Unitless)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5023272"/>
        <c:crosses val="autoZero"/>
        <c:crossBetween val="midCat"/>
      </c:valAx>
      <c:valAx>
        <c:axId val="41502327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5020920"/>
        <c:crosses val="autoZero"/>
        <c:crossBetween val="midCat"/>
      </c:valAx>
      <c:spPr>
        <a:noFill/>
        <a:ln>
          <a:noFill/>
        </a:ln>
        <a:effectLst/>
      </c:spPr>
    </c:plotArea>
    <c:legend>
      <c:legendPos val="r"/>
      <c:layout>
        <c:manualLayout>
          <c:xMode val="edge"/>
          <c:yMode val="edge"/>
          <c:x val="0.70654681912215145"/>
          <c:y val="0.11036195865732763"/>
          <c:w val="0.2934531808778485"/>
          <c:h val="0.142464022230995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Vegetative Complexity</a:t>
            </a:r>
            <a:endParaRPr lang="en-US" sz="1400"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488152952420112"/>
          <c:y val="0.13953577969898315"/>
          <c:w val="0.59511633042427858"/>
          <c:h val="0.73259244779879329"/>
        </c:manualLayout>
      </c:layout>
      <c:scatterChart>
        <c:scatterStyle val="lineMarker"/>
        <c:varyColors val="0"/>
        <c:ser>
          <c:idx val="0"/>
          <c:order val="0"/>
          <c:tx>
            <c:strRef>
              <c:f>'Reference Curves'!$R$448</c:f>
              <c:strCache>
                <c:ptCount val="1"/>
                <c:pt idx="0">
                  <c:v>Alaska &amp; Brooks Range</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1"/>
                </a:solidFill>
                <a:prstDash val="sysDot"/>
              </a:ln>
              <a:effectLst/>
            </c:spPr>
            <c:trendlineType val="linear"/>
            <c:dispRSqr val="0"/>
            <c:dispEq val="1"/>
            <c:trendlineLbl>
              <c:layout>
                <c:manualLayout>
                  <c:x val="0.21909920733242155"/>
                  <c:y val="0.18256414739737117"/>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Curves'!$S$448:$U$448</c:f>
              <c:numCache>
                <c:formatCode>0.00</c:formatCode>
                <c:ptCount val="3"/>
                <c:pt idx="0">
                  <c:v>0</c:v>
                </c:pt>
                <c:pt idx="2">
                  <c:v>0.06</c:v>
                </c:pt>
              </c:numCache>
            </c:numRef>
          </c:xVal>
          <c:yVal>
            <c:numRef>
              <c:f>'Reference Curves'!$S$450:$U$450</c:f>
              <c:numCache>
                <c:formatCode>0.00</c:formatCode>
                <c:ptCount val="3"/>
                <c:pt idx="0">
                  <c:v>0</c:v>
                </c:pt>
                <c:pt idx="1">
                  <c:v>0.28999999999999998</c:v>
                </c:pt>
                <c:pt idx="2">
                  <c:v>0.3</c:v>
                </c:pt>
              </c:numCache>
            </c:numRef>
          </c:yVal>
          <c:smooth val="0"/>
          <c:extLst>
            <c:ext xmlns:c16="http://schemas.microsoft.com/office/drawing/2014/chart" uri="{C3380CC4-5D6E-409C-BE32-E72D297353CC}">
              <c16:uniqueId val="{00000001-7CDC-4922-9C91-A89B7E2D2440}"/>
            </c:ext>
          </c:extLst>
        </c:ser>
        <c:ser>
          <c:idx val="1"/>
          <c:order val="1"/>
          <c:tx>
            <c:strRef>
              <c:f>'Reference Curves'!$R$449</c:f>
              <c:strCache>
                <c:ptCount val="1"/>
                <c:pt idx="0">
                  <c:v>Interior Highlands</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6.2068579119870147E-2"/>
                  <c:y val="0.1120204854350643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Curves'!$S$449:$U$449</c:f>
              <c:numCache>
                <c:formatCode>0.00</c:formatCode>
                <c:ptCount val="3"/>
                <c:pt idx="0">
                  <c:v>0</c:v>
                </c:pt>
                <c:pt idx="2">
                  <c:v>0.94</c:v>
                </c:pt>
              </c:numCache>
            </c:numRef>
          </c:xVal>
          <c:yVal>
            <c:numRef>
              <c:f>'Reference Curves'!$S$450:$U$450</c:f>
              <c:numCache>
                <c:formatCode>0.00</c:formatCode>
                <c:ptCount val="3"/>
                <c:pt idx="0">
                  <c:v>0</c:v>
                </c:pt>
                <c:pt idx="1">
                  <c:v>0.28999999999999998</c:v>
                </c:pt>
                <c:pt idx="2">
                  <c:v>0.3</c:v>
                </c:pt>
              </c:numCache>
            </c:numRef>
          </c:yVal>
          <c:smooth val="0"/>
          <c:extLst>
            <c:ext xmlns:c16="http://schemas.microsoft.com/office/drawing/2014/chart" uri="{C3380CC4-5D6E-409C-BE32-E72D297353CC}">
              <c16:uniqueId val="{00000001-484D-4354-B126-BF449D60F639}"/>
            </c:ext>
          </c:extLst>
        </c:ser>
        <c:ser>
          <c:idx val="2"/>
          <c:order val="2"/>
          <c:tx>
            <c:strRef>
              <c:f>'Reference Curves'!$R$448</c:f>
              <c:strCache>
                <c:ptCount val="1"/>
                <c:pt idx="0">
                  <c:v>Alaska &amp; Brooks Range</c:v>
                </c:pt>
              </c:strCache>
            </c:strRef>
          </c:tx>
          <c:spPr>
            <a:ln w="25400" cap="rnd">
              <a:noFill/>
              <a:round/>
            </a:ln>
            <a:effectLst/>
          </c:spPr>
          <c:marker>
            <c:symbol val="circle"/>
            <c:size val="5"/>
            <c:spPr>
              <a:solidFill>
                <a:schemeClr val="accent5">
                  <a:lumMod val="40000"/>
                  <a:lumOff val="60000"/>
                </a:schemeClr>
              </a:solidFill>
              <a:ln w="9525">
                <a:solidFill>
                  <a:schemeClr val="accent5">
                    <a:lumMod val="60000"/>
                    <a:lumOff val="40000"/>
                  </a:schemeClr>
                </a:solidFill>
              </a:ln>
              <a:effectLst/>
            </c:spPr>
          </c:marker>
          <c:trendline>
            <c:spPr>
              <a:ln w="19050" cap="rnd">
                <a:solidFill>
                  <a:schemeClr val="accent5">
                    <a:lumMod val="60000"/>
                    <a:lumOff val="40000"/>
                  </a:schemeClr>
                </a:solidFill>
                <a:prstDash val="sysDot"/>
              </a:ln>
              <a:effectLst/>
            </c:spPr>
            <c:trendlineType val="linear"/>
            <c:dispRSqr val="0"/>
            <c:dispEq val="1"/>
            <c:trendlineLbl>
              <c:layout>
                <c:manualLayout>
                  <c:x val="-1.2668456667451184E-2"/>
                  <c:y val="3.1104941237026913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lumMod val="60000"/>
                          <a:lumOff val="40000"/>
                        </a:schemeClr>
                      </a:solidFill>
                      <a:latin typeface="+mn-lt"/>
                      <a:ea typeface="+mn-ea"/>
                      <a:cs typeface="+mn-cs"/>
                    </a:defRPr>
                  </a:pPr>
                  <a:endParaRPr lang="en-US"/>
                </a:p>
              </c:txPr>
            </c:trendlineLbl>
          </c:trendline>
          <c:xVal>
            <c:numRef>
              <c:f>'Reference Curves'!$U$448:$W$448</c:f>
              <c:numCache>
                <c:formatCode>0.00</c:formatCode>
                <c:ptCount val="3"/>
                <c:pt idx="0">
                  <c:v>0.06</c:v>
                </c:pt>
                <c:pt idx="2">
                  <c:v>0.83</c:v>
                </c:pt>
              </c:numCache>
            </c:numRef>
          </c:xVal>
          <c:yVal>
            <c:numRef>
              <c:f>'Reference Curves'!$U$450:$W$450</c:f>
              <c:numCache>
                <c:formatCode>0.00</c:formatCode>
                <c:ptCount val="3"/>
                <c:pt idx="0">
                  <c:v>0.3</c:v>
                </c:pt>
                <c:pt idx="1">
                  <c:v>0.69</c:v>
                </c:pt>
                <c:pt idx="2">
                  <c:v>0.7</c:v>
                </c:pt>
              </c:numCache>
            </c:numRef>
          </c:yVal>
          <c:smooth val="0"/>
          <c:extLst>
            <c:ext xmlns:c16="http://schemas.microsoft.com/office/drawing/2014/chart" uri="{C3380CC4-5D6E-409C-BE32-E72D297353CC}">
              <c16:uniqueId val="{00000006-BCCD-48F1-AFA0-46659F051B77}"/>
            </c:ext>
          </c:extLst>
        </c:ser>
        <c:ser>
          <c:idx val="4"/>
          <c:order val="3"/>
          <c:tx>
            <c:strRef>
              <c:f>'Reference Curves'!$R$448</c:f>
              <c:strCache>
                <c:ptCount val="1"/>
                <c:pt idx="0">
                  <c:v>Alaska &amp; Brooks Range</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0.12232109160338299"/>
                  <c:y val="5.969421382569659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Curves'!$W$448:$X$448</c:f>
              <c:numCache>
                <c:formatCode>0.00</c:formatCode>
                <c:ptCount val="2"/>
                <c:pt idx="0">
                  <c:v>0.83</c:v>
                </c:pt>
                <c:pt idx="1">
                  <c:v>1.57</c:v>
                </c:pt>
              </c:numCache>
            </c:numRef>
          </c:xVal>
          <c:yVal>
            <c:numRef>
              <c:f>'Reference Curves'!$W$450:$X$450</c:f>
              <c:numCache>
                <c:formatCode>0.00</c:formatCode>
                <c:ptCount val="2"/>
                <c:pt idx="0">
                  <c:v>0.7</c:v>
                </c:pt>
                <c:pt idx="1">
                  <c:v>1</c:v>
                </c:pt>
              </c:numCache>
            </c:numRef>
          </c:yVal>
          <c:smooth val="0"/>
          <c:extLst>
            <c:ext xmlns:c16="http://schemas.microsoft.com/office/drawing/2014/chart" uri="{C3380CC4-5D6E-409C-BE32-E72D297353CC}">
              <c16:uniqueId val="{00000005-3806-4A7F-AAAD-DEDA3539333A}"/>
            </c:ext>
          </c:extLst>
        </c:ser>
        <c:ser>
          <c:idx val="3"/>
          <c:order val="4"/>
          <c:tx>
            <c:strRef>
              <c:f>'Reference Curves'!$R$449</c:f>
              <c:strCache>
                <c:ptCount val="1"/>
                <c:pt idx="0">
                  <c:v>Interior Highlands</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18411316330292835"/>
                  <c:y val="0.18115810426164863"/>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4"/>
                      </a:solidFill>
                      <a:latin typeface="+mn-lt"/>
                      <a:ea typeface="+mn-ea"/>
                      <a:cs typeface="+mn-cs"/>
                    </a:defRPr>
                  </a:pPr>
                  <a:endParaRPr lang="en-US"/>
                </a:p>
              </c:txPr>
            </c:trendlineLbl>
          </c:trendline>
          <c:xVal>
            <c:numRef>
              <c:f>'Reference Curves'!$U$449:$W$449</c:f>
              <c:numCache>
                <c:formatCode>0.00</c:formatCode>
                <c:ptCount val="3"/>
                <c:pt idx="0">
                  <c:v>0.94</c:v>
                </c:pt>
                <c:pt idx="2">
                  <c:v>1.21</c:v>
                </c:pt>
              </c:numCache>
            </c:numRef>
          </c:xVal>
          <c:yVal>
            <c:numRef>
              <c:f>'Reference Curves'!$U$450:$W$450</c:f>
              <c:numCache>
                <c:formatCode>0.00</c:formatCode>
                <c:ptCount val="3"/>
                <c:pt idx="0">
                  <c:v>0.3</c:v>
                </c:pt>
                <c:pt idx="1">
                  <c:v>0.69</c:v>
                </c:pt>
                <c:pt idx="2">
                  <c:v>0.7</c:v>
                </c:pt>
              </c:numCache>
            </c:numRef>
          </c:yVal>
          <c:smooth val="0"/>
          <c:extLst>
            <c:ext xmlns:c16="http://schemas.microsoft.com/office/drawing/2014/chart" uri="{C3380CC4-5D6E-409C-BE32-E72D297353CC}">
              <c16:uniqueId val="{00000004-3806-4A7F-AAAD-DEDA3539333A}"/>
            </c:ext>
          </c:extLst>
        </c:ser>
        <c:ser>
          <c:idx val="7"/>
          <c:order val="5"/>
          <c:tx>
            <c:strRef>
              <c:f>'Reference Curves'!$R$449</c:f>
              <c:strCache>
                <c:ptCount val="1"/>
                <c:pt idx="0">
                  <c:v>Interior Highlands</c:v>
                </c:pt>
              </c:strCache>
            </c:strRef>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trendline>
            <c:spPr>
              <a:ln w="19050" cap="rnd">
                <a:solidFill>
                  <a:schemeClr val="accent2">
                    <a:lumMod val="60000"/>
                  </a:schemeClr>
                </a:solidFill>
                <a:prstDash val="sysDot"/>
              </a:ln>
              <a:effectLst/>
            </c:spPr>
            <c:trendlineType val="linear"/>
            <c:dispRSqr val="0"/>
            <c:dispEq val="1"/>
            <c:trendlineLbl>
              <c:layout>
                <c:manualLayout>
                  <c:x val="9.9402854023900297E-2"/>
                  <c:y val="0.2039810679262288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lumMod val="50000"/>
                        </a:schemeClr>
                      </a:solidFill>
                      <a:latin typeface="+mn-lt"/>
                      <a:ea typeface="+mn-ea"/>
                      <a:cs typeface="+mn-cs"/>
                    </a:defRPr>
                  </a:pPr>
                  <a:endParaRPr lang="en-US"/>
                </a:p>
              </c:txPr>
            </c:trendlineLbl>
          </c:trendline>
          <c:xVal>
            <c:numRef>
              <c:f>'Reference Curves'!$W$449:$X$449</c:f>
              <c:numCache>
                <c:formatCode>0.00</c:formatCode>
                <c:ptCount val="2"/>
                <c:pt idx="0">
                  <c:v>1.21</c:v>
                </c:pt>
                <c:pt idx="1">
                  <c:v>1.67</c:v>
                </c:pt>
              </c:numCache>
            </c:numRef>
          </c:xVal>
          <c:yVal>
            <c:numRef>
              <c:f>'Reference Curves'!$W$450:$X$450</c:f>
              <c:numCache>
                <c:formatCode>0.00</c:formatCode>
                <c:ptCount val="2"/>
                <c:pt idx="0">
                  <c:v>0.7</c:v>
                </c:pt>
                <c:pt idx="1">
                  <c:v>1</c:v>
                </c:pt>
              </c:numCache>
            </c:numRef>
          </c:yVal>
          <c:smooth val="0"/>
          <c:extLst>
            <c:ext xmlns:c16="http://schemas.microsoft.com/office/drawing/2014/chart" uri="{C3380CC4-5D6E-409C-BE32-E72D297353CC}">
              <c16:uniqueId val="{0000000B-3806-4A7F-AAAD-DEDA3539333A}"/>
            </c:ext>
          </c:extLst>
        </c:ser>
        <c:dLbls>
          <c:showLegendKey val="0"/>
          <c:showVal val="0"/>
          <c:showCatName val="0"/>
          <c:showSerName val="0"/>
          <c:showPercent val="0"/>
          <c:showBubbleSize val="0"/>
        </c:dLbls>
        <c:axId val="415024056"/>
        <c:axId val="415024448"/>
      </c:scatterChart>
      <c:valAx>
        <c:axId val="415024056"/>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(Unitless)</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5024448"/>
        <c:crosses val="autoZero"/>
        <c:crossBetween val="midCat"/>
      </c:valAx>
      <c:valAx>
        <c:axId val="41502444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5024056"/>
        <c:crosses val="autoZero"/>
        <c:crossBetween val="midCat"/>
      </c:valAx>
      <c:spPr>
        <a:noFill/>
        <a:ln>
          <a:noFill/>
        </a:ln>
        <a:effectLst/>
      </c:spPr>
    </c:plotArea>
    <c:legend>
      <c:legendPos val="r"/>
      <c:layout>
        <c:manualLayout>
          <c:xMode val="edge"/>
          <c:yMode val="edge"/>
          <c:x val="0.72060554518980713"/>
          <c:y val="0.16390352544426084"/>
          <c:w val="0.27939445481019287"/>
          <c:h val="0.130297764263978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LWD Frequency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6704454114581895E-2"/>
          <c:y val="0.11420882693026213"/>
          <c:w val="0.56257851521129287"/>
          <c:h val="0.75293799341135759"/>
        </c:manualLayout>
      </c:layout>
      <c:scatterChart>
        <c:scatterStyle val="lineMarker"/>
        <c:varyColors val="0"/>
        <c:ser>
          <c:idx val="0"/>
          <c:order val="0"/>
          <c:tx>
            <c:strRef>
              <c:f>'Reference Curves'!$R$44</c:f>
              <c:strCache>
                <c:ptCount val="1"/>
                <c:pt idx="0">
                  <c:v>Interior Bottomlands</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3"/>
            <c:dispRSqr val="0"/>
            <c:dispEq val="1"/>
            <c:trendlineLbl>
              <c:layout>
                <c:manualLayout>
                  <c:x val="0.14449387323222554"/>
                  <c:y val="0.10923968192872265"/>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Curves'!$S$44:$U$44</c:f>
              <c:numCache>
                <c:formatCode>0.0</c:formatCode>
                <c:ptCount val="3"/>
                <c:pt idx="0">
                  <c:v>0</c:v>
                </c:pt>
                <c:pt idx="2">
                  <c:v>3.7</c:v>
                </c:pt>
              </c:numCache>
            </c:numRef>
          </c:xVal>
          <c:yVal>
            <c:numRef>
              <c:f>'Reference Curves'!$S$46:$U$46</c:f>
              <c:numCache>
                <c:formatCode>0.00</c:formatCode>
                <c:ptCount val="3"/>
                <c:pt idx="0">
                  <c:v>0</c:v>
                </c:pt>
                <c:pt idx="1">
                  <c:v>0.28999999999999998</c:v>
                </c:pt>
                <c:pt idx="2">
                  <c:v>0.3</c:v>
                </c:pt>
              </c:numCache>
            </c:numRef>
          </c:yVal>
          <c:smooth val="0"/>
          <c:extLst>
            <c:ext xmlns:c16="http://schemas.microsoft.com/office/drawing/2014/chart" uri="{C3380CC4-5D6E-409C-BE32-E72D297353CC}">
              <c16:uniqueId val="{00000001-87EE-4953-ABFC-8573E61609C8}"/>
            </c:ext>
          </c:extLst>
        </c:ser>
        <c:ser>
          <c:idx val="1"/>
          <c:order val="1"/>
          <c:tx>
            <c:strRef>
              <c:f>'Reference Curves'!$R$45</c:f>
              <c:strCache>
                <c:ptCount val="1"/>
                <c:pt idx="0">
                  <c:v>Interior Forested Lowlands/Uplands and Highlands</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5006613042561254"/>
                  <c:y val="0.20495549961624721"/>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Curves'!$S$45:$W$45</c:f>
              <c:numCache>
                <c:formatCode>0.0</c:formatCode>
                <c:ptCount val="5"/>
                <c:pt idx="0">
                  <c:v>0</c:v>
                </c:pt>
                <c:pt idx="2">
                  <c:v>0.6</c:v>
                </c:pt>
                <c:pt idx="4">
                  <c:v>1.3</c:v>
                </c:pt>
              </c:numCache>
            </c:numRef>
          </c:xVal>
          <c:yVal>
            <c:numRef>
              <c:f>'Reference Curves'!$S$46:$W$46</c:f>
              <c:numCache>
                <c:formatCode>0.00</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3-87EE-4953-ABFC-8573E61609C8}"/>
            </c:ext>
          </c:extLst>
        </c:ser>
        <c:ser>
          <c:idx val="4"/>
          <c:order val="2"/>
          <c:tx>
            <c:strRef>
              <c:f>'Reference Curves'!$R$44</c:f>
              <c:strCache>
                <c:ptCount val="1"/>
                <c:pt idx="0">
                  <c:v>Interior Bottomlands</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0.14595472959203412"/>
                  <c:y val="0.10522389313932187"/>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Curves'!$U$44:$W$44</c:f>
              <c:numCache>
                <c:formatCode>0.0</c:formatCode>
                <c:ptCount val="3"/>
                <c:pt idx="0">
                  <c:v>3.7</c:v>
                </c:pt>
                <c:pt idx="2">
                  <c:v>4.7</c:v>
                </c:pt>
              </c:numCache>
            </c:numRef>
          </c:xVal>
          <c:yVal>
            <c:numRef>
              <c:f>'Reference Curves'!$U$46:$W$46</c:f>
              <c:numCache>
                <c:formatCode>0.00</c:formatCode>
                <c:ptCount val="3"/>
                <c:pt idx="0">
                  <c:v>0.3</c:v>
                </c:pt>
                <c:pt idx="1">
                  <c:v>0.69</c:v>
                </c:pt>
                <c:pt idx="2">
                  <c:v>0.7</c:v>
                </c:pt>
              </c:numCache>
            </c:numRef>
          </c:yVal>
          <c:smooth val="0"/>
          <c:extLst>
            <c:ext xmlns:c16="http://schemas.microsoft.com/office/drawing/2014/chart" uri="{C3380CC4-5D6E-409C-BE32-E72D297353CC}">
              <c16:uniqueId val="{00000005-2CE1-4B45-AAFE-96DDF7B0CC2D}"/>
            </c:ext>
          </c:extLst>
        </c:ser>
        <c:ser>
          <c:idx val="6"/>
          <c:order val="3"/>
          <c:tx>
            <c:strRef>
              <c:f>'Reference Curves'!$R$44</c:f>
              <c:strCache>
                <c:ptCount val="1"/>
                <c:pt idx="0">
                  <c:v>Interior Bottomlands</c:v>
                </c:pt>
              </c:strCache>
            </c:strRef>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accent1">
                    <a:lumMod val="60000"/>
                  </a:schemeClr>
                </a:solidFill>
                <a:prstDash val="sysDot"/>
              </a:ln>
              <a:effectLst/>
            </c:spPr>
            <c:trendlineType val="linear"/>
            <c:dispRSqr val="0"/>
            <c:dispEq val="1"/>
            <c:trendlineLbl>
              <c:layout>
                <c:manualLayout>
                  <c:x val="-7.2342031890539907E-2"/>
                  <c:y val="0.15797999370155885"/>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5">
                          <a:lumMod val="75000"/>
                        </a:schemeClr>
                      </a:solidFill>
                      <a:latin typeface="+mn-lt"/>
                      <a:ea typeface="+mn-ea"/>
                      <a:cs typeface="+mn-cs"/>
                    </a:defRPr>
                  </a:pPr>
                  <a:endParaRPr lang="en-US"/>
                </a:p>
              </c:txPr>
            </c:trendlineLbl>
          </c:trendline>
          <c:xVal>
            <c:numRef>
              <c:f>'Reference Curves'!$W$44:$X$44</c:f>
              <c:numCache>
                <c:formatCode>0.0</c:formatCode>
                <c:ptCount val="2"/>
                <c:pt idx="0">
                  <c:v>4.7</c:v>
                </c:pt>
                <c:pt idx="1">
                  <c:v>54.5</c:v>
                </c:pt>
              </c:numCache>
            </c:numRef>
          </c:xVal>
          <c:yVal>
            <c:numRef>
              <c:f>'Reference Curves'!$W$46:$X$46</c:f>
              <c:numCache>
                <c:formatCode>0.00</c:formatCode>
                <c:ptCount val="2"/>
                <c:pt idx="0">
                  <c:v>0.7</c:v>
                </c:pt>
                <c:pt idx="1">
                  <c:v>1</c:v>
                </c:pt>
              </c:numCache>
            </c:numRef>
          </c:yVal>
          <c:smooth val="0"/>
          <c:extLst>
            <c:ext xmlns:c16="http://schemas.microsoft.com/office/drawing/2014/chart" uri="{C3380CC4-5D6E-409C-BE32-E72D297353CC}">
              <c16:uniqueId val="{00000007-2CE1-4B45-AAFE-96DDF7B0CC2D}"/>
            </c:ext>
          </c:extLst>
        </c:ser>
        <c:ser>
          <c:idx val="3"/>
          <c:order val="4"/>
          <c:tx>
            <c:strRef>
              <c:f>'Reference Curves'!$R$45</c:f>
              <c:strCache>
                <c:ptCount val="1"/>
                <c:pt idx="0">
                  <c:v>Interior Forested Lowlands/Uplands and Highlands</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13581133505104834"/>
                  <c:y val="0.20241899504872543"/>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4"/>
                      </a:solidFill>
                      <a:latin typeface="+mn-lt"/>
                      <a:ea typeface="+mn-ea"/>
                      <a:cs typeface="+mn-cs"/>
                    </a:defRPr>
                  </a:pPr>
                  <a:endParaRPr lang="en-US"/>
                </a:p>
              </c:txPr>
            </c:trendlineLbl>
          </c:trendline>
          <c:xVal>
            <c:numRef>
              <c:f>'Reference Curves'!$W$45:$X$45</c:f>
              <c:numCache>
                <c:formatCode>0.0</c:formatCode>
                <c:ptCount val="2"/>
                <c:pt idx="0">
                  <c:v>1.3</c:v>
                </c:pt>
                <c:pt idx="1">
                  <c:v>24.1</c:v>
                </c:pt>
              </c:numCache>
            </c:numRef>
          </c:xVal>
          <c:yVal>
            <c:numRef>
              <c:f>'Reference Curves'!$W$46:$X$46</c:f>
              <c:numCache>
                <c:formatCode>0.00</c:formatCode>
                <c:ptCount val="2"/>
                <c:pt idx="0">
                  <c:v>0.7</c:v>
                </c:pt>
                <c:pt idx="1">
                  <c:v>1</c:v>
                </c:pt>
              </c:numCache>
            </c:numRef>
          </c:yVal>
          <c:smooth val="0"/>
          <c:extLst>
            <c:ext xmlns:c16="http://schemas.microsoft.com/office/drawing/2014/chart" uri="{C3380CC4-5D6E-409C-BE32-E72D297353CC}">
              <c16:uniqueId val="{00000004-2CE1-4B45-AAFE-96DDF7B0CC2D}"/>
            </c:ext>
          </c:extLst>
        </c:ser>
        <c:dLbls>
          <c:showLegendKey val="0"/>
          <c:showVal val="0"/>
          <c:showCatName val="0"/>
          <c:showSerName val="0"/>
          <c:showPercent val="0"/>
          <c:showBubbleSize val="0"/>
        </c:dLbls>
        <c:axId val="415024840"/>
        <c:axId val="415026016"/>
      </c:scatterChart>
      <c:valAx>
        <c:axId val="415024840"/>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a:t>
                </a:r>
                <a:r>
                  <a:rPr lang="en-US" sz="1100" baseline="0"/>
                  <a:t> Value (#/100m)</a:t>
                </a:r>
                <a:endParaRPr lang="en-US" sz="1100"/>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026016"/>
        <c:crosses val="autoZero"/>
        <c:crossBetween val="midCat"/>
      </c:valAx>
      <c:valAx>
        <c:axId val="41502601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024840"/>
        <c:crosses val="autoZero"/>
        <c:crossBetween val="midCat"/>
      </c:valAx>
      <c:spPr>
        <a:noFill/>
        <a:ln>
          <a:noFill/>
        </a:ln>
        <a:effectLst/>
      </c:spPr>
    </c:plotArea>
    <c:legend>
      <c:legendPos val="r"/>
      <c:layout>
        <c:manualLayout>
          <c:xMode val="edge"/>
          <c:yMode val="edge"/>
          <c:x val="0.65463067561484467"/>
          <c:y val="0.13057398585623556"/>
          <c:w val="0.33303512188442008"/>
          <c:h val="0.2192172570380204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Fines &lt; 2mm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063505165107918"/>
          <c:y val="9.5665548030281988E-2"/>
          <c:w val="0.59745567266282995"/>
          <c:h val="0.78980582682014"/>
        </c:manualLayout>
      </c:layout>
      <c:scatterChart>
        <c:scatterStyle val="lineMarker"/>
        <c:varyColors val="0"/>
        <c:ser>
          <c:idx val="0"/>
          <c:order val="0"/>
          <c:tx>
            <c:strRef>
              <c:f>'Reference Curves'!$S$147:$T$147</c:f>
              <c:strCache>
                <c:ptCount val="2"/>
                <c:pt idx="0">
                  <c:v>Gravel Bed </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20"/>
            <c:dispRSqr val="0"/>
            <c:dispEq val="1"/>
            <c:trendlineLbl>
              <c:layout>
                <c:manualLayout>
                  <c:x val="-6.963660803728855E-2"/>
                  <c:y val="-0.4164266826736490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Curves'!$S$143:$W$143</c:f>
              <c:numCache>
                <c:formatCode>General</c:formatCode>
                <c:ptCount val="5"/>
                <c:pt idx="2">
                  <c:v>37</c:v>
                </c:pt>
                <c:pt idx="4">
                  <c:v>15</c:v>
                </c:pt>
              </c:numCache>
            </c:numRef>
          </c:xVal>
          <c:yVal>
            <c:numRef>
              <c:f>'Reference Curves'!$S$145:$W$145</c:f>
              <c:numCache>
                <c:formatCode>0.00</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C2FC-48C4-8C75-FA129180E940}"/>
            </c:ext>
          </c:extLst>
        </c:ser>
        <c:ser>
          <c:idx val="1"/>
          <c:order val="1"/>
          <c:tx>
            <c:strRef>
              <c:f>'Reference Curves'!$U$147:$V$147</c:f>
              <c:strCache>
                <c:ptCount val="2"/>
                <c:pt idx="0">
                  <c:v>Cobble, Boulders, Bedrock</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5"/>
            <c:dispRSqr val="0"/>
            <c:dispEq val="1"/>
            <c:trendlineLbl>
              <c:layout>
                <c:manualLayout>
                  <c:x val="0.22876208730487638"/>
                  <c:y val="-9.535663343310187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Curves'!$S$144:$W$144</c:f>
              <c:numCache>
                <c:formatCode>General</c:formatCode>
                <c:ptCount val="5"/>
                <c:pt idx="2">
                  <c:v>10</c:v>
                </c:pt>
                <c:pt idx="4">
                  <c:v>5</c:v>
                </c:pt>
              </c:numCache>
            </c:numRef>
          </c:xVal>
          <c:yVal>
            <c:numRef>
              <c:f>'Reference Curves'!$S$145:$W$145</c:f>
              <c:numCache>
                <c:formatCode>0.00</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2-307E-4192-A27A-54BA89D8966D}"/>
            </c:ext>
          </c:extLst>
        </c:ser>
        <c:ser>
          <c:idx val="2"/>
          <c:order val="2"/>
          <c:tx>
            <c:strRef>
              <c:f>'Reference Curves'!$S$147:$T$147</c:f>
              <c:strCache>
                <c:ptCount val="2"/>
                <c:pt idx="0">
                  <c:v>Gravel Bed </c:v>
                </c:pt>
              </c:strCache>
            </c:strRef>
          </c:tx>
          <c:spPr>
            <a:ln w="25400" cap="rnd">
              <a:noFill/>
              <a:round/>
            </a:ln>
            <a:effectLst/>
          </c:spPr>
          <c:marker>
            <c:symbol val="circle"/>
            <c:size val="5"/>
            <c:spPr>
              <a:solidFill>
                <a:schemeClr val="accent5">
                  <a:lumMod val="60000"/>
                  <a:lumOff val="40000"/>
                </a:schemeClr>
              </a:solidFill>
              <a:ln w="9525">
                <a:solidFill>
                  <a:schemeClr val="accent3"/>
                </a:solidFill>
              </a:ln>
              <a:effectLst/>
            </c:spPr>
          </c:marker>
          <c:trendline>
            <c:spPr>
              <a:ln w="19050" cap="rnd">
                <a:solidFill>
                  <a:schemeClr val="accent5">
                    <a:lumMod val="40000"/>
                    <a:lumOff val="60000"/>
                  </a:schemeClr>
                </a:solidFill>
                <a:prstDash val="sysDot"/>
              </a:ln>
              <a:effectLst/>
            </c:spPr>
            <c:trendlineType val="linear"/>
            <c:dispRSqr val="0"/>
            <c:dispEq val="1"/>
            <c:trendlineLbl>
              <c:layout>
                <c:manualLayout>
                  <c:x val="0.21560419256803426"/>
                  <c:y val="-0.11344933456034166"/>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Curves'!$W$143:$X$143</c:f>
              <c:numCache>
                <c:formatCode>General</c:formatCode>
                <c:ptCount val="2"/>
                <c:pt idx="0">
                  <c:v>15</c:v>
                </c:pt>
                <c:pt idx="1">
                  <c:v>3</c:v>
                </c:pt>
              </c:numCache>
            </c:numRef>
          </c:xVal>
          <c:yVal>
            <c:numRef>
              <c:f>'Reference Curves'!$W$145:$X$145</c:f>
              <c:numCache>
                <c:formatCode>0.00</c:formatCode>
                <c:ptCount val="2"/>
                <c:pt idx="0">
                  <c:v>0.7</c:v>
                </c:pt>
                <c:pt idx="1">
                  <c:v>1</c:v>
                </c:pt>
              </c:numCache>
            </c:numRef>
          </c:yVal>
          <c:smooth val="0"/>
          <c:extLst>
            <c:ext xmlns:c16="http://schemas.microsoft.com/office/drawing/2014/chart" uri="{C3380CC4-5D6E-409C-BE32-E72D297353CC}">
              <c16:uniqueId val="{00000003-307E-4192-A27A-54BA89D8966D}"/>
            </c:ext>
          </c:extLst>
        </c:ser>
        <c:ser>
          <c:idx val="3"/>
          <c:order val="3"/>
          <c:tx>
            <c:strRef>
              <c:f>'Reference Curves'!$U$147:$V$147</c:f>
              <c:strCache>
                <c:ptCount val="2"/>
                <c:pt idx="0">
                  <c:v>Cobble, Boulders, Bedrock</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0.20503219195139319"/>
                  <c:y val="-0.19797691061790745"/>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4"/>
                      </a:solidFill>
                      <a:latin typeface="+mn-lt"/>
                      <a:ea typeface="+mn-ea"/>
                      <a:cs typeface="+mn-cs"/>
                    </a:defRPr>
                  </a:pPr>
                  <a:endParaRPr lang="en-US"/>
                </a:p>
              </c:txPr>
            </c:trendlineLbl>
          </c:trendline>
          <c:xVal>
            <c:numRef>
              <c:f>'Reference Curves'!$W$144:$X$144</c:f>
              <c:numCache>
                <c:formatCode>General</c:formatCode>
                <c:ptCount val="2"/>
                <c:pt idx="0">
                  <c:v>5</c:v>
                </c:pt>
                <c:pt idx="1">
                  <c:v>0</c:v>
                </c:pt>
              </c:numCache>
            </c:numRef>
          </c:xVal>
          <c:yVal>
            <c:numRef>
              <c:f>'Reference Curves'!$W$145:$X$145</c:f>
              <c:numCache>
                <c:formatCode>0.00</c:formatCode>
                <c:ptCount val="2"/>
                <c:pt idx="0">
                  <c:v>0.7</c:v>
                </c:pt>
                <c:pt idx="1">
                  <c:v>1</c:v>
                </c:pt>
              </c:numCache>
            </c:numRef>
          </c:yVal>
          <c:smooth val="0"/>
          <c:extLst>
            <c:ext xmlns:c16="http://schemas.microsoft.com/office/drawing/2014/chart" uri="{C3380CC4-5D6E-409C-BE32-E72D297353CC}">
              <c16:uniqueId val="{00000004-307E-4192-A27A-54BA89D8966D}"/>
            </c:ext>
          </c:extLst>
        </c:ser>
        <c:dLbls>
          <c:showLegendKey val="0"/>
          <c:showVal val="0"/>
          <c:showCatName val="0"/>
          <c:showSerName val="0"/>
          <c:showPercent val="0"/>
          <c:showBubbleSize val="0"/>
        </c:dLbls>
        <c:axId val="415647424"/>
        <c:axId val="415644288"/>
      </c:scatterChart>
      <c:valAx>
        <c:axId val="41564742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644288"/>
        <c:crosses val="autoZero"/>
        <c:crossBetween val="midCat"/>
      </c:valAx>
      <c:valAx>
        <c:axId val="41564428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647424"/>
        <c:crosses val="autoZero"/>
        <c:crossBetween val="midCat"/>
      </c:valAx>
      <c:spPr>
        <a:noFill/>
        <a:ln>
          <a:noFill/>
        </a:ln>
        <a:effectLst/>
      </c:spPr>
    </c:plotArea>
    <c:legend>
      <c:legendPos val="r"/>
      <c:layout>
        <c:manualLayout>
          <c:xMode val="edge"/>
          <c:yMode val="edge"/>
          <c:x val="0.69334246297407098"/>
          <c:y val="0.19159612727620842"/>
          <c:w val="0.29440679816328946"/>
          <c:h val="0.1330301831377953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Concentrated</a:t>
            </a:r>
            <a:r>
              <a:rPr lang="en-US" baseline="0"/>
              <a:t> Flow Points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'Reference Curves'!$B$101</c:f>
              <c:strCache>
                <c:ptCount val="1"/>
                <c:pt idx="0">
                  <c:v>Field Value</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2.5"/>
            <c:dispRSqr val="0"/>
            <c:dispEq val="1"/>
            <c:trendlineLbl>
              <c:layout>
                <c:manualLayout>
                  <c:x val="-5.8426109047523891E-2"/>
                  <c:y val="-0.32205122564154565"/>
                </c:manualLayout>
              </c:layout>
              <c:numFmt formatCode="#,##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Curves'!$E$101:$H$101</c:f>
              <c:numCache>
                <c:formatCode>0.0</c:formatCode>
                <c:ptCount val="4"/>
                <c:pt idx="2">
                  <c:v>1</c:v>
                </c:pt>
                <c:pt idx="3">
                  <c:v>0</c:v>
                </c:pt>
              </c:numCache>
            </c:numRef>
          </c:xVal>
          <c:yVal>
            <c:numRef>
              <c:f>'Reference Curves'!$E$102:$H$102</c:f>
              <c:numCache>
                <c:formatCode>0.00</c:formatCode>
                <c:ptCount val="4"/>
                <c:pt idx="0">
                  <c:v>0.3</c:v>
                </c:pt>
                <c:pt idx="1">
                  <c:v>0.69</c:v>
                </c:pt>
                <c:pt idx="2">
                  <c:v>0.7</c:v>
                </c:pt>
                <c:pt idx="3">
                  <c:v>1</c:v>
                </c:pt>
              </c:numCache>
            </c:numRef>
          </c:yVal>
          <c:smooth val="0"/>
          <c:extLst>
            <c:ext xmlns:c16="http://schemas.microsoft.com/office/drawing/2014/chart" uri="{C3380CC4-5D6E-409C-BE32-E72D297353CC}">
              <c16:uniqueId val="{00000001-8253-4875-A358-B5F720F62AFA}"/>
            </c:ext>
          </c:extLst>
        </c:ser>
        <c:dLbls>
          <c:showLegendKey val="0"/>
          <c:showVal val="0"/>
          <c:showCatName val="0"/>
          <c:showSerName val="0"/>
          <c:showPercent val="0"/>
          <c:showBubbleSize val="0"/>
        </c:dLbls>
        <c:axId val="415641544"/>
        <c:axId val="415645072"/>
      </c:scatterChart>
      <c:valAx>
        <c:axId val="415641544"/>
        <c:scaling>
          <c:orientation val="minMax"/>
          <c:max val="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(#/1,000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645072"/>
        <c:crosses val="autoZero"/>
        <c:crossBetween val="midCat"/>
      </c:valAx>
      <c:valAx>
        <c:axId val="41564507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0" i="0" baseline="0">
                    <a:effectLst/>
                  </a:rPr>
                  <a:t>Index Value</a:t>
                </a:r>
                <a:endParaRPr lang="en-US" sz="1100">
                  <a:effectLst/>
                </a:endParaRP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6415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Percent Native Cover</a:t>
            </a:r>
          </a:p>
        </c:rich>
      </c:tx>
      <c:layout>
        <c:manualLayout>
          <c:xMode val="edge"/>
          <c:yMode val="edge"/>
          <c:x val="0.38489851189817542"/>
          <c:y val="3.229595579268539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28084387367101"/>
          <c:y val="0.11383995627777838"/>
          <c:w val="0.78710276152185865"/>
          <c:h val="0.73757538467374906"/>
        </c:manualLayout>
      </c:layout>
      <c:scatterChart>
        <c:scatterStyle val="lineMarker"/>
        <c:varyColors val="0"/>
        <c:ser>
          <c:idx val="0"/>
          <c:order val="0"/>
          <c:tx>
            <c:strRef>
              <c:f>'Reference Curves'!$R$517</c:f>
              <c:strCache>
                <c:ptCount val="1"/>
                <c:pt idx="0">
                  <c:v>Field Value</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20"/>
            <c:dispRSqr val="0"/>
            <c:dispEq val="1"/>
            <c:trendlineLbl>
              <c:layout>
                <c:manualLayout>
                  <c:x val="-6.1208727788536088E-2"/>
                  <c:y val="7.4232738170714893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Curves'!$S$517:$X$517</c:f>
              <c:numCache>
                <c:formatCode>General</c:formatCode>
                <c:ptCount val="6"/>
                <c:pt idx="4">
                  <c:v>95</c:v>
                </c:pt>
                <c:pt idx="5">
                  <c:v>100</c:v>
                </c:pt>
              </c:numCache>
            </c:numRef>
          </c:xVal>
          <c:yVal>
            <c:numRef>
              <c:f>'Reference Curves'!$S$518:$X$518</c:f>
              <c:numCache>
                <c:formatCode>0.00</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5D7A-4BAE-B3C3-8F5CC5CA9B82}"/>
            </c:ext>
          </c:extLst>
        </c:ser>
        <c:dLbls>
          <c:showLegendKey val="0"/>
          <c:showVal val="0"/>
          <c:showCatName val="0"/>
          <c:showSerName val="0"/>
          <c:showPercent val="0"/>
          <c:showBubbleSize val="0"/>
        </c:dLbls>
        <c:axId val="415645464"/>
        <c:axId val="415849200"/>
      </c:scatterChart>
      <c:valAx>
        <c:axId val="415645464"/>
        <c:scaling>
          <c:orientation val="minMax"/>
          <c:max val="100"/>
          <c:min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5849200"/>
        <c:crosses val="autoZero"/>
        <c:crossBetween val="midCat"/>
      </c:valAx>
      <c:valAx>
        <c:axId val="41584920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56454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Percent Streambank Armoring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28084387367101"/>
          <c:y val="0.11383995627777838"/>
          <c:w val="0.78710276152185865"/>
          <c:h val="0.73757538467374906"/>
        </c:manualLayout>
      </c:layout>
      <c:scatterChart>
        <c:scatterStyle val="lineMarker"/>
        <c:varyColors val="0"/>
        <c:ser>
          <c:idx val="1"/>
          <c:order val="0"/>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backward val="19"/>
            <c:dispRSqr val="0"/>
            <c:dispEq val="1"/>
            <c:trendlineLbl>
              <c:layout>
                <c:manualLayout>
                  <c:x val="-9.067771678996811E-2"/>
                  <c:y val="-0.378659966769126"/>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Curves'!$S$112:$X$112</c:f>
              <c:numCache>
                <c:formatCode>General</c:formatCode>
                <c:ptCount val="6"/>
                <c:pt idx="0">
                  <c:v>30</c:v>
                </c:pt>
                <c:pt idx="5">
                  <c:v>0</c:v>
                </c:pt>
              </c:numCache>
            </c:numRef>
          </c:xVal>
          <c:yVal>
            <c:numRef>
              <c:f>'Reference Curves'!$S$113:$X$113</c:f>
              <c:numCache>
                <c:formatCode>0.00</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3-442D-4866-83CE-EAE769C24016}"/>
            </c:ext>
          </c:extLst>
        </c:ser>
        <c:dLbls>
          <c:showLegendKey val="0"/>
          <c:showVal val="0"/>
          <c:showCatName val="0"/>
          <c:showSerName val="0"/>
          <c:showPercent val="0"/>
          <c:showBubbleSize val="0"/>
        </c:dLbls>
        <c:axId val="415847632"/>
        <c:axId val="415846064"/>
      </c:scatterChart>
      <c:valAx>
        <c:axId val="415847632"/>
        <c:scaling>
          <c:orientation val="minMax"/>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5846064"/>
        <c:crosses val="autoZero"/>
        <c:crossBetween val="midCat"/>
      </c:valAx>
      <c:valAx>
        <c:axId val="41584606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58476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A</a:t>
            </a:r>
            <a:r>
              <a:rPr lang="en-US" baseline="0"/>
              <a:t> and B</a:t>
            </a:r>
            <a:r>
              <a:rPr lang="en-US"/>
              <a:t> Streams and Percent Riffle &gt;70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7622122197586678"/>
                  <c:y val="-7.6397433403473824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c:ext xmlns:c16="http://schemas.microsoft.com/office/drawing/2014/chart" uri="{C3380CC4-5D6E-409C-BE32-E72D297353CC}">
              <c16:uniqueId val="{00000001-3E46-45E7-A195-8897428E99E6}"/>
            </c:ext>
          </c:extLst>
        </c:ser>
        <c:dLbls>
          <c:showLegendKey val="0"/>
          <c:showVal val="0"/>
          <c:showCatName val="0"/>
          <c:showSerName val="0"/>
          <c:showPercent val="0"/>
          <c:showBubbleSize val="0"/>
        </c:dLbls>
        <c:axId val="415851944"/>
        <c:axId val="415849984"/>
      </c:scatterChart>
      <c:valAx>
        <c:axId val="415851944"/>
        <c:scaling>
          <c:orientation val="minMax"/>
          <c:min val="6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849984"/>
        <c:crosses val="autoZero"/>
        <c:crossBetween val="midCat"/>
      </c:valAx>
      <c:valAx>
        <c:axId val="41584998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8519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Fish Species Richness</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216315184143576"/>
          <c:y val="0.10962726281102406"/>
          <c:w val="0.59648618887070493"/>
          <c:h val="0.75493507254157344"/>
        </c:manualLayout>
      </c:layout>
      <c:scatterChart>
        <c:scatterStyle val="lineMarker"/>
        <c:varyColors val="0"/>
        <c:ser>
          <c:idx val="1"/>
          <c:order val="0"/>
          <c:tx>
            <c:strRef>
              <c:f>'Reference Curves'!$AI$41</c:f>
              <c:strCache>
                <c:ptCount val="1"/>
                <c:pt idx="0">
                  <c:v>Anadromous</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7.4302942520663454E-2"/>
                  <c:y val="0.2628484138413069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Curves'!$AJ$41:$AN$41</c:f>
              <c:numCache>
                <c:formatCode>General</c:formatCode>
                <c:ptCount val="5"/>
                <c:pt idx="0">
                  <c:v>0</c:v>
                </c:pt>
                <c:pt idx="4">
                  <c:v>80</c:v>
                </c:pt>
              </c:numCache>
            </c:numRef>
          </c:xVal>
          <c:yVal>
            <c:numRef>
              <c:f>'Reference Curves'!$AJ$43:$AN$43</c:f>
              <c:numCache>
                <c:formatCode>0.00</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3-F9A0-4593-AF72-D6BBA1E09BA5}"/>
            </c:ext>
          </c:extLst>
        </c:ser>
        <c:ser>
          <c:idx val="0"/>
          <c:order val="1"/>
          <c:tx>
            <c:strRef>
              <c:f>'Reference Curves'!$AI$42</c:f>
              <c:strCache>
                <c:ptCount val="1"/>
                <c:pt idx="0">
                  <c:v>Non-anadromous</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5993906552291867"/>
                  <c:y val="0.133842871725179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Curves'!$AJ$42:$AN$42</c:f>
              <c:numCache>
                <c:formatCode>General</c:formatCode>
                <c:ptCount val="5"/>
                <c:pt idx="0">
                  <c:v>0</c:v>
                </c:pt>
                <c:pt idx="4">
                  <c:v>60</c:v>
                </c:pt>
              </c:numCache>
            </c:numRef>
          </c:xVal>
          <c:yVal>
            <c:numRef>
              <c:f>'Reference Curves'!$AJ$43:$AN$43</c:f>
              <c:numCache>
                <c:formatCode>0.00</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3-5854-414D-B15B-123389A63A4D}"/>
            </c:ext>
          </c:extLst>
        </c:ser>
        <c:ser>
          <c:idx val="3"/>
          <c:order val="2"/>
          <c:tx>
            <c:strRef>
              <c:f>'Reference Curves'!$AI$41</c:f>
              <c:strCache>
                <c:ptCount val="1"/>
                <c:pt idx="0">
                  <c:v>Anadromous</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9.6133925171280138E-2"/>
                  <c:y val="0.14014942511594614"/>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4"/>
                      </a:solidFill>
                      <a:latin typeface="+mn-lt"/>
                      <a:ea typeface="+mn-ea"/>
                      <a:cs typeface="+mn-cs"/>
                    </a:defRPr>
                  </a:pPr>
                  <a:endParaRPr lang="en-US"/>
                </a:p>
              </c:txPr>
            </c:trendlineLbl>
          </c:trendline>
          <c:xVal>
            <c:numRef>
              <c:f>'Reference Curves'!$AN$41:$AO$41</c:f>
              <c:numCache>
                <c:formatCode>General</c:formatCode>
                <c:ptCount val="2"/>
                <c:pt idx="0">
                  <c:v>80</c:v>
                </c:pt>
                <c:pt idx="1">
                  <c:v>100</c:v>
                </c:pt>
              </c:numCache>
            </c:numRef>
          </c:xVal>
          <c:yVal>
            <c:numRef>
              <c:f>'Reference Curves'!$AN$43:$AO$43</c:f>
              <c:numCache>
                <c:formatCode>0.00</c:formatCode>
                <c:ptCount val="2"/>
                <c:pt idx="0">
                  <c:v>0.7</c:v>
                </c:pt>
                <c:pt idx="1">
                  <c:v>1</c:v>
                </c:pt>
              </c:numCache>
            </c:numRef>
          </c:yVal>
          <c:smooth val="0"/>
          <c:extLst>
            <c:ext xmlns:c16="http://schemas.microsoft.com/office/drawing/2014/chart" uri="{C3380CC4-5D6E-409C-BE32-E72D297353CC}">
              <c16:uniqueId val="{00000004-5854-414D-B15B-123389A63A4D}"/>
            </c:ext>
          </c:extLst>
        </c:ser>
        <c:ser>
          <c:idx val="2"/>
          <c:order val="3"/>
          <c:tx>
            <c:strRef>
              <c:f>'Reference Curves'!$AI$42</c:f>
              <c:strCache>
                <c:ptCount val="1"/>
                <c:pt idx="0">
                  <c:v>Non-anadromous</c:v>
                </c:pt>
              </c:strCache>
            </c:strRef>
          </c:tx>
          <c:spPr>
            <a:ln w="25400" cap="rnd">
              <a:noFill/>
              <a:round/>
            </a:ln>
            <a:effectLst/>
          </c:spPr>
          <c:marker>
            <c:symbol val="circle"/>
            <c:size val="5"/>
            <c:spPr>
              <a:solidFill>
                <a:schemeClr val="accent5">
                  <a:lumMod val="75000"/>
                </a:schemeClr>
              </a:solidFill>
              <a:ln w="9525">
                <a:solidFill>
                  <a:schemeClr val="accent5">
                    <a:lumMod val="75000"/>
                  </a:schemeClr>
                </a:solidFill>
              </a:ln>
              <a:effectLst/>
            </c:spPr>
          </c:marker>
          <c:trendline>
            <c:spPr>
              <a:ln w="19050" cap="rnd">
                <a:solidFill>
                  <a:schemeClr val="accent5">
                    <a:lumMod val="75000"/>
                  </a:schemeClr>
                </a:solidFill>
                <a:prstDash val="sysDot"/>
              </a:ln>
              <a:effectLst/>
            </c:spPr>
            <c:trendlineType val="linear"/>
            <c:dispRSqr val="0"/>
            <c:dispEq val="1"/>
            <c:trendlineLbl>
              <c:layout>
                <c:manualLayout>
                  <c:x val="-0.15639095623041091"/>
                  <c:y val="7.4274254673668286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lumMod val="75000"/>
                        </a:schemeClr>
                      </a:solidFill>
                      <a:latin typeface="+mn-lt"/>
                      <a:ea typeface="+mn-ea"/>
                      <a:cs typeface="+mn-cs"/>
                    </a:defRPr>
                  </a:pPr>
                  <a:endParaRPr lang="en-US"/>
                </a:p>
              </c:txPr>
            </c:trendlineLbl>
          </c:trendline>
          <c:xVal>
            <c:numRef>
              <c:f>'Reference Curves'!$AN$42:$AO$42</c:f>
              <c:numCache>
                <c:formatCode>General</c:formatCode>
                <c:ptCount val="2"/>
                <c:pt idx="0">
                  <c:v>60</c:v>
                </c:pt>
                <c:pt idx="1">
                  <c:v>100</c:v>
                </c:pt>
              </c:numCache>
            </c:numRef>
          </c:xVal>
          <c:yVal>
            <c:numRef>
              <c:f>'Reference Curves'!$AN$43:$AO$43</c:f>
              <c:numCache>
                <c:formatCode>0.00</c:formatCode>
                <c:ptCount val="2"/>
                <c:pt idx="0">
                  <c:v>0.7</c:v>
                </c:pt>
                <c:pt idx="1">
                  <c:v>1</c:v>
                </c:pt>
              </c:numCache>
            </c:numRef>
          </c:yVal>
          <c:smooth val="0"/>
          <c:extLst>
            <c:ext xmlns:c16="http://schemas.microsoft.com/office/drawing/2014/chart" uri="{C3380CC4-5D6E-409C-BE32-E72D297353CC}">
              <c16:uniqueId val="{00000005-F9A0-4593-AF72-D6BBA1E09BA5}"/>
            </c:ext>
          </c:extLst>
        </c:ser>
        <c:dLbls>
          <c:showLegendKey val="0"/>
          <c:showVal val="0"/>
          <c:showCatName val="0"/>
          <c:showSerName val="0"/>
          <c:showPercent val="0"/>
          <c:showBubbleSize val="0"/>
        </c:dLbls>
        <c:axId val="461135712"/>
        <c:axId val="461132760"/>
      </c:scatterChart>
      <c:valAx>
        <c:axId val="4611357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 of Expected)</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61132760"/>
        <c:crossesAt val="0"/>
        <c:crossBetween val="midCat"/>
      </c:valAx>
      <c:valAx>
        <c:axId val="46113276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61135712"/>
        <c:crossesAt val="0"/>
        <c:crossBetween val="midCat"/>
      </c:valAx>
      <c:spPr>
        <a:noFill/>
        <a:ln>
          <a:noFill/>
        </a:ln>
        <a:effectLst/>
      </c:spPr>
    </c:plotArea>
    <c:legend>
      <c:legendPos val="r"/>
      <c:layout>
        <c:manualLayout>
          <c:xMode val="edge"/>
          <c:yMode val="edge"/>
          <c:x val="0.70278381092704123"/>
          <c:y val="0.19468101223856063"/>
          <c:w val="0.28426514825627491"/>
          <c:h val="8.3592798039439822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Big Four Parameters - Condition</a:t>
            </a:r>
            <a:r>
              <a:rPr lang="en-US" sz="2000" baseline="0"/>
              <a:t> Score 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4"/>
          <c:order val="0"/>
          <c:tx>
            <c:strRef>
              <c:f>'Data Summary'!$B$7</c:f>
              <c:strCache>
                <c:ptCount val="1"/>
                <c:pt idx="0">
                  <c:v>Floodplain Connectivity</c:v>
                </c:pt>
              </c:strCache>
            </c:strRef>
          </c:tx>
          <c:spPr>
            <a:ln w="19050" cap="rnd">
              <a:solidFill>
                <a:schemeClr val="accent5"/>
              </a:solidFill>
              <a:prstDash val="dash"/>
              <a:round/>
            </a:ln>
            <a:effectLst/>
          </c:spPr>
          <c:marker>
            <c:symbol val="none"/>
          </c:marker>
          <c:xVal>
            <c:numRef>
              <c:f>'Data Summary'!$F$4:$O$4</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Summary'!$F$7:$O$7</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4-92C8-4EBD-977B-3E233368AC59}"/>
            </c:ext>
          </c:extLst>
        </c:ser>
        <c:ser>
          <c:idx val="5"/>
          <c:order val="1"/>
          <c:tx>
            <c:strRef>
              <c:f>'Data Summary'!$B$10</c:f>
              <c:strCache>
                <c:ptCount val="1"/>
                <c:pt idx="0">
                  <c:v>Lateral Migration</c:v>
                </c:pt>
              </c:strCache>
            </c:strRef>
          </c:tx>
          <c:spPr>
            <a:ln w="19050" cap="rnd">
              <a:solidFill>
                <a:srgbClr val="FF0000"/>
              </a:solidFill>
              <a:prstDash val="dash"/>
              <a:round/>
            </a:ln>
            <a:effectLst/>
          </c:spPr>
          <c:marker>
            <c:symbol val="none"/>
          </c:marker>
          <c:xVal>
            <c:numRef>
              <c:f>'Data Summary'!$F$4:$O$4</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Summary'!$F$10:$O$10</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5-92C8-4EBD-977B-3E233368AC59}"/>
            </c:ext>
          </c:extLst>
        </c:ser>
        <c:ser>
          <c:idx val="6"/>
          <c:order val="2"/>
          <c:tx>
            <c:strRef>
              <c:f>'Data Summary'!$B$13</c:f>
              <c:strCache>
                <c:ptCount val="1"/>
                <c:pt idx="0">
                  <c:v>Riparian Vegetation</c:v>
                </c:pt>
              </c:strCache>
            </c:strRef>
          </c:tx>
          <c:spPr>
            <a:ln w="19050" cap="rnd">
              <a:solidFill>
                <a:srgbClr val="92D050"/>
              </a:solidFill>
              <a:prstDash val="dash"/>
              <a:round/>
            </a:ln>
            <a:effectLst/>
          </c:spPr>
          <c:marker>
            <c:symbol val="none"/>
          </c:marker>
          <c:xVal>
            <c:numRef>
              <c:f>'Data Summary'!$F$4:$O$4</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Summary'!$F$13:$O$13</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6-92C8-4EBD-977B-3E233368AC59}"/>
            </c:ext>
          </c:extLst>
        </c:ser>
        <c:ser>
          <c:idx val="7"/>
          <c:order val="3"/>
          <c:tx>
            <c:strRef>
              <c:f>'Data Summary'!$B$12</c:f>
              <c:strCache>
                <c:ptCount val="1"/>
                <c:pt idx="0">
                  <c:v>Bed Form Diversity</c:v>
                </c:pt>
              </c:strCache>
            </c:strRef>
          </c:tx>
          <c:spPr>
            <a:ln w="19050" cap="rnd">
              <a:solidFill>
                <a:srgbClr val="FFC000"/>
              </a:solidFill>
              <a:prstDash val="dash"/>
              <a:round/>
            </a:ln>
            <a:effectLst/>
          </c:spPr>
          <c:marker>
            <c:symbol val="none"/>
          </c:marker>
          <c:xVal>
            <c:numRef>
              <c:f>'Data Summary'!$F$4:$O$4</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Summary'!$F$12:$O$12</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7-92C8-4EBD-977B-3E233368AC59}"/>
            </c:ext>
          </c:extLst>
        </c:ser>
        <c:ser>
          <c:idx val="0"/>
          <c:order val="4"/>
          <c:tx>
            <c:v>Monitoring Data</c:v>
          </c:tx>
          <c:spPr>
            <a:ln w="28575" cap="rnd">
              <a:solidFill>
                <a:schemeClr val="tx1"/>
              </a:solidFill>
              <a:round/>
            </a:ln>
            <a:effectLst/>
          </c:spPr>
          <c:marker>
            <c:symbol val="none"/>
          </c:marker>
          <c:xVal>
            <c:numRef>
              <c:f>'Data Summary'!$F$22:$O$22</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Summary'!$F$28:$O$28</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3-92C8-4EBD-977B-3E233368AC59}"/>
            </c:ext>
          </c:extLst>
        </c:ser>
        <c:dLbls>
          <c:showLegendKey val="0"/>
          <c:showVal val="0"/>
          <c:showCatName val="0"/>
          <c:showSerName val="0"/>
          <c:showPercent val="0"/>
          <c:showBubbleSize val="0"/>
        </c:dLbls>
        <c:axId val="379430960"/>
        <c:axId val="379429000"/>
      </c:scatterChart>
      <c:valAx>
        <c:axId val="379430960"/>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79429000"/>
        <c:crosses val="autoZero"/>
        <c:crossBetween val="midCat"/>
      </c:valAx>
      <c:valAx>
        <c:axId val="37942900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Condition Score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7943096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Pool Spacing Ratio for E </a:t>
            </a:r>
            <a:r>
              <a:rPr lang="en-US" sz="1600" baseline="0"/>
              <a:t>Stream Types</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4.7934090260159247E-2"/>
                  <c:y val="0.14326814006580166"/>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Curves'!$S$277:$X$277</c:f>
              <c:numCache>
                <c:formatCode>0.0</c:formatCode>
                <c:ptCount val="6"/>
                <c:pt idx="0">
                  <c:v>1.8</c:v>
                </c:pt>
                <c:pt idx="4">
                  <c:v>3</c:v>
                </c:pt>
                <c:pt idx="5">
                  <c:v>3.5</c:v>
                </c:pt>
              </c:numCache>
            </c:numRef>
          </c:xVal>
          <c:yVal>
            <c:numRef>
              <c:f>'Reference Curves'!$S$279:$X$279</c:f>
              <c:numCache>
                <c:formatCode>0.00</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A6C4-4AAD-B5AC-5BBC99BBE9C4}"/>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4.0225642653180529E-2"/>
                  <c:y val="-0.53417766176241521"/>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Curves'!$S$278:$X$278</c:f>
              <c:numCache>
                <c:formatCode>0.0</c:formatCode>
                <c:ptCount val="6"/>
                <c:pt idx="0">
                  <c:v>8.3000000000000007</c:v>
                </c:pt>
                <c:pt idx="4">
                  <c:v>6</c:v>
                </c:pt>
                <c:pt idx="5">
                  <c:v>5</c:v>
                </c:pt>
              </c:numCache>
            </c:numRef>
          </c:xVal>
          <c:yVal>
            <c:numRef>
              <c:f>'Reference Curves'!$S$279:$X$279</c:f>
              <c:numCache>
                <c:formatCode>0.00</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3-A6C4-4AAD-B5AC-5BBC99BBE9C4}"/>
            </c:ext>
          </c:extLst>
        </c:ser>
        <c:ser>
          <c:idx val="2"/>
          <c:order val="2"/>
          <c:tx>
            <c:v>Crest</c:v>
          </c:tx>
          <c:spPr>
            <a:ln w="25400" cap="rnd">
              <a:solidFill>
                <a:schemeClr val="tx1"/>
              </a:solidFill>
              <a:prstDash val="solid"/>
              <a:round/>
            </a:ln>
            <a:effectLst/>
          </c:spPr>
          <c:marker>
            <c:symbol val="none"/>
          </c:marker>
          <c:dPt>
            <c:idx val="0"/>
            <c:marker>
              <c:symbol val="none"/>
            </c:marker>
            <c:bubble3D val="0"/>
            <c:spPr>
              <a:ln w="25400" cap="rnd">
                <a:solidFill>
                  <a:schemeClr val="tx1"/>
                </a:solidFill>
                <a:prstDash val="solid"/>
                <a:round/>
              </a:ln>
              <a:effectLst/>
            </c:spPr>
            <c:extLst>
              <c:ext xmlns:c16="http://schemas.microsoft.com/office/drawing/2014/chart" uri="{C3380CC4-5D6E-409C-BE32-E72D297353CC}">
                <c16:uniqueId val="{00000005-A6C4-4AAD-B5AC-5BBC99BBE9C4}"/>
              </c:ext>
            </c:extLst>
          </c:dPt>
          <c:xVal>
            <c:numRef>
              <c:f>('Reference Curves'!$X$277,'Reference Curves'!$X$278)</c:f>
              <c:numCache>
                <c:formatCode>0.0</c:formatCode>
                <c:ptCount val="2"/>
                <c:pt idx="0">
                  <c:v>3.5</c:v>
                </c:pt>
                <c:pt idx="1">
                  <c:v>5</c:v>
                </c:pt>
              </c:numCache>
            </c:numRef>
          </c:xVal>
          <c:yVal>
            <c:numRef>
              <c:f>('Reference Curves'!$X$279,'Reference Curves'!$X$279)</c:f>
              <c:numCache>
                <c:formatCode>0.00</c:formatCode>
                <c:ptCount val="2"/>
                <c:pt idx="0">
                  <c:v>1</c:v>
                </c:pt>
                <c:pt idx="1">
                  <c:v>1</c:v>
                </c:pt>
              </c:numCache>
            </c:numRef>
          </c:yVal>
          <c:smooth val="0"/>
          <c:extLst>
            <c:ext xmlns:c16="http://schemas.microsoft.com/office/drawing/2014/chart" uri="{C3380CC4-5D6E-409C-BE32-E72D297353CC}">
              <c16:uniqueId val="{00000006-A6C4-4AAD-B5AC-5BBC99BBE9C4}"/>
            </c:ext>
          </c:extLst>
        </c:ser>
        <c:dLbls>
          <c:showLegendKey val="0"/>
          <c:showVal val="0"/>
          <c:showCatName val="0"/>
          <c:showSerName val="0"/>
          <c:showPercent val="0"/>
          <c:showBubbleSize val="0"/>
        </c:dLbls>
        <c:axId val="412054392"/>
        <c:axId val="412055176"/>
      </c:scatterChart>
      <c:valAx>
        <c:axId val="4120543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2055176"/>
        <c:crosses val="autoZero"/>
        <c:crossBetween val="midCat"/>
        <c:majorUnit val="1"/>
      </c:valAx>
      <c:valAx>
        <c:axId val="41205517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20543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Riffle for B, C and E Streams &lt; 3% slope and Percent Riffle &gt;=60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52456070937341359"/>
                  <c:y val="-0.1776675096258496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'Performance Stds'!#REF!</c:f>
            </c:numRef>
          </c:xVal>
          <c:yVal>
            <c:numRef>
              <c:f>'Performance Stds'!#REF!</c:f>
              <c:numCache>
                <c:formatCode>General</c:formatCode>
                <c:ptCount val="1"/>
                <c:pt idx="0">
                  <c:v>1</c:v>
                </c:pt>
              </c:numCache>
            </c:numRef>
          </c:yVal>
          <c:smooth val="0"/>
          <c:extLst>
            <c:ext xmlns:c16="http://schemas.microsoft.com/office/drawing/2014/chart" uri="{C3380CC4-5D6E-409C-BE32-E72D297353CC}">
              <c16:uniqueId val="{00000001-72D4-44E2-93F0-198278BA82C7}"/>
            </c:ext>
          </c:extLst>
        </c:ser>
        <c:dLbls>
          <c:showLegendKey val="0"/>
          <c:showVal val="0"/>
          <c:showCatName val="0"/>
          <c:showSerName val="0"/>
          <c:showPercent val="0"/>
          <c:showBubbleSize val="0"/>
        </c:dLbls>
        <c:axId val="412664312"/>
        <c:axId val="412660784"/>
      </c:scatterChart>
      <c:valAx>
        <c:axId val="412664312"/>
        <c:scaling>
          <c:orientation val="minMax"/>
          <c:min val="7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660784"/>
        <c:crosses val="autoZero"/>
        <c:crossBetween val="midCat"/>
      </c:valAx>
      <c:valAx>
        <c:axId val="41266078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6643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Percent Riffle for Slopes ≥ 3%</a:t>
            </a:r>
          </a:p>
        </c:rich>
      </c:tx>
      <c:layout>
        <c:manualLayout>
          <c:xMode val="edge"/>
          <c:yMode val="edge"/>
          <c:x val="0.26547633324907888"/>
          <c:y val="2.3591773158599411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25"/>
            <c:dispRSqr val="0"/>
            <c:dispEq val="1"/>
            <c:trendlineLbl>
              <c:layout>
                <c:manualLayout>
                  <c:x val="-0.22290146538480857"/>
                  <c:y val="0.1869148013159995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Curves'!$S$345:$W$345</c:f>
              <c:numCache>
                <c:formatCode>General</c:formatCode>
                <c:ptCount val="5"/>
                <c:pt idx="0" formatCode="0">
                  <c:v>0</c:v>
                </c:pt>
                <c:pt idx="4">
                  <c:v>62</c:v>
                </c:pt>
              </c:numCache>
            </c:numRef>
          </c:xVal>
          <c:yVal>
            <c:numRef>
              <c:f>'Reference Curves'!$S$347:$W$347</c:f>
              <c:numCache>
                <c:formatCode>0.00</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240D-4059-BB5C-61211A563788}"/>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forward val="21"/>
            <c:dispRSqr val="0"/>
            <c:dispEq val="1"/>
            <c:trendlineLbl>
              <c:layout>
                <c:manualLayout>
                  <c:x val="-0.12674582735096313"/>
                  <c:y val="-0.29701293360760206"/>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Curves'!$S$346:$W$346</c:f>
              <c:numCache>
                <c:formatCode>General</c:formatCode>
                <c:ptCount val="5"/>
                <c:pt idx="0" formatCode="0">
                  <c:v>100</c:v>
                </c:pt>
                <c:pt idx="4">
                  <c:v>87</c:v>
                </c:pt>
              </c:numCache>
            </c:numRef>
          </c:xVal>
          <c:yVal>
            <c:numRef>
              <c:f>'Reference Curves'!$S$347:$W$347</c:f>
              <c:numCache>
                <c:formatCode>0.00</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3-240D-4059-BB5C-61211A563788}"/>
            </c:ext>
          </c:extLst>
        </c:ser>
        <c:ser>
          <c:idx val="2"/>
          <c:order val="2"/>
          <c:tx>
            <c:v>Crest</c:v>
          </c:tx>
          <c:spPr>
            <a:ln w="25400" cap="rnd">
              <a:solidFill>
                <a:schemeClr val="tx1"/>
              </a:solidFill>
              <a:prstDash val="solid"/>
              <a:round/>
            </a:ln>
            <a:effectLst/>
          </c:spPr>
          <c:marker>
            <c:symbol val="none"/>
          </c:marker>
          <c:trendline>
            <c:spPr>
              <a:ln w="22225" cap="rnd">
                <a:solidFill>
                  <a:schemeClr val="tx1"/>
                </a:solidFill>
                <a:prstDash val="solid"/>
              </a:ln>
              <a:effectLst/>
            </c:spPr>
            <c:trendlineType val="linear"/>
            <c:dispRSqr val="0"/>
            <c:dispEq val="0"/>
          </c:trendline>
          <c:xVal>
            <c:numRef>
              <c:f>'Reference Curves'!$X$345:$X$346</c:f>
              <c:numCache>
                <c:formatCode>0</c:formatCode>
                <c:ptCount val="2"/>
                <c:pt idx="0">
                  <c:v>68</c:v>
                </c:pt>
                <c:pt idx="1">
                  <c:v>85</c:v>
                </c:pt>
              </c:numCache>
            </c:numRef>
          </c:xVal>
          <c:yVal>
            <c:numRef>
              <c:f>('Reference Curves'!$X$347,'Reference Curves'!$X$347)</c:f>
              <c:numCache>
                <c:formatCode>0.00</c:formatCode>
                <c:ptCount val="2"/>
                <c:pt idx="0">
                  <c:v>1</c:v>
                </c:pt>
                <c:pt idx="1">
                  <c:v>1</c:v>
                </c:pt>
              </c:numCache>
            </c:numRef>
          </c:yVal>
          <c:smooth val="0"/>
          <c:extLst>
            <c:ext xmlns:c16="http://schemas.microsoft.com/office/drawing/2014/chart" uri="{C3380CC4-5D6E-409C-BE32-E72D297353CC}">
              <c16:uniqueId val="{00000005-240D-4059-BB5C-61211A563788}"/>
            </c:ext>
          </c:extLst>
        </c:ser>
        <c:ser>
          <c:idx val="3"/>
          <c:order val="3"/>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1.1001730196695215E-2"/>
                  <c:y val="5.137747837000077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4"/>
                      </a:solidFill>
                      <a:latin typeface="+mn-lt"/>
                      <a:ea typeface="+mn-ea"/>
                      <a:cs typeface="+mn-cs"/>
                    </a:defRPr>
                  </a:pPr>
                  <a:endParaRPr lang="en-US"/>
                </a:p>
              </c:txPr>
            </c:trendlineLbl>
          </c:trendline>
          <c:xVal>
            <c:numRef>
              <c:f>'Reference Curves'!$W$346:$X$346</c:f>
              <c:numCache>
                <c:formatCode>0</c:formatCode>
                <c:ptCount val="2"/>
                <c:pt idx="0" formatCode="General">
                  <c:v>87</c:v>
                </c:pt>
                <c:pt idx="1">
                  <c:v>85</c:v>
                </c:pt>
              </c:numCache>
            </c:numRef>
          </c:xVal>
          <c:yVal>
            <c:numRef>
              <c:f>'Reference Curves'!$W$347:$X$347</c:f>
              <c:numCache>
                <c:formatCode>0.00</c:formatCode>
                <c:ptCount val="2"/>
                <c:pt idx="0">
                  <c:v>0.7</c:v>
                </c:pt>
                <c:pt idx="1">
                  <c:v>1</c:v>
                </c:pt>
              </c:numCache>
            </c:numRef>
          </c:yVal>
          <c:smooth val="0"/>
          <c:extLst>
            <c:ext xmlns:c16="http://schemas.microsoft.com/office/drawing/2014/chart" uri="{C3380CC4-5D6E-409C-BE32-E72D297353CC}">
              <c16:uniqueId val="{00000007-240D-4059-BB5C-61211A563788}"/>
            </c:ext>
          </c:extLst>
        </c:ser>
        <c:ser>
          <c:idx val="4"/>
          <c:order val="4"/>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2.8610594900162975E-2"/>
                  <c:y val="6.8503910009938801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Curves'!$W$345:$X$345</c:f>
              <c:numCache>
                <c:formatCode>0</c:formatCode>
                <c:ptCount val="2"/>
                <c:pt idx="0" formatCode="General">
                  <c:v>62</c:v>
                </c:pt>
                <c:pt idx="1">
                  <c:v>68</c:v>
                </c:pt>
              </c:numCache>
            </c:numRef>
          </c:xVal>
          <c:yVal>
            <c:numRef>
              <c:f>'Reference Curves'!$W$347:$X$347</c:f>
              <c:numCache>
                <c:formatCode>0.00</c:formatCode>
                <c:ptCount val="2"/>
                <c:pt idx="0">
                  <c:v>0.7</c:v>
                </c:pt>
                <c:pt idx="1">
                  <c:v>1</c:v>
                </c:pt>
              </c:numCache>
            </c:numRef>
          </c:yVal>
          <c:smooth val="0"/>
          <c:extLst>
            <c:ext xmlns:c16="http://schemas.microsoft.com/office/drawing/2014/chart" uri="{C3380CC4-5D6E-409C-BE32-E72D297353CC}">
              <c16:uniqueId val="{00000009-240D-4059-BB5C-61211A563788}"/>
            </c:ext>
          </c:extLst>
        </c:ser>
        <c:dLbls>
          <c:showLegendKey val="0"/>
          <c:showVal val="0"/>
          <c:showCatName val="0"/>
          <c:showSerName val="0"/>
          <c:showPercent val="0"/>
          <c:showBubbleSize val="0"/>
        </c:dLbls>
        <c:axId val="412666664"/>
        <c:axId val="412667448"/>
      </c:scatterChart>
      <c:valAx>
        <c:axId val="412666664"/>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2667448"/>
        <c:crosses val="autoZero"/>
        <c:crossBetween val="midCat"/>
        <c:majorUnit val="10"/>
        <c:minorUnit val="5"/>
      </c:valAx>
      <c:valAx>
        <c:axId val="41266744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2666664"/>
        <c:crosses val="autoZero"/>
        <c:crossBetween val="midCat"/>
      </c:valAx>
      <c:spPr>
        <a:noFill/>
        <a:ln>
          <a:noFill/>
          <a:prstDash val="solid"/>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ER</a:t>
            </a:r>
            <a:r>
              <a:rPr lang="en-US" sz="1600" baseline="0"/>
              <a:t> for E Streams</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1"/>
            <c:dispRSqr val="0"/>
            <c:dispEq val="1"/>
            <c:trendlineLbl>
              <c:layout>
                <c:manualLayout>
                  <c:x val="0.13601790980977305"/>
                  <c:y val="0.16682413040130759"/>
                </c:manualLayout>
              </c:layout>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aseline="0">
                        <a:solidFill>
                          <a:schemeClr val="accent1"/>
                        </a:solidFill>
                      </a:rPr>
                      <a:t>y = 1x - 1.7</a:t>
                    </a:r>
                    <a:endParaRPr lang="en-US" sz="1100">
                      <a:solidFill>
                        <a:schemeClr val="accent1"/>
                      </a:solidFill>
                    </a:endParaRPr>
                  </a:p>
                </c:rich>
              </c:tx>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Curves'!$K$77:$O$77</c:f>
              <c:numCache>
                <c:formatCode>0.0</c:formatCode>
                <c:ptCount val="5"/>
                <c:pt idx="2">
                  <c:v>2</c:v>
                </c:pt>
                <c:pt idx="4">
                  <c:v>2.4</c:v>
                </c:pt>
              </c:numCache>
            </c:numRef>
          </c:xVal>
          <c:yVal>
            <c:numRef>
              <c:f>'Reference Curves'!$K$78:$O$78</c:f>
              <c:numCache>
                <c:formatCode>0.00</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B052-4693-8DFA-096390AC5356}"/>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1.5779385800315841E-2"/>
                  <c:y val="0.1486441421635470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Curves'!$O$77:$P$77</c:f>
              <c:numCache>
                <c:formatCode>0.0</c:formatCode>
                <c:ptCount val="2"/>
                <c:pt idx="0">
                  <c:v>2.4</c:v>
                </c:pt>
                <c:pt idx="1">
                  <c:v>6.5</c:v>
                </c:pt>
              </c:numCache>
            </c:numRef>
          </c:xVal>
          <c:yVal>
            <c:numRef>
              <c:f>'Reference Curves'!$O$78:$P$78</c:f>
              <c:numCache>
                <c:formatCode>0.00</c:formatCode>
                <c:ptCount val="2"/>
                <c:pt idx="0">
                  <c:v>0.7</c:v>
                </c:pt>
                <c:pt idx="1">
                  <c:v>1</c:v>
                </c:pt>
              </c:numCache>
            </c:numRef>
          </c:yVal>
          <c:smooth val="0"/>
          <c:extLst>
            <c:ext xmlns:c16="http://schemas.microsoft.com/office/drawing/2014/chart" uri="{C3380CC4-5D6E-409C-BE32-E72D297353CC}">
              <c16:uniqueId val="{00000003-B052-4693-8DFA-096390AC5356}"/>
            </c:ext>
          </c:extLst>
        </c:ser>
        <c:dLbls>
          <c:showLegendKey val="0"/>
          <c:showVal val="0"/>
          <c:showCatName val="0"/>
          <c:showSerName val="0"/>
          <c:showPercent val="0"/>
          <c:showBubbleSize val="0"/>
        </c:dLbls>
        <c:axId val="412058704"/>
        <c:axId val="412055960"/>
      </c:scatterChart>
      <c:valAx>
        <c:axId val="412058704"/>
        <c:scaling>
          <c:orientation val="minMax"/>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2055960"/>
        <c:crosses val="autoZero"/>
        <c:crossBetween val="midCat"/>
      </c:valAx>
      <c:valAx>
        <c:axId val="41205596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20587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Alaskan</a:t>
            </a:r>
            <a:r>
              <a:rPr lang="en-US" baseline="0"/>
              <a:t> Interior MMI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28084387367101"/>
          <c:y val="0.11383995627777838"/>
          <c:w val="0.82263453515906593"/>
          <c:h val="0.73757538467374906"/>
        </c:manualLayout>
      </c:layout>
      <c:scatterChart>
        <c:scatterStyle val="lineMarker"/>
        <c:varyColors val="0"/>
        <c:ser>
          <c:idx val="0"/>
          <c:order val="0"/>
          <c:tx>
            <c:strRef>
              <c:f>'Reference Curves'!$AI$9</c:f>
              <c:strCache>
                <c:ptCount val="1"/>
                <c:pt idx="0">
                  <c:v>Field Value</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11304715345373524"/>
                  <c:y val="-8.0370547238333034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Curves'!$AJ$9:$AL$9</c:f>
              <c:numCache>
                <c:formatCode>General</c:formatCode>
                <c:ptCount val="3"/>
                <c:pt idx="0">
                  <c:v>81</c:v>
                </c:pt>
                <c:pt idx="2">
                  <c:v>62</c:v>
                </c:pt>
              </c:numCache>
            </c:numRef>
          </c:xVal>
          <c:yVal>
            <c:numRef>
              <c:f>'Reference Curves'!$AJ$10:$AL$10</c:f>
              <c:numCache>
                <c:formatCode>0.00</c:formatCode>
                <c:ptCount val="3"/>
                <c:pt idx="0">
                  <c:v>0</c:v>
                </c:pt>
                <c:pt idx="1">
                  <c:v>0.28999999999999998</c:v>
                </c:pt>
                <c:pt idx="2">
                  <c:v>0.3</c:v>
                </c:pt>
              </c:numCache>
            </c:numRef>
          </c:yVal>
          <c:smooth val="0"/>
          <c:extLst>
            <c:ext xmlns:c16="http://schemas.microsoft.com/office/drawing/2014/chart" uri="{C3380CC4-5D6E-409C-BE32-E72D297353CC}">
              <c16:uniqueId val="{00000001-4225-41AD-A324-B25227DA3225}"/>
            </c:ext>
          </c:extLst>
        </c:ser>
        <c:ser>
          <c:idx val="6"/>
          <c:order val="1"/>
          <c:tx>
            <c:strRef>
              <c:f>'Reference Curves'!$AI$9</c:f>
              <c:strCache>
                <c:ptCount val="1"/>
                <c:pt idx="0">
                  <c:v>Field Value</c:v>
                </c:pt>
              </c:strCache>
            </c:strRef>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accent1">
                    <a:lumMod val="60000"/>
                  </a:schemeClr>
                </a:solidFill>
                <a:prstDash val="sysDot"/>
              </a:ln>
              <a:effectLst/>
            </c:spPr>
            <c:trendlineType val="linear"/>
            <c:dispRSqr val="0"/>
            <c:dispEq val="1"/>
            <c:trendlineLbl>
              <c:layout>
                <c:manualLayout>
                  <c:x val="-8.0812794947550642E-2"/>
                  <c:y val="-0.1153261631569863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lumMod val="75000"/>
                        </a:schemeClr>
                      </a:solidFill>
                      <a:latin typeface="+mn-lt"/>
                      <a:ea typeface="+mn-ea"/>
                      <a:cs typeface="+mn-cs"/>
                    </a:defRPr>
                  </a:pPr>
                  <a:endParaRPr lang="en-US"/>
                </a:p>
              </c:txPr>
            </c:trendlineLbl>
          </c:trendline>
          <c:xVal>
            <c:numRef>
              <c:f>'Reference Curves'!$AL$9:$AN$9</c:f>
              <c:numCache>
                <c:formatCode>General</c:formatCode>
                <c:ptCount val="3"/>
                <c:pt idx="0">
                  <c:v>62</c:v>
                </c:pt>
                <c:pt idx="2">
                  <c:v>43</c:v>
                </c:pt>
              </c:numCache>
            </c:numRef>
          </c:xVal>
          <c:yVal>
            <c:numRef>
              <c:f>'Reference Curves'!$AL$10:$AN$10</c:f>
              <c:numCache>
                <c:formatCode>0.00</c:formatCode>
                <c:ptCount val="3"/>
                <c:pt idx="0">
                  <c:v>0.3</c:v>
                </c:pt>
                <c:pt idx="1">
                  <c:v>0.69</c:v>
                </c:pt>
                <c:pt idx="2">
                  <c:v>0.7</c:v>
                </c:pt>
              </c:numCache>
            </c:numRef>
          </c:yVal>
          <c:smooth val="0"/>
          <c:extLst>
            <c:ext xmlns:c16="http://schemas.microsoft.com/office/drawing/2014/chart" uri="{C3380CC4-5D6E-409C-BE32-E72D297353CC}">
              <c16:uniqueId val="{00000003-4225-41AD-A324-B25227DA3225}"/>
            </c:ext>
          </c:extLst>
        </c:ser>
        <c:ser>
          <c:idx val="4"/>
          <c:order val="2"/>
          <c:tx>
            <c:strRef>
              <c:f>'Reference Curves'!$AI$9</c:f>
              <c:strCache>
                <c:ptCount val="1"/>
                <c:pt idx="0">
                  <c:v>Field Value</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4.3896692716699763E-2"/>
                  <c:y val="-0.1119599194923691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Curves'!$AN$9:$AO$9</c:f>
              <c:numCache>
                <c:formatCode>General</c:formatCode>
                <c:ptCount val="2"/>
                <c:pt idx="0">
                  <c:v>43</c:v>
                </c:pt>
                <c:pt idx="1">
                  <c:v>36</c:v>
                </c:pt>
              </c:numCache>
            </c:numRef>
          </c:xVal>
          <c:yVal>
            <c:numRef>
              <c:f>'Reference Curves'!$AN$10:$AO$10</c:f>
              <c:numCache>
                <c:formatCode>0.00</c:formatCode>
                <c:ptCount val="2"/>
                <c:pt idx="0">
                  <c:v>0.7</c:v>
                </c:pt>
                <c:pt idx="1">
                  <c:v>1</c:v>
                </c:pt>
              </c:numCache>
            </c:numRef>
          </c:yVal>
          <c:smooth val="0"/>
          <c:extLst>
            <c:ext xmlns:c16="http://schemas.microsoft.com/office/drawing/2014/chart" uri="{C3380CC4-5D6E-409C-BE32-E72D297353CC}">
              <c16:uniqueId val="{00000005-4225-41AD-A324-B25227DA3225}"/>
            </c:ext>
          </c:extLst>
        </c:ser>
        <c:dLbls>
          <c:showLegendKey val="0"/>
          <c:showVal val="0"/>
          <c:showCatName val="0"/>
          <c:showSerName val="0"/>
          <c:showPercent val="0"/>
          <c:showBubbleSize val="0"/>
        </c:dLbls>
        <c:axId val="415020920"/>
        <c:axId val="415023272"/>
      </c:scatterChart>
      <c:valAx>
        <c:axId val="415020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(Unitless) </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5023272"/>
        <c:crosses val="autoZero"/>
        <c:crossBetween val="midCat"/>
      </c:valAx>
      <c:valAx>
        <c:axId val="41502327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50209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Relative Abundance and Species Biomass</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23309680970994937"/>
                  <c:y val="0.1478774330781660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Curves'!$AJ$77:$AO$77</c:f>
              <c:numCache>
                <c:formatCode>0.00</c:formatCode>
                <c:ptCount val="6"/>
                <c:pt idx="0">
                  <c:v>0</c:v>
                </c:pt>
                <c:pt idx="5">
                  <c:v>0.9</c:v>
                </c:pt>
              </c:numCache>
            </c:numRef>
          </c:xVal>
          <c:yVal>
            <c:numRef>
              <c:f>'Reference Curves'!$AJ$78:$AO$78</c:f>
              <c:numCache>
                <c:formatCode>0.00</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0C43-43F6-B1A6-369300E3AA79}"/>
            </c:ext>
          </c:extLst>
        </c:ser>
        <c:dLbls>
          <c:showLegendKey val="0"/>
          <c:showVal val="0"/>
          <c:showCatName val="0"/>
          <c:showSerName val="0"/>
          <c:showPercent val="0"/>
          <c:showBubbleSize val="0"/>
        </c:dLbls>
        <c:axId val="461135712"/>
        <c:axId val="461132760"/>
      </c:scatterChart>
      <c:valAx>
        <c:axId val="4611357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(O/E)</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61132760"/>
        <c:crossesAt val="0"/>
        <c:crossBetween val="midCat"/>
      </c:valAx>
      <c:valAx>
        <c:axId val="46113276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61135712"/>
        <c:crossesAt val="0"/>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Diatom Index</a:t>
            </a:r>
          </a:p>
        </c:rich>
      </c:tx>
      <c:layout>
        <c:manualLayout>
          <c:xMode val="edge"/>
          <c:yMode val="edge"/>
          <c:x val="0.43417023007436717"/>
          <c:y val="1.5667935109152813E-2"/>
        </c:manualLayout>
      </c:layout>
      <c:overlay val="0"/>
      <c:spPr>
        <a:solidFill>
          <a:sysClr val="window" lastClr="FFFFFF"/>
        </a:solid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197240542752902E-2"/>
          <c:y val="9.3141937954091245E-2"/>
          <c:w val="0.83139173807186462"/>
          <c:h val="0.7791487548364594"/>
        </c:manualLayout>
      </c:layout>
      <c:scatterChart>
        <c:scatterStyle val="lineMarker"/>
        <c:varyColors val="0"/>
        <c:ser>
          <c:idx val="2"/>
          <c:order val="0"/>
          <c:spPr>
            <a:ln w="25400" cap="rnd">
              <a:noFill/>
              <a:round/>
            </a:ln>
            <a:effectLst/>
          </c:spPr>
          <c:marker>
            <c:symbol val="circle"/>
            <c:size val="5"/>
            <c:spPr>
              <a:solidFill>
                <a:schemeClr val="accent1"/>
              </a:solidFill>
              <a:ln w="9525">
                <a:noFill/>
              </a:ln>
              <a:effectLst/>
            </c:spPr>
          </c:marker>
          <c:trendline>
            <c:spPr>
              <a:ln w="19050" cap="rnd">
                <a:solidFill>
                  <a:schemeClr val="accent1"/>
                </a:solidFill>
                <a:prstDash val="sysDot"/>
              </a:ln>
              <a:effectLst/>
            </c:spPr>
            <c:trendlineType val="linear"/>
            <c:backward val="50"/>
            <c:dispRSqr val="0"/>
            <c:dispEq val="1"/>
            <c:trendlineLbl>
              <c:layout>
                <c:manualLayout>
                  <c:x val="-0.12917278259219353"/>
                  <c:y val="5.9471704831208137E-2"/>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Curves'!$AA$74:$AF$74</c:f>
              <c:numCache>
                <c:formatCode>General</c:formatCode>
                <c:ptCount val="6"/>
                <c:pt idx="4">
                  <c:v>58</c:v>
                </c:pt>
                <c:pt idx="5">
                  <c:v>75</c:v>
                </c:pt>
              </c:numCache>
            </c:numRef>
          </c:xVal>
          <c:yVal>
            <c:numRef>
              <c:f>'Reference Curves'!$AA$75:$AF$75</c:f>
              <c:numCache>
                <c:formatCode>0.00</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5-F826-45A9-943D-4C316AB6AC63}"/>
            </c:ext>
          </c:extLst>
        </c:ser>
        <c:dLbls>
          <c:showLegendKey val="0"/>
          <c:showVal val="0"/>
          <c:showCatName val="0"/>
          <c:showSerName val="0"/>
          <c:showPercent val="0"/>
          <c:showBubbleSize val="0"/>
        </c:dLbls>
        <c:axId val="415021312"/>
        <c:axId val="415018960"/>
      </c:scatterChart>
      <c:valAx>
        <c:axId val="415021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(Unitless)</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5018960"/>
        <c:crosses val="autoZero"/>
        <c:crossBetween val="midCat"/>
      </c:valAx>
      <c:valAx>
        <c:axId val="41501896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50213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Width/Depth Ratio (% of Expected)</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Rising Limb</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12359647853126961"/>
                  <c:y val="7.9657513010040093E-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Curves'!$K$145:$P$145</c:f>
              <c:numCache>
                <c:formatCode>General</c:formatCode>
                <c:ptCount val="6"/>
                <c:pt idx="0">
                  <c:v>20</c:v>
                </c:pt>
                <c:pt idx="5">
                  <c:v>100</c:v>
                </c:pt>
              </c:numCache>
            </c:numRef>
          </c:xVal>
          <c:yVal>
            <c:numRef>
              <c:f>'Reference Curves'!$K$147:$P$147</c:f>
              <c:numCache>
                <c:formatCode>0.00</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6C31-4E67-AC97-2EB91E1E938E}"/>
            </c:ext>
          </c:extLst>
        </c:ser>
        <c:ser>
          <c:idx val="1"/>
          <c:order val="1"/>
          <c:tx>
            <c:v>Falling Limb</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2.9320562147898532E-2"/>
                  <c:y val="-0.59310641882882975"/>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Curves'!$K$146:$P$146</c:f>
              <c:numCache>
                <c:formatCode>General</c:formatCode>
                <c:ptCount val="6"/>
                <c:pt idx="0">
                  <c:v>180</c:v>
                </c:pt>
                <c:pt idx="5">
                  <c:v>100</c:v>
                </c:pt>
              </c:numCache>
            </c:numRef>
          </c:xVal>
          <c:yVal>
            <c:numRef>
              <c:f>'Reference Curves'!$K$147:$P$147</c:f>
              <c:numCache>
                <c:formatCode>0.00</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3-6C31-4E67-AC97-2EB91E1E938E}"/>
            </c:ext>
          </c:extLst>
        </c:ser>
        <c:dLbls>
          <c:showLegendKey val="0"/>
          <c:showVal val="0"/>
          <c:showCatName val="0"/>
          <c:showSerName val="0"/>
          <c:showPercent val="0"/>
          <c:showBubbleSize val="0"/>
        </c:dLbls>
        <c:axId val="412059096"/>
        <c:axId val="412055568"/>
      </c:scatterChart>
      <c:valAx>
        <c:axId val="4120590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 of Expected)</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2055568"/>
        <c:crosses val="autoZero"/>
        <c:crossBetween val="midCat"/>
        <c:majorUnit val="25"/>
      </c:valAx>
      <c:valAx>
        <c:axId val="41205556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20590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Impervious Cover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30"/>
            <c:dispRSqr val="0"/>
            <c:dispEq val="1"/>
            <c:trendlineLbl>
              <c:layout>
                <c:manualLayout>
                  <c:x val="-0.1698807327233646"/>
                  <c:y val="-0.44662957882182991"/>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Curves'!$C$40:$H$40</c:f>
              <c:numCache>
                <c:formatCode>General</c:formatCode>
                <c:ptCount val="6"/>
                <c:pt idx="4">
                  <c:v>10</c:v>
                </c:pt>
                <c:pt idx="5">
                  <c:v>0</c:v>
                </c:pt>
              </c:numCache>
            </c:numRef>
          </c:xVal>
          <c:yVal>
            <c:numRef>
              <c:f>'Reference Curves'!$C$41:$H$41</c:f>
              <c:numCache>
                <c:formatCode>0.00</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52C4-48B4-B22C-A76EF74CF32C}"/>
            </c:ext>
          </c:extLst>
        </c:ser>
        <c:dLbls>
          <c:showLegendKey val="0"/>
          <c:showVal val="0"/>
          <c:showCatName val="0"/>
          <c:showSerName val="0"/>
          <c:showPercent val="0"/>
          <c:showBubbleSize val="0"/>
        </c:dLbls>
        <c:axId val="413908000"/>
        <c:axId val="413907216"/>
      </c:scatterChart>
      <c:valAx>
        <c:axId val="4139080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a:t>
                </a:r>
                <a:r>
                  <a:rPr lang="en-US" baseline="0"/>
                  <a:t>)</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907216"/>
        <c:crosses val="autoZero"/>
        <c:crossBetween val="midCat"/>
      </c:valAx>
      <c:valAx>
        <c:axId val="41390721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0" i="0" baseline="0">
                    <a:effectLst/>
                  </a:rPr>
                  <a:t>Index Value</a:t>
                </a:r>
                <a:endParaRPr lang="en-US" sz="1100">
                  <a:effectLst/>
                </a:endParaRP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9080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Anthropogenic Land Cover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NF/FAR</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11"/>
            <c:dispRSqr val="0"/>
            <c:dispEq val="1"/>
            <c:trendlineLbl>
              <c:layout>
                <c:manualLayout>
                  <c:x val="3.0353582427919908E-2"/>
                  <c:y val="-0.36812501195798236"/>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Curves'!$C$70:$G$70</c:f>
              <c:numCache>
                <c:formatCode>General</c:formatCode>
                <c:ptCount val="5"/>
                <c:pt idx="2">
                  <c:v>50</c:v>
                </c:pt>
                <c:pt idx="4">
                  <c:v>35</c:v>
                </c:pt>
              </c:numCache>
            </c:numRef>
          </c:xVal>
          <c:yVal>
            <c:numRef>
              <c:f>'Reference Curves'!$C$71:$G$71</c:f>
              <c:numCache>
                <c:formatCode>0.00</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20D3-4A17-B341-DA40B0F8AE6E}"/>
            </c:ext>
          </c:extLst>
        </c:ser>
        <c:ser>
          <c:idx val="1"/>
          <c:order val="1"/>
          <c:tx>
            <c:v>F</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3344827168798559"/>
                  <c:y val="-2.9218363372221785E-2"/>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Curves'!$G$70:$H$70</c:f>
              <c:numCache>
                <c:formatCode>General</c:formatCode>
                <c:ptCount val="2"/>
                <c:pt idx="0">
                  <c:v>35</c:v>
                </c:pt>
                <c:pt idx="1">
                  <c:v>0</c:v>
                </c:pt>
              </c:numCache>
            </c:numRef>
          </c:xVal>
          <c:yVal>
            <c:numRef>
              <c:f>'Reference Curves'!$G$71:$H$71</c:f>
              <c:numCache>
                <c:formatCode>0.00</c:formatCode>
                <c:ptCount val="2"/>
                <c:pt idx="0">
                  <c:v>0.7</c:v>
                </c:pt>
                <c:pt idx="1">
                  <c:v>1</c:v>
                </c:pt>
              </c:numCache>
            </c:numRef>
          </c:yVal>
          <c:smooth val="0"/>
          <c:extLst>
            <c:ext xmlns:c16="http://schemas.microsoft.com/office/drawing/2014/chart" uri="{C3380CC4-5D6E-409C-BE32-E72D297353CC}">
              <c16:uniqueId val="{00000003-20D3-4A17-B341-DA40B0F8AE6E}"/>
            </c:ext>
          </c:extLst>
        </c:ser>
        <c:dLbls>
          <c:showLegendKey val="0"/>
          <c:showVal val="0"/>
          <c:showCatName val="0"/>
          <c:showSerName val="0"/>
          <c:showPercent val="0"/>
          <c:showBubbleSize val="0"/>
        </c:dLbls>
        <c:axId val="413908000"/>
        <c:axId val="413907216"/>
      </c:scatterChart>
      <c:valAx>
        <c:axId val="4139080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Field Value (%</a:t>
                </a:r>
                <a:r>
                  <a:rPr lang="en-US" baseline="0"/>
                  <a:t>)</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907216"/>
        <c:crosses val="autoZero"/>
        <c:crossBetween val="midCat"/>
      </c:valAx>
      <c:valAx>
        <c:axId val="41390721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0" i="0" baseline="0">
                    <a:effectLst/>
                  </a:rPr>
                  <a:t>Index Value</a:t>
                </a:r>
                <a:endParaRPr lang="en-US" sz="1100">
                  <a:effectLst/>
                </a:endParaRP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9080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Functional Category - Condition</a:t>
            </a:r>
            <a:r>
              <a:rPr lang="en-US" sz="2000" baseline="0"/>
              <a:t> Score Tracking</a:t>
            </a:r>
            <a:endParaRPr lang="en-US" sz="2000"/>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5"/>
          <c:order val="0"/>
          <c:tx>
            <c:strRef>
              <c:f>'Data Summary'!$A$23</c:f>
              <c:strCache>
                <c:ptCount val="1"/>
                <c:pt idx="0">
                  <c:v>Hydrology </c:v>
                </c:pt>
              </c:strCache>
            </c:strRef>
          </c:tx>
          <c:spPr>
            <a:ln w="19050" cap="rnd">
              <a:solidFill>
                <a:srgbClr val="00B0F0"/>
              </a:solidFill>
              <a:prstDash val="dash"/>
              <a:round/>
            </a:ln>
            <a:effectLst/>
          </c:spPr>
          <c:marker>
            <c:symbol val="none"/>
          </c:marker>
          <c:xVal>
            <c:numRef>
              <c:f>'Data Summary'!$F$22:$O$22</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Summary'!$F$23:$O$23</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1-53E5-43F6-935D-28E090B64FB7}"/>
            </c:ext>
          </c:extLst>
        </c:ser>
        <c:ser>
          <c:idx val="2"/>
          <c:order val="1"/>
          <c:tx>
            <c:strRef>
              <c:f>'Data Summary'!$A$24:$B$24</c:f>
              <c:strCache>
                <c:ptCount val="2"/>
                <c:pt idx="0">
                  <c:v>Hydraulics</c:v>
                </c:pt>
              </c:strCache>
            </c:strRef>
          </c:tx>
          <c:spPr>
            <a:ln w="19050" cap="rnd">
              <a:solidFill>
                <a:srgbClr val="0070C0"/>
              </a:solidFill>
              <a:prstDash val="dash"/>
              <a:round/>
            </a:ln>
            <a:effectLst/>
          </c:spPr>
          <c:marker>
            <c:symbol val="none"/>
          </c:marker>
          <c:xVal>
            <c:numRef>
              <c:f>'Data Summary'!$F$22:$O$22</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Summary'!$F$24:$O$24</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1-521A-42CD-8F8D-F9904FF743B7}"/>
            </c:ext>
          </c:extLst>
        </c:ser>
        <c:ser>
          <c:idx val="4"/>
          <c:order val="2"/>
          <c:tx>
            <c:strRef>
              <c:f>'Data Summary'!$A$25:$B$25</c:f>
              <c:strCache>
                <c:ptCount val="2"/>
                <c:pt idx="0">
                  <c:v>Geomorphology</c:v>
                </c:pt>
              </c:strCache>
            </c:strRef>
          </c:tx>
          <c:spPr>
            <a:ln w="19050" cap="rnd">
              <a:solidFill>
                <a:schemeClr val="accent2"/>
              </a:solidFill>
              <a:prstDash val="dash"/>
              <a:round/>
            </a:ln>
            <a:effectLst/>
          </c:spPr>
          <c:marker>
            <c:symbol val="none"/>
          </c:marker>
          <c:xVal>
            <c:numRef>
              <c:f>'Data Summary'!$F$22:$O$22</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Summary'!$F$25:$O$25</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53E5-43F6-935D-28E090B64FB7}"/>
            </c:ext>
          </c:extLst>
        </c:ser>
        <c:ser>
          <c:idx val="7"/>
          <c:order val="3"/>
          <c:tx>
            <c:strRef>
              <c:f>'Data Summary'!$A$26</c:f>
              <c:strCache>
                <c:ptCount val="1"/>
                <c:pt idx="0">
                  <c:v>Physicochemical</c:v>
                </c:pt>
              </c:strCache>
            </c:strRef>
          </c:tx>
          <c:spPr>
            <a:ln w="19050" cap="rnd">
              <a:solidFill>
                <a:schemeClr val="accent4"/>
              </a:solidFill>
              <a:prstDash val="dash"/>
              <a:round/>
            </a:ln>
            <a:effectLst/>
          </c:spPr>
          <c:marker>
            <c:symbol val="none"/>
          </c:marker>
          <c:xVal>
            <c:numRef>
              <c:f>'Data Summary'!$F$22:$O$22</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Summary'!$F$26:$O$26</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3-53E5-43F6-935D-28E090B64FB7}"/>
            </c:ext>
          </c:extLst>
        </c:ser>
        <c:ser>
          <c:idx val="1"/>
          <c:order val="4"/>
          <c:tx>
            <c:strRef>
              <c:f>'Data Summary'!$A$27:$B$27</c:f>
              <c:strCache>
                <c:ptCount val="2"/>
                <c:pt idx="0">
                  <c:v>Biology</c:v>
                </c:pt>
              </c:strCache>
            </c:strRef>
          </c:tx>
          <c:spPr>
            <a:ln w="19050" cap="rnd">
              <a:solidFill>
                <a:srgbClr val="92D050"/>
              </a:solidFill>
              <a:prstDash val="dash"/>
              <a:round/>
            </a:ln>
            <a:effectLst/>
          </c:spPr>
          <c:marker>
            <c:symbol val="none"/>
          </c:marker>
          <c:xVal>
            <c:numRef>
              <c:f>'Data Summary'!$F$22:$O$22</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Summary'!$F$27:$O$27</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5-53E5-43F6-935D-28E090B64FB7}"/>
            </c:ext>
          </c:extLst>
        </c:ser>
        <c:ser>
          <c:idx val="0"/>
          <c:order val="5"/>
          <c:tx>
            <c:v>Monitoring Data</c:v>
          </c:tx>
          <c:spPr>
            <a:ln w="28575" cap="rnd">
              <a:solidFill>
                <a:schemeClr val="tx1"/>
              </a:solidFill>
              <a:round/>
            </a:ln>
            <a:effectLst/>
          </c:spPr>
          <c:marker>
            <c:symbol val="none"/>
          </c:marker>
          <c:xVal>
            <c:numRef>
              <c:f>'Data Summary'!$F$22:$O$22</c:f>
              <c:numCache>
                <c:formatCode>General</c:formatCode>
                <c:ptCount val="10"/>
                <c:pt idx="0">
                  <c:v>#N/A</c:v>
                </c:pt>
                <c:pt idx="1">
                  <c:v>#N/A</c:v>
                </c:pt>
                <c:pt idx="2">
                  <c:v>#N/A</c:v>
                </c:pt>
                <c:pt idx="3">
                  <c:v>#N/A</c:v>
                </c:pt>
                <c:pt idx="4">
                  <c:v>#N/A</c:v>
                </c:pt>
                <c:pt idx="5">
                  <c:v>#N/A</c:v>
                </c:pt>
                <c:pt idx="6">
                  <c:v>#N/A</c:v>
                </c:pt>
                <c:pt idx="7">
                  <c:v>#N/A</c:v>
                </c:pt>
                <c:pt idx="8">
                  <c:v>#N/A</c:v>
                </c:pt>
                <c:pt idx="9">
                  <c:v>#N/A</c:v>
                </c:pt>
              </c:numCache>
            </c:numRef>
          </c:xVal>
          <c:yVal>
            <c:numRef>
              <c:f>'Data Summary'!$F$28:$O$28</c:f>
              <c:numCache>
                <c:formatCode>0.00</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4-53E5-43F6-935D-28E090B64FB7}"/>
            </c:ext>
          </c:extLst>
        </c:ser>
        <c:dLbls>
          <c:showLegendKey val="0"/>
          <c:showVal val="0"/>
          <c:showCatName val="0"/>
          <c:showSerName val="0"/>
          <c:showPercent val="0"/>
          <c:showBubbleSize val="0"/>
        </c:dLbls>
        <c:axId val="379432920"/>
        <c:axId val="379432528"/>
      </c:scatterChart>
      <c:valAx>
        <c:axId val="379432920"/>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Monitoring Year</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79432528"/>
        <c:crosses val="autoZero"/>
        <c:crossBetween val="midCat"/>
      </c:valAx>
      <c:valAx>
        <c:axId val="37943252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Condition Score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7943292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Daily Average Turbidity</a:t>
            </a:r>
          </a:p>
        </c:rich>
      </c:tx>
      <c:layout>
        <c:manualLayout>
          <c:xMode val="edge"/>
          <c:yMode val="edge"/>
          <c:x val="0.28265679493585688"/>
          <c:y val="1.5667968002206493E-2"/>
        </c:manualLayout>
      </c:layout>
      <c:overlay val="0"/>
      <c:spPr>
        <a:solidFill>
          <a:sysClr val="window" lastClr="FFFFFF"/>
        </a:solid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197240542752902E-2"/>
          <c:y val="9.3141937954091245E-2"/>
          <c:w val="0.83139173807186462"/>
          <c:h val="0.7791487548364594"/>
        </c:manualLayout>
      </c:layout>
      <c:scatterChart>
        <c:scatterStyle val="lineMarker"/>
        <c:varyColors val="0"/>
        <c:ser>
          <c:idx val="0"/>
          <c:order val="0"/>
          <c:tx>
            <c:strRef>
              <c:f>'Reference Curves'!$Z$41</c:f>
              <c:strCache>
                <c:ptCount val="1"/>
                <c:pt idx="0">
                  <c:v>Field Value</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0.1"/>
            <c:dispRSqr val="0"/>
            <c:dispEq val="1"/>
            <c:trendlineLbl>
              <c:layout>
                <c:manualLayout>
                  <c:x val="-0.1802869968085711"/>
                  <c:y val="-0.41420537503677918"/>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lumMod val="75000"/>
                        </a:schemeClr>
                      </a:solidFill>
                      <a:latin typeface="+mn-lt"/>
                      <a:ea typeface="+mn-ea"/>
                      <a:cs typeface="+mn-cs"/>
                    </a:defRPr>
                  </a:pPr>
                  <a:endParaRPr lang="en-US"/>
                </a:p>
              </c:txPr>
            </c:trendlineLbl>
          </c:trendline>
          <c:xVal>
            <c:numRef>
              <c:f>'Reference Curves'!$AA$41:$AE$41</c:f>
              <c:numCache>
                <c:formatCode>General</c:formatCode>
                <c:ptCount val="5"/>
                <c:pt idx="0">
                  <c:v>100</c:v>
                </c:pt>
                <c:pt idx="4">
                  <c:v>10</c:v>
                </c:pt>
              </c:numCache>
            </c:numRef>
          </c:xVal>
          <c:yVal>
            <c:numRef>
              <c:f>'Reference Curves'!$AA$42:$AE$42</c:f>
              <c:numCache>
                <c:formatCode>0.00</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D274-45BC-A86C-DB066A61759F}"/>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6130194803854608"/>
                  <c:y val="-0.1097522331218182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Curves'!$AE$41:$AF$41</c:f>
              <c:numCache>
                <c:formatCode>General</c:formatCode>
                <c:ptCount val="2"/>
                <c:pt idx="0">
                  <c:v>10</c:v>
                </c:pt>
                <c:pt idx="1">
                  <c:v>3</c:v>
                </c:pt>
              </c:numCache>
            </c:numRef>
          </c:xVal>
          <c:yVal>
            <c:numRef>
              <c:f>'Reference Curves'!$AE$42:$AF$42</c:f>
              <c:numCache>
                <c:formatCode>0.00</c:formatCode>
                <c:ptCount val="2"/>
                <c:pt idx="0">
                  <c:v>0.7</c:v>
                </c:pt>
                <c:pt idx="1">
                  <c:v>1</c:v>
                </c:pt>
              </c:numCache>
            </c:numRef>
          </c:yVal>
          <c:smooth val="0"/>
          <c:extLst>
            <c:ext xmlns:c16="http://schemas.microsoft.com/office/drawing/2014/chart" uri="{C3380CC4-5D6E-409C-BE32-E72D297353CC}">
              <c16:uniqueId val="{00000002-09C2-4FC3-B2FF-8B0BC8557903}"/>
            </c:ext>
          </c:extLst>
        </c:ser>
        <c:dLbls>
          <c:showLegendKey val="0"/>
          <c:showVal val="0"/>
          <c:showCatName val="0"/>
          <c:showSerName val="0"/>
          <c:showPercent val="0"/>
          <c:showBubbleSize val="0"/>
        </c:dLbls>
        <c:axId val="415021312"/>
        <c:axId val="415018960"/>
      </c:scatterChart>
      <c:valAx>
        <c:axId val="415021312"/>
        <c:scaling>
          <c:orientation val="minMax"/>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(O/E)</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5018960"/>
        <c:crosses val="autoZero"/>
        <c:crossBetween val="midCat"/>
      </c:valAx>
      <c:valAx>
        <c:axId val="41501896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502131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Bank Height Ratio (BHR)</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Falling Limb</c:v>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0.21000000000000002"/>
            <c:dispRSqr val="0"/>
            <c:dispEq val="1"/>
            <c:trendlineLbl>
              <c:layout>
                <c:manualLayout>
                  <c:x val="-3.1603005399861793E-2"/>
                  <c:y val="-0.52043967270912739"/>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Curves'!$K$9:$P$9</c:f>
              <c:numCache>
                <c:formatCode>0.00</c:formatCode>
                <c:ptCount val="6"/>
                <c:pt idx="2">
                  <c:v>1.5</c:v>
                </c:pt>
                <c:pt idx="5">
                  <c:v>1</c:v>
                </c:pt>
              </c:numCache>
            </c:numRef>
          </c:xVal>
          <c:yVal>
            <c:numRef>
              <c:f>'Reference Curves'!$K$10:$P$10</c:f>
              <c:numCache>
                <c:formatCode>0.00</c:formatCode>
                <c:ptCount val="6"/>
                <c:pt idx="0">
                  <c:v>0</c:v>
                </c:pt>
                <c:pt idx="1">
                  <c:v>0.2</c:v>
                </c:pt>
                <c:pt idx="2">
                  <c:v>0.3</c:v>
                </c:pt>
                <c:pt idx="3">
                  <c:v>0.69</c:v>
                </c:pt>
                <c:pt idx="4">
                  <c:v>0.7</c:v>
                </c:pt>
                <c:pt idx="5">
                  <c:v>1</c:v>
                </c:pt>
              </c:numCache>
            </c:numRef>
          </c:yVal>
          <c:smooth val="0"/>
          <c:extLst>
            <c:ext xmlns:c16="http://schemas.microsoft.com/office/drawing/2014/chart" uri="{C3380CC4-5D6E-409C-BE32-E72D297353CC}">
              <c16:uniqueId val="{00000000-C266-4796-88E9-230BE821F3E6}"/>
            </c:ext>
          </c:extLst>
        </c:ser>
        <c:dLbls>
          <c:showLegendKey val="0"/>
          <c:showVal val="0"/>
          <c:showCatName val="0"/>
          <c:showSerName val="0"/>
          <c:showPercent val="0"/>
          <c:showBubbleSize val="0"/>
        </c:dLbls>
        <c:axId val="379426648"/>
        <c:axId val="379433704"/>
      </c:scatterChart>
      <c:valAx>
        <c:axId val="379426648"/>
        <c:scaling>
          <c:orientation val="minMax"/>
          <c:max val="1.8"/>
          <c:min val="0.8"/>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79433704"/>
        <c:crosses val="autoZero"/>
        <c:crossBetween val="midCat"/>
      </c:valAx>
      <c:valAx>
        <c:axId val="37943370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layout>
            <c:manualLayout>
              <c:xMode val="edge"/>
              <c:yMode val="edge"/>
              <c:x val="2.5144911728220403E-2"/>
              <c:y val="0.3955178180195148"/>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794266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ER</a:t>
            </a:r>
            <a:r>
              <a:rPr lang="en-US" sz="1600" baseline="0"/>
              <a:t> for C Streams</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backward val="1"/>
            <c:dispRSqr val="0"/>
            <c:dispEq val="1"/>
            <c:trendlineLbl>
              <c:layout>
                <c:manualLayout>
                  <c:x val="0.13601790980977305"/>
                  <c:y val="0.16682413040130759"/>
                </c:manualLayout>
              </c:layout>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aseline="0">
                        <a:solidFill>
                          <a:schemeClr val="accent1"/>
                        </a:solidFill>
                      </a:rPr>
                      <a:t>y = 1x - 1.7</a:t>
                    </a:r>
                    <a:endParaRPr lang="en-US" sz="1100">
                      <a:solidFill>
                        <a:schemeClr val="accent1"/>
                      </a:solidFill>
                    </a:endParaRPr>
                  </a:p>
                </c:rich>
              </c:tx>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Curves'!$K$42:$O$42</c:f>
              <c:numCache>
                <c:formatCode>0.0</c:formatCode>
                <c:ptCount val="5"/>
                <c:pt idx="2">
                  <c:v>2</c:v>
                </c:pt>
                <c:pt idx="4">
                  <c:v>2.4</c:v>
                </c:pt>
              </c:numCache>
            </c:numRef>
          </c:xVal>
          <c:yVal>
            <c:numRef>
              <c:f>'Reference Curves'!$K$43:$O$43</c:f>
              <c:numCache>
                <c:formatCode>0.00</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0-1EEA-4BDA-8E2E-1D9F09529777}"/>
            </c:ext>
          </c:extLst>
        </c:ser>
        <c:ser>
          <c:idx val="1"/>
          <c:order val="1"/>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1.5779385800315841E-2"/>
                  <c:y val="0.14864414216354707"/>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Curves'!$O$42:$P$42</c:f>
              <c:numCache>
                <c:formatCode>0.0</c:formatCode>
                <c:ptCount val="2"/>
                <c:pt idx="0">
                  <c:v>2.4</c:v>
                </c:pt>
                <c:pt idx="1">
                  <c:v>4.4000000000000004</c:v>
                </c:pt>
              </c:numCache>
            </c:numRef>
          </c:xVal>
          <c:yVal>
            <c:numRef>
              <c:f>'Reference Curves'!$O$43:$P$43</c:f>
              <c:numCache>
                <c:formatCode>0.00</c:formatCode>
                <c:ptCount val="2"/>
                <c:pt idx="0">
                  <c:v>0.7</c:v>
                </c:pt>
                <c:pt idx="1">
                  <c:v>1</c:v>
                </c:pt>
              </c:numCache>
            </c:numRef>
          </c:yVal>
          <c:smooth val="0"/>
          <c:extLst>
            <c:ext xmlns:c16="http://schemas.microsoft.com/office/drawing/2014/chart" uri="{C3380CC4-5D6E-409C-BE32-E72D297353CC}">
              <c16:uniqueId val="{00000000-FBB7-4035-A17D-E0D766088381}"/>
            </c:ext>
          </c:extLst>
        </c:ser>
        <c:dLbls>
          <c:showLegendKey val="0"/>
          <c:showVal val="0"/>
          <c:showCatName val="0"/>
          <c:showSerName val="0"/>
          <c:showPercent val="0"/>
          <c:showBubbleSize val="0"/>
        </c:dLbls>
        <c:axId val="412058704"/>
        <c:axId val="412055960"/>
      </c:scatterChart>
      <c:valAx>
        <c:axId val="412058704"/>
        <c:scaling>
          <c:orientation val="minMax"/>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2055960"/>
        <c:crosses val="autoZero"/>
        <c:crossBetween val="midCat"/>
      </c:valAx>
      <c:valAx>
        <c:axId val="41205596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20587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ER for B Stream Types</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NF &amp; FAR</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1"/>
            <c:trendlineLbl>
              <c:layout>
                <c:manualLayout>
                  <c:x val="0.20406871912163682"/>
                  <c:y val="0.11618080302965646"/>
                </c:manualLayout>
              </c:layout>
              <c:numFmt formatCode="#,##0.000" sourceLinked="0"/>
              <c:spPr>
                <a:noFill/>
                <a:ln>
                  <a:noFill/>
                </a:ln>
                <a:effectLst/>
              </c:spPr>
              <c:txPr>
                <a:bodyPr rot="0" spcFirstLastPara="1" vertOverflow="ellipsis" vert="horz" wrap="square" anchor="ctr" anchorCtr="1"/>
                <a:lstStyle/>
                <a:p>
                  <a:pPr>
                    <a:defRPr sz="1100" b="0" i="0" u="none" strike="noStrike" kern="1200" baseline="0">
                      <a:solidFill>
                        <a:schemeClr val="accent1"/>
                      </a:solidFill>
                      <a:latin typeface="+mn-lt"/>
                      <a:ea typeface="+mn-ea"/>
                      <a:cs typeface="+mn-cs"/>
                    </a:defRPr>
                  </a:pPr>
                  <a:endParaRPr lang="en-US"/>
                </a:p>
              </c:txPr>
            </c:trendlineLbl>
          </c:trendline>
          <c:xVal>
            <c:numRef>
              <c:f>'Reference Curves'!$K$112:$O$112</c:f>
              <c:numCache>
                <c:formatCode>0.0</c:formatCode>
                <c:ptCount val="5"/>
                <c:pt idx="0">
                  <c:v>1</c:v>
                </c:pt>
                <c:pt idx="4">
                  <c:v>1.4</c:v>
                </c:pt>
              </c:numCache>
            </c:numRef>
          </c:xVal>
          <c:yVal>
            <c:numRef>
              <c:f>'Reference Curves'!$K$113:$O$113</c:f>
              <c:numCache>
                <c:formatCode>0.00</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0-B511-473E-8345-F7FDAF1C4433}"/>
            </c:ext>
          </c:extLst>
        </c:ser>
        <c:ser>
          <c:idx val="1"/>
          <c:order val="1"/>
          <c:tx>
            <c:v>Functioning</c:v>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14651335609413541"/>
                  <c:y val="5.3232460432122049E-3"/>
                </c:manualLayout>
              </c:layout>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aseline="0">
                        <a:solidFill>
                          <a:schemeClr val="accent2"/>
                        </a:solidFill>
                      </a:rPr>
                      <a:t>y = 0.375x + 0.175</a:t>
                    </a:r>
                    <a:endParaRPr lang="en-US" sz="1100">
                      <a:solidFill>
                        <a:schemeClr val="accent2"/>
                      </a:solidFill>
                    </a:endParaRPr>
                  </a:p>
                </c:rich>
              </c:tx>
              <c:numFmt formatCode="#,##0.0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rendlineLbl>
          </c:trendline>
          <c:xVal>
            <c:numRef>
              <c:f>'Reference Curves'!$O$112:$P$112</c:f>
              <c:numCache>
                <c:formatCode>0.0</c:formatCode>
                <c:ptCount val="2"/>
                <c:pt idx="0">
                  <c:v>1.4</c:v>
                </c:pt>
                <c:pt idx="1">
                  <c:v>2.2000000000000002</c:v>
                </c:pt>
              </c:numCache>
            </c:numRef>
          </c:xVal>
          <c:yVal>
            <c:numRef>
              <c:f>'Reference Curves'!$O$113:$P$113</c:f>
              <c:numCache>
                <c:formatCode>0.00</c:formatCode>
                <c:ptCount val="2"/>
                <c:pt idx="0">
                  <c:v>0.7</c:v>
                </c:pt>
                <c:pt idx="1">
                  <c:v>1</c:v>
                </c:pt>
              </c:numCache>
            </c:numRef>
          </c:yVal>
          <c:smooth val="0"/>
          <c:extLst>
            <c:ext xmlns:c16="http://schemas.microsoft.com/office/drawing/2014/chart" uri="{C3380CC4-5D6E-409C-BE32-E72D297353CC}">
              <c16:uniqueId val="{00000000-EF40-4FA8-8C0D-00C8C3EA5E04}"/>
            </c:ext>
          </c:extLst>
        </c:ser>
        <c:dLbls>
          <c:showLegendKey val="0"/>
          <c:showVal val="0"/>
          <c:showCatName val="0"/>
          <c:showSerName val="0"/>
          <c:showPercent val="0"/>
          <c:showBubbleSize val="0"/>
        </c:dLbls>
        <c:axId val="412059096"/>
        <c:axId val="412055568"/>
      </c:scatterChart>
      <c:valAx>
        <c:axId val="412059096"/>
        <c:scaling>
          <c:orientation val="minMax"/>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2055568"/>
        <c:crosses val="autoZero"/>
        <c:crossBetween val="midCat"/>
      </c:valAx>
      <c:valAx>
        <c:axId val="41205556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20590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LWD Frequency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474473493255027"/>
          <c:y val="9.9909495774595902E-2"/>
          <c:w val="0.59694352385034188"/>
          <c:h val="0.7771814392314077"/>
        </c:manualLayout>
      </c:layout>
      <c:scatterChart>
        <c:scatterStyle val="lineMarker"/>
        <c:varyColors val="0"/>
        <c:ser>
          <c:idx val="0"/>
          <c:order val="0"/>
          <c:tx>
            <c:strRef>
              <c:f>'Reference Curves'!$R$9</c:f>
              <c:strCache>
                <c:ptCount val="1"/>
                <c:pt idx="0">
                  <c:v>Alaska Range</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0.20694483932155633"/>
                  <c:y val="0.27831544635848282"/>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Curves'!$S$9:$W$9</c:f>
              <c:numCache>
                <c:formatCode>0.0</c:formatCode>
                <c:ptCount val="5"/>
                <c:pt idx="0">
                  <c:v>0</c:v>
                </c:pt>
                <c:pt idx="2">
                  <c:v>0.8</c:v>
                </c:pt>
                <c:pt idx="4">
                  <c:v>1.5</c:v>
                </c:pt>
              </c:numCache>
            </c:numRef>
          </c:xVal>
          <c:yVal>
            <c:numRef>
              <c:f>'Reference Curves'!$S$11:$W$11</c:f>
              <c:numCache>
                <c:formatCode>0.00</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0-7D9C-4895-B98E-45CEF21B931D}"/>
            </c:ext>
          </c:extLst>
        </c:ser>
        <c:ser>
          <c:idx val="1"/>
          <c:order val="1"/>
          <c:tx>
            <c:strRef>
              <c:f>'Reference Curves'!$R$10</c:f>
              <c:strCache>
                <c:ptCount val="1"/>
                <c:pt idx="0">
                  <c:v>Brooks Range</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1"/>
            <c:trendlineLbl>
              <c:layout>
                <c:manualLayout>
                  <c:x val="0.2392799704655495"/>
                  <c:y val="0.11169986109393669"/>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Curves'!$S$10:$W$10</c:f>
              <c:numCache>
                <c:formatCode>0.0</c:formatCode>
                <c:ptCount val="5"/>
                <c:pt idx="0">
                  <c:v>0</c:v>
                </c:pt>
                <c:pt idx="2">
                  <c:v>0.62</c:v>
                </c:pt>
                <c:pt idx="4">
                  <c:v>1.2</c:v>
                </c:pt>
              </c:numCache>
            </c:numRef>
          </c:xVal>
          <c:yVal>
            <c:numRef>
              <c:f>'Reference Curves'!$S$11:$W$11</c:f>
              <c:numCache>
                <c:formatCode>0.00</c:formatCode>
                <c:ptCount val="5"/>
                <c:pt idx="0">
                  <c:v>0</c:v>
                </c:pt>
                <c:pt idx="1">
                  <c:v>0.28999999999999998</c:v>
                </c:pt>
                <c:pt idx="2">
                  <c:v>0.3</c:v>
                </c:pt>
                <c:pt idx="3">
                  <c:v>0.69</c:v>
                </c:pt>
                <c:pt idx="4">
                  <c:v>0.7</c:v>
                </c:pt>
              </c:numCache>
            </c:numRef>
          </c:yVal>
          <c:smooth val="0"/>
          <c:extLst>
            <c:ext xmlns:c16="http://schemas.microsoft.com/office/drawing/2014/chart" uri="{C3380CC4-5D6E-409C-BE32-E72D297353CC}">
              <c16:uniqueId val="{00000001-2777-4E45-B140-67A5ECEFF695}"/>
            </c:ext>
          </c:extLst>
        </c:ser>
        <c:ser>
          <c:idx val="4"/>
          <c:order val="2"/>
          <c:tx>
            <c:strRef>
              <c:f>'Reference Curves'!$R$9</c:f>
              <c:strCache>
                <c:ptCount val="1"/>
                <c:pt idx="0">
                  <c:v>Alaska Range</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1"/>
            <c:trendlineLbl>
              <c:layout>
                <c:manualLayout>
                  <c:x val="-9.6750786100137463E-3"/>
                  <c:y val="0.16407353431196109"/>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5"/>
                      </a:solidFill>
                      <a:latin typeface="+mn-lt"/>
                      <a:ea typeface="+mn-ea"/>
                      <a:cs typeface="+mn-cs"/>
                    </a:defRPr>
                  </a:pPr>
                  <a:endParaRPr lang="en-US"/>
                </a:p>
              </c:txPr>
            </c:trendlineLbl>
          </c:trendline>
          <c:xVal>
            <c:numRef>
              <c:f>'Reference Curves'!$W$9:$X$9</c:f>
              <c:numCache>
                <c:formatCode>0.0</c:formatCode>
                <c:ptCount val="2"/>
                <c:pt idx="0">
                  <c:v>1.5</c:v>
                </c:pt>
                <c:pt idx="1">
                  <c:v>6.3</c:v>
                </c:pt>
              </c:numCache>
            </c:numRef>
          </c:xVal>
          <c:yVal>
            <c:numRef>
              <c:f>'Reference Curves'!$W$11:$X$11</c:f>
              <c:numCache>
                <c:formatCode>0.00</c:formatCode>
                <c:ptCount val="2"/>
                <c:pt idx="0">
                  <c:v>0.7</c:v>
                </c:pt>
                <c:pt idx="1">
                  <c:v>1</c:v>
                </c:pt>
              </c:numCache>
            </c:numRef>
          </c:yVal>
          <c:smooth val="0"/>
          <c:extLst>
            <c:ext xmlns:c16="http://schemas.microsoft.com/office/drawing/2014/chart" uri="{C3380CC4-5D6E-409C-BE32-E72D297353CC}">
              <c16:uniqueId val="{00000005-02FF-4C44-A0BE-CBE0A2F8DCC8}"/>
            </c:ext>
          </c:extLst>
        </c:ser>
        <c:ser>
          <c:idx val="3"/>
          <c:order val="3"/>
          <c:tx>
            <c:strRef>
              <c:f>'Reference Curves'!$R$10</c:f>
              <c:strCache>
                <c:ptCount val="1"/>
                <c:pt idx="0">
                  <c:v>Brooks Range</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1"/>
            <c:trendlineLbl>
              <c:layout>
                <c:manualLayout>
                  <c:x val="-2.9806880338797491E-2"/>
                  <c:y val="-8.3235465608924603E-3"/>
                </c:manualLayout>
              </c:layout>
              <c:numFmt formatCode="#,##0.000000" sourceLinked="0"/>
              <c:spPr>
                <a:noFill/>
                <a:ln>
                  <a:noFill/>
                </a:ln>
                <a:effectLst/>
              </c:spPr>
              <c:txPr>
                <a:bodyPr rot="0" spcFirstLastPara="1" vertOverflow="ellipsis" vert="horz" wrap="square" anchor="ctr" anchorCtr="1"/>
                <a:lstStyle/>
                <a:p>
                  <a:pPr>
                    <a:defRPr sz="1100" b="0" i="0" u="none" strike="noStrike" kern="1200" baseline="0">
                      <a:solidFill>
                        <a:schemeClr val="accent4"/>
                      </a:solidFill>
                      <a:latin typeface="+mn-lt"/>
                      <a:ea typeface="+mn-ea"/>
                      <a:cs typeface="+mn-cs"/>
                    </a:defRPr>
                  </a:pPr>
                  <a:endParaRPr lang="en-US"/>
                </a:p>
              </c:txPr>
            </c:trendlineLbl>
          </c:trendline>
          <c:xVal>
            <c:numRef>
              <c:f>'Reference Curves'!$W$10:$X$10</c:f>
              <c:numCache>
                <c:formatCode>0.0</c:formatCode>
                <c:ptCount val="2"/>
                <c:pt idx="0">
                  <c:v>1.2</c:v>
                </c:pt>
                <c:pt idx="1">
                  <c:v>4.2</c:v>
                </c:pt>
              </c:numCache>
            </c:numRef>
          </c:xVal>
          <c:yVal>
            <c:numRef>
              <c:f>'Reference Curves'!$W$11:$X$11</c:f>
              <c:numCache>
                <c:formatCode>0.00</c:formatCode>
                <c:ptCount val="2"/>
                <c:pt idx="0">
                  <c:v>0.7</c:v>
                </c:pt>
                <c:pt idx="1">
                  <c:v>1</c:v>
                </c:pt>
              </c:numCache>
            </c:numRef>
          </c:yVal>
          <c:smooth val="0"/>
          <c:extLst>
            <c:ext xmlns:c16="http://schemas.microsoft.com/office/drawing/2014/chart" uri="{C3380CC4-5D6E-409C-BE32-E72D297353CC}">
              <c16:uniqueId val="{00000004-02FF-4C44-A0BE-CBE0A2F8DCC8}"/>
            </c:ext>
          </c:extLst>
        </c:ser>
        <c:dLbls>
          <c:showLegendKey val="0"/>
          <c:showVal val="0"/>
          <c:showCatName val="0"/>
          <c:showSerName val="0"/>
          <c:showPercent val="0"/>
          <c:showBubbleSize val="0"/>
        </c:dLbls>
        <c:axId val="412060272"/>
        <c:axId val="412056352"/>
      </c:scatterChart>
      <c:valAx>
        <c:axId val="4120602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a:t>
                </a:r>
                <a:r>
                  <a:rPr lang="en-US" sz="1100" baseline="0"/>
                  <a:t> Value (#/100m)</a:t>
                </a:r>
                <a:endParaRPr lang="en-US" sz="1100"/>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056352"/>
        <c:crosses val="autoZero"/>
        <c:crossBetween val="midCat"/>
      </c:valAx>
      <c:valAx>
        <c:axId val="41205635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a:t>
                </a:r>
                <a:r>
                  <a:rPr lang="en-US" sz="1100" baseline="0"/>
                  <a:t> Value</a:t>
                </a:r>
                <a:endParaRPr lang="en-US" sz="1100"/>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060272"/>
        <c:crosses val="autoZero"/>
        <c:crossBetween val="midCat"/>
      </c:valAx>
      <c:spPr>
        <a:noFill/>
        <a:ln>
          <a:noFill/>
        </a:ln>
        <a:effectLst/>
      </c:spPr>
    </c:plotArea>
    <c:legend>
      <c:legendPos val="r"/>
      <c:layout>
        <c:manualLayout>
          <c:xMode val="edge"/>
          <c:yMode val="edge"/>
          <c:x val="0.70756505462227637"/>
          <c:y val="0.31801850199632509"/>
          <c:w val="0.28010591959889569"/>
          <c:h val="0.137415193383583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Pool Spacing Ratio for Bc Stream</a:t>
            </a:r>
            <a:r>
              <a:rPr lang="en-US" sz="1600" baseline="0"/>
              <a:t> Types</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2"/>
            <c:forward val="6"/>
            <c:dispRSqr val="0"/>
            <c:dispEq val="1"/>
            <c:trendlineLbl>
              <c:layout>
                <c:manualLayout>
                  <c:x val="1.9997316900289948E-2"/>
                  <c:y val="-0.29739336917113562"/>
                </c:manualLayout>
              </c:layout>
              <c:numFmt formatCode="#,##0.0000" sourceLinked="0"/>
              <c:spPr>
                <a:noFill/>
                <a:ln>
                  <a:noFill/>
                </a:ln>
                <a:effectLst/>
              </c:spPr>
              <c:txPr>
                <a:bodyPr rot="0" spcFirstLastPara="1" vertOverflow="ellipsis" vert="horz" wrap="square" anchor="ctr" anchorCtr="1"/>
                <a:lstStyle/>
                <a:p>
                  <a:pPr>
                    <a:defRPr sz="1100" b="0" i="0" u="none" strike="noStrike" kern="1200" baseline="0">
                      <a:solidFill>
                        <a:schemeClr val="accent2"/>
                      </a:solidFill>
                      <a:latin typeface="+mn-lt"/>
                      <a:ea typeface="+mn-ea"/>
                      <a:cs typeface="+mn-cs"/>
                    </a:defRPr>
                  </a:pPr>
                  <a:endParaRPr lang="en-US"/>
                </a:p>
              </c:txPr>
            </c:trendlineLbl>
          </c:trendline>
          <c:xVal>
            <c:numRef>
              <c:f>'Reference Curves'!$S$212:$X$212</c:f>
              <c:numCache>
                <c:formatCode>0.0</c:formatCode>
                <c:ptCount val="6"/>
                <c:pt idx="4">
                  <c:v>6</c:v>
                </c:pt>
                <c:pt idx="5">
                  <c:v>3.4</c:v>
                </c:pt>
              </c:numCache>
            </c:numRef>
          </c:xVal>
          <c:yVal>
            <c:numRef>
              <c:f>'Reference Curves'!$S$213:$X$213</c:f>
              <c:numCache>
                <c:formatCode>0.00</c:formatCode>
                <c:ptCount val="6"/>
                <c:pt idx="0">
                  <c:v>0</c:v>
                </c:pt>
                <c:pt idx="1">
                  <c:v>0.28999999999999998</c:v>
                </c:pt>
                <c:pt idx="2">
                  <c:v>0.3</c:v>
                </c:pt>
                <c:pt idx="3">
                  <c:v>0.69</c:v>
                </c:pt>
                <c:pt idx="4">
                  <c:v>0.7</c:v>
                </c:pt>
                <c:pt idx="5">
                  <c:v>1</c:v>
                </c:pt>
              </c:numCache>
            </c:numRef>
          </c:yVal>
          <c:smooth val="0"/>
          <c:extLst>
            <c:ext xmlns:c16="http://schemas.microsoft.com/office/drawing/2014/chart" uri="{C3380CC4-5D6E-409C-BE32-E72D297353CC}">
              <c16:uniqueId val="{00000001-2D8B-439A-A86A-F9817A30EAA5}"/>
            </c:ext>
          </c:extLst>
        </c:ser>
        <c:dLbls>
          <c:showLegendKey val="0"/>
          <c:showVal val="0"/>
          <c:showCatName val="0"/>
          <c:showSerName val="0"/>
          <c:showPercent val="0"/>
          <c:showBubbleSize val="0"/>
        </c:dLbls>
        <c:axId val="412057136"/>
        <c:axId val="412056744"/>
      </c:scatterChart>
      <c:valAx>
        <c:axId val="4120571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Field Value (Ratio)</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2056744"/>
        <c:crosses val="autoZero"/>
        <c:crossBetween val="midCat"/>
      </c:valAx>
      <c:valAx>
        <c:axId val="41205674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Index Value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120571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3" Type="http://schemas.openxmlformats.org/officeDocument/2006/relationships/chart" Target="../charts/chart17.xml"/><Relationship Id="rId18" Type="http://schemas.openxmlformats.org/officeDocument/2006/relationships/chart" Target="../charts/chart22.xml"/><Relationship Id="rId26" Type="http://schemas.openxmlformats.org/officeDocument/2006/relationships/chart" Target="../charts/chart30.xml"/><Relationship Id="rId3" Type="http://schemas.openxmlformats.org/officeDocument/2006/relationships/chart" Target="../charts/chart7.xml"/><Relationship Id="rId21" Type="http://schemas.openxmlformats.org/officeDocument/2006/relationships/chart" Target="../charts/chart25.xml"/><Relationship Id="rId34" Type="http://schemas.openxmlformats.org/officeDocument/2006/relationships/chart" Target="../charts/chart38.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5" Type="http://schemas.openxmlformats.org/officeDocument/2006/relationships/chart" Target="../charts/chart29.xml"/><Relationship Id="rId33" Type="http://schemas.openxmlformats.org/officeDocument/2006/relationships/chart" Target="../charts/chart37.xml"/><Relationship Id="rId2" Type="http://schemas.openxmlformats.org/officeDocument/2006/relationships/chart" Target="../charts/chart6.xml"/><Relationship Id="rId16" Type="http://schemas.openxmlformats.org/officeDocument/2006/relationships/chart" Target="../charts/chart20.xml"/><Relationship Id="rId20" Type="http://schemas.openxmlformats.org/officeDocument/2006/relationships/chart" Target="../charts/chart24.xml"/><Relationship Id="rId29" Type="http://schemas.openxmlformats.org/officeDocument/2006/relationships/chart" Target="../charts/chart33.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24" Type="http://schemas.openxmlformats.org/officeDocument/2006/relationships/chart" Target="../charts/chart28.xml"/><Relationship Id="rId32" Type="http://schemas.openxmlformats.org/officeDocument/2006/relationships/chart" Target="../charts/chart36.xml"/><Relationship Id="rId5" Type="http://schemas.openxmlformats.org/officeDocument/2006/relationships/chart" Target="../charts/chart9.xml"/><Relationship Id="rId15" Type="http://schemas.openxmlformats.org/officeDocument/2006/relationships/chart" Target="../charts/chart19.xml"/><Relationship Id="rId23" Type="http://schemas.openxmlformats.org/officeDocument/2006/relationships/chart" Target="../charts/chart27.xml"/><Relationship Id="rId28" Type="http://schemas.openxmlformats.org/officeDocument/2006/relationships/chart" Target="../charts/chart32.xml"/><Relationship Id="rId36" Type="http://schemas.openxmlformats.org/officeDocument/2006/relationships/chart" Target="../charts/chart40.xml"/><Relationship Id="rId10" Type="http://schemas.openxmlformats.org/officeDocument/2006/relationships/chart" Target="../charts/chart14.xml"/><Relationship Id="rId19" Type="http://schemas.openxmlformats.org/officeDocument/2006/relationships/chart" Target="../charts/chart23.xml"/><Relationship Id="rId31" Type="http://schemas.openxmlformats.org/officeDocument/2006/relationships/chart" Target="../charts/chart35.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 Id="rId22" Type="http://schemas.openxmlformats.org/officeDocument/2006/relationships/chart" Target="../charts/chart26.xml"/><Relationship Id="rId27" Type="http://schemas.openxmlformats.org/officeDocument/2006/relationships/chart" Target="../charts/chart31.xml"/><Relationship Id="rId30" Type="http://schemas.openxmlformats.org/officeDocument/2006/relationships/chart" Target="../charts/chart34.xml"/><Relationship Id="rId35" Type="http://schemas.openxmlformats.org/officeDocument/2006/relationships/chart" Target="../charts/chart39.xml"/><Relationship Id="rId8"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6</xdr:col>
      <xdr:colOff>48185</xdr:colOff>
      <xdr:row>7</xdr:row>
      <xdr:rowOff>17369</xdr:rowOff>
    </xdr:from>
    <xdr:to>
      <xdr:col>11</xdr:col>
      <xdr:colOff>533400</xdr:colOff>
      <xdr:row>16</xdr:row>
      <xdr:rowOff>187138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953560" y="1207994"/>
          <a:ext cx="3704665" cy="18842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Expand</a:t>
          </a:r>
          <a:r>
            <a:rPr lang="en-US" sz="1100" baseline="0"/>
            <a:t> on the programmatic goals of this project:</a:t>
          </a:r>
        </a:p>
        <a:p>
          <a:endParaRPr lang="en-US" sz="1100"/>
        </a:p>
      </xdr:txBody>
    </xdr:sp>
    <xdr:clientData/>
  </xdr:twoCellAnchor>
  <xdr:twoCellAnchor>
    <xdr:from>
      <xdr:col>6</xdr:col>
      <xdr:colOff>34925</xdr:colOff>
      <xdr:row>17</xdr:row>
      <xdr:rowOff>24092</xdr:rowOff>
    </xdr:from>
    <xdr:to>
      <xdr:col>11</xdr:col>
      <xdr:colOff>533401</xdr:colOff>
      <xdr:row>25</xdr:row>
      <xdr:rowOff>43142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940300" y="3119717"/>
          <a:ext cx="3717926"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Explain the restoration</a:t>
          </a:r>
          <a:r>
            <a:rPr lang="en-US" sz="1100" baseline="0"/>
            <a:t> potential of this project based on the programmatic goals (based on catchment assessment form):</a:t>
          </a:r>
        </a:p>
        <a:p>
          <a:endParaRPr lang="en-US" sz="1100"/>
        </a:p>
      </xdr:txBody>
    </xdr:sp>
    <xdr:clientData/>
  </xdr:twoCellAnchor>
  <xdr:twoCellAnchor>
    <xdr:from>
      <xdr:col>6</xdr:col>
      <xdr:colOff>47624</xdr:colOff>
      <xdr:row>25</xdr:row>
      <xdr:rowOff>95248</xdr:rowOff>
    </xdr:from>
    <xdr:to>
      <xdr:col>11</xdr:col>
      <xdr:colOff>523875</xdr:colOff>
      <xdr:row>34</xdr:row>
      <xdr:rowOff>142874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952999" y="4695823"/>
          <a:ext cx="3695701" cy="1771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Explain </a:t>
          </a:r>
          <a:r>
            <a:rPr lang="en-US" sz="1100" baseline="0"/>
            <a:t>the goals and objectives for this project:</a:t>
          </a:r>
        </a:p>
        <a:p>
          <a:endParaRPr lang="en-US" sz="1100"/>
        </a:p>
        <a:p>
          <a:r>
            <a:rPr lang="en-US" sz="1100"/>
            <a:t>Goals:</a:t>
          </a:r>
          <a:r>
            <a:rPr lang="en-US" sz="1100" baseline="0"/>
            <a:t> </a:t>
          </a:r>
        </a:p>
        <a:p>
          <a:endParaRPr lang="en-US" sz="1100" baseline="0"/>
        </a:p>
        <a:p>
          <a:r>
            <a:rPr lang="en-US" sz="1100" baseline="0"/>
            <a:t>Objectives: </a:t>
          </a:r>
          <a:endParaRPr lang="en-US" sz="1100"/>
        </a:p>
      </xdr:txBody>
    </xdr:sp>
    <xdr:clientData/>
  </xdr:twoCellAnchor>
  <xdr:twoCellAnchor>
    <xdr:from>
      <xdr:col>0</xdr:col>
      <xdr:colOff>73996</xdr:colOff>
      <xdr:row>37</xdr:row>
      <xdr:rowOff>81878</xdr:rowOff>
    </xdr:from>
    <xdr:to>
      <xdr:col>7</xdr:col>
      <xdr:colOff>78442</xdr:colOff>
      <xdr:row>40</xdr:row>
      <xdr:rowOff>107577</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73996" y="7531549"/>
          <a:ext cx="5481881" cy="56358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300" b="1"/>
            <a:t>NOTICE: </a:t>
          </a:r>
          <a:r>
            <a:rPr lang="en-US" sz="1100" baseline="0">
              <a:solidFill>
                <a:schemeClr val="dk1"/>
              </a:solidFill>
              <a:effectLst/>
              <a:latin typeface="+mn-lt"/>
              <a:ea typeface="+mn-ea"/>
              <a:cs typeface="+mn-cs"/>
            </a:rPr>
            <a:t>If you find errors or problems, please contact </a:t>
          </a:r>
          <a:r>
            <a:rPr lang="en-US" sz="1100">
              <a:solidFill>
                <a:schemeClr val="dk1"/>
              </a:solidFill>
              <a:effectLst/>
              <a:latin typeface="+mn-lt"/>
              <a:ea typeface="+mn-ea"/>
              <a:cs typeface="+mn-cs"/>
            </a:rPr>
            <a:t>USACE, Alaska District </a:t>
          </a:r>
          <a:r>
            <a:rPr lang="en-US" sz="1100" baseline="0">
              <a:solidFill>
                <a:schemeClr val="dk1"/>
              </a:solidFill>
              <a:effectLst/>
              <a:latin typeface="+mn-lt"/>
              <a:ea typeface="+mn-ea"/>
              <a:cs typeface="+mn-cs"/>
            </a:rPr>
            <a:t>at </a:t>
          </a:r>
          <a:r>
            <a:rPr lang="en-US" sz="1100" b="0" i="0">
              <a:solidFill>
                <a:schemeClr val="dk1"/>
              </a:solidFill>
              <a:effectLst/>
              <a:latin typeface="+mn-lt"/>
              <a:ea typeface="+mn-ea"/>
              <a:cs typeface="+mn-cs"/>
            </a:rPr>
            <a:t>regpagemaster@usace.army.mil</a:t>
          </a:r>
        </a:p>
      </xdr:txBody>
    </xdr:sp>
    <xdr:clientData/>
  </xdr:twoCellAnchor>
  <xdr:twoCellAnchor>
    <xdr:from>
      <xdr:col>0</xdr:col>
      <xdr:colOff>43890</xdr:colOff>
      <xdr:row>9</xdr:row>
      <xdr:rowOff>53787</xdr:rowOff>
    </xdr:from>
    <xdr:to>
      <xdr:col>4</xdr:col>
      <xdr:colOff>558800</xdr:colOff>
      <xdr:row>17</xdr:row>
      <xdr:rowOff>98611</xdr:rowOff>
    </xdr:to>
    <xdr:sp macro="" textlink="">
      <xdr:nvSpPr>
        <xdr:cNvPr id="7" name="TextBox 6">
          <a:extLst>
            <a:ext uri="{FF2B5EF4-FFF2-40B4-BE49-F238E27FC236}">
              <a16:creationId xmlns:a16="http://schemas.microsoft.com/office/drawing/2014/main" id="{22BE1E87-F535-49D8-A600-813440F7EB6D}"/>
            </a:ext>
          </a:extLst>
        </xdr:cNvPr>
        <xdr:cNvSpPr txBox="1"/>
      </xdr:nvSpPr>
      <xdr:spPr>
        <a:xfrm>
          <a:off x="43890" y="1730187"/>
          <a:ext cx="4450416" cy="1479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Describe this reach and </a:t>
          </a:r>
          <a:r>
            <a:rPr lang="en-US" sz="1100" baseline="0"/>
            <a:t>reach break criteria</a:t>
          </a:r>
          <a:r>
            <a:rPr lang="en-US" sz="1100"/>
            <a:t>:</a:t>
          </a:r>
        </a:p>
      </xdr:txBody>
    </xdr:sp>
    <xdr:clientData/>
  </xdr:twoCellAnchor>
  <xdr:twoCellAnchor>
    <xdr:from>
      <xdr:col>0</xdr:col>
      <xdr:colOff>52853</xdr:colOff>
      <xdr:row>26</xdr:row>
      <xdr:rowOff>26894</xdr:rowOff>
    </xdr:from>
    <xdr:to>
      <xdr:col>4</xdr:col>
      <xdr:colOff>567763</xdr:colOff>
      <xdr:row>34</xdr:row>
      <xdr:rowOff>143437</xdr:rowOff>
    </xdr:to>
    <xdr:sp macro="" textlink="">
      <xdr:nvSpPr>
        <xdr:cNvPr id="8" name="TextBox 7">
          <a:extLst>
            <a:ext uri="{FF2B5EF4-FFF2-40B4-BE49-F238E27FC236}">
              <a16:creationId xmlns:a16="http://schemas.microsoft.com/office/drawing/2014/main" id="{DEB559A2-E5CB-4E77-9AF0-97B28A8EC995}"/>
            </a:ext>
          </a:extLst>
        </xdr:cNvPr>
        <xdr:cNvSpPr txBox="1"/>
      </xdr:nvSpPr>
      <xdr:spPr>
        <a:xfrm>
          <a:off x="52853" y="4778188"/>
          <a:ext cx="4405592" cy="15508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Describe the rationale used to select the reference stream type: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61073</xdr:colOff>
      <xdr:row>30</xdr:row>
      <xdr:rowOff>17913</xdr:rowOff>
    </xdr:from>
    <xdr:to>
      <xdr:col>13</xdr:col>
      <xdr:colOff>181905</xdr:colOff>
      <xdr:row>51</xdr:row>
      <xdr:rowOff>154608</xdr:rowOff>
    </xdr:to>
    <xdr:graphicFrame macro="">
      <xdr:nvGraphicFramePr>
        <xdr:cNvPr id="2" name="Chart 1">
          <a:extLst>
            <a:ext uri="{FF2B5EF4-FFF2-40B4-BE49-F238E27FC236}">
              <a16:creationId xmlns:a16="http://schemas.microsoft.com/office/drawing/2014/main" id="{B221CF4E-9ACB-4548-8EF7-6B02759BF4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53613</xdr:colOff>
      <xdr:row>52</xdr:row>
      <xdr:rowOff>54972</xdr:rowOff>
    </xdr:from>
    <xdr:to>
      <xdr:col>13</xdr:col>
      <xdr:colOff>197303</xdr:colOff>
      <xdr:row>73</xdr:row>
      <xdr:rowOff>174715</xdr:rowOff>
    </xdr:to>
    <xdr:graphicFrame macro="">
      <xdr:nvGraphicFramePr>
        <xdr:cNvPr id="3" name="Chart 2">
          <a:extLst>
            <a:ext uri="{FF2B5EF4-FFF2-40B4-BE49-F238E27FC236}">
              <a16:creationId xmlns:a16="http://schemas.microsoft.com/office/drawing/2014/main" id="{12BE19F8-07EE-4D5C-8496-D254FB984E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118110</xdr:colOff>
      <xdr:row>52</xdr:row>
      <xdr:rowOff>54155</xdr:rowOff>
    </xdr:from>
    <xdr:to>
      <xdr:col>35</xdr:col>
      <xdr:colOff>333375</xdr:colOff>
      <xdr:row>73</xdr:row>
      <xdr:rowOff>173898</xdr:rowOff>
    </xdr:to>
    <xdr:graphicFrame macro="">
      <xdr:nvGraphicFramePr>
        <xdr:cNvPr id="4" name="Chart 3">
          <a:extLst>
            <a:ext uri="{FF2B5EF4-FFF2-40B4-BE49-F238E27FC236}">
              <a16:creationId xmlns:a16="http://schemas.microsoft.com/office/drawing/2014/main" id="{5689FEB0-0CB4-49E6-A548-81C6594F58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108857</xdr:colOff>
      <xdr:row>30</xdr:row>
      <xdr:rowOff>27215</xdr:rowOff>
    </xdr:from>
    <xdr:to>
      <xdr:col>35</xdr:col>
      <xdr:colOff>336370</xdr:colOff>
      <xdr:row>51</xdr:row>
      <xdr:rowOff>183696</xdr:rowOff>
    </xdr:to>
    <xdr:graphicFrame macro="">
      <xdr:nvGraphicFramePr>
        <xdr:cNvPr id="5" name="Chart 4">
          <a:extLst>
            <a:ext uri="{FF2B5EF4-FFF2-40B4-BE49-F238E27FC236}">
              <a16:creationId xmlns:a16="http://schemas.microsoft.com/office/drawing/2014/main" id="{25FBA3C0-0791-4964-B416-81AD935357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16329</xdr:colOff>
      <xdr:row>14</xdr:row>
      <xdr:rowOff>58512</xdr:rowOff>
    </xdr:from>
    <xdr:to>
      <xdr:col>15</xdr:col>
      <xdr:colOff>771525</xdr:colOff>
      <xdr:row>38</xdr:row>
      <xdr:rowOff>57149</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26942</xdr:colOff>
      <xdr:row>49</xdr:row>
      <xdr:rowOff>12246</xdr:rowOff>
    </xdr:from>
    <xdr:to>
      <xdr:col>15</xdr:col>
      <xdr:colOff>784860</xdr:colOff>
      <xdr:row>72</xdr:row>
      <xdr:rowOff>154305</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63954</xdr:colOff>
      <xdr:row>118</xdr:row>
      <xdr:rowOff>99331</xdr:rowOff>
    </xdr:from>
    <xdr:to>
      <xdr:col>15</xdr:col>
      <xdr:colOff>742950</xdr:colOff>
      <xdr:row>141</xdr:row>
      <xdr:rowOff>114300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36587</xdr:colOff>
      <xdr:row>17</xdr:row>
      <xdr:rowOff>11346</xdr:rowOff>
    </xdr:from>
    <xdr:to>
      <xdr:col>23</xdr:col>
      <xdr:colOff>765462</xdr:colOff>
      <xdr:row>41</xdr:row>
      <xdr:rowOff>125468</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76475</xdr:colOff>
      <xdr:row>218</xdr:row>
      <xdr:rowOff>89274</xdr:rowOff>
    </xdr:from>
    <xdr:to>
      <xdr:col>23</xdr:col>
      <xdr:colOff>829235</xdr:colOff>
      <xdr:row>240</xdr:row>
      <xdr:rowOff>131296</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122464</xdr:colOff>
      <xdr:row>186</xdr:row>
      <xdr:rowOff>54428</xdr:rowOff>
    </xdr:from>
    <xdr:to>
      <xdr:col>24</xdr:col>
      <xdr:colOff>0</xdr:colOff>
      <xdr:row>208</xdr:row>
      <xdr:rowOff>133350</xdr:rowOff>
    </xdr:to>
    <xdr:graphicFrame macro="">
      <xdr:nvGraphicFramePr>
        <xdr:cNvPr id="10" name="Chart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39782</xdr:colOff>
      <xdr:row>251</xdr:row>
      <xdr:rowOff>80231</xdr:rowOff>
    </xdr:from>
    <xdr:to>
      <xdr:col>23</xdr:col>
      <xdr:colOff>687481</xdr:colOff>
      <xdr:row>274</xdr:row>
      <xdr:rowOff>80683</xdr:rowOff>
    </xdr:to>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35514</xdr:colOff>
      <xdr:row>319</xdr:row>
      <xdr:rowOff>51015</xdr:rowOff>
    </xdr:from>
    <xdr:to>
      <xdr:col>23</xdr:col>
      <xdr:colOff>703169</xdr:colOff>
      <xdr:row>342</xdr:row>
      <xdr:rowOff>1682</xdr:rowOff>
    </xdr:to>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40822</xdr:colOff>
      <xdr:row>387</xdr:row>
      <xdr:rowOff>82322</xdr:rowOff>
    </xdr:from>
    <xdr:to>
      <xdr:col>23</xdr:col>
      <xdr:colOff>704850</xdr:colOff>
      <xdr:row>410</xdr:row>
      <xdr:rowOff>104775</xdr:rowOff>
    </xdr:to>
    <xdr:graphicFrame macro="">
      <xdr:nvGraphicFramePr>
        <xdr:cNvPr id="17" name="Chart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61231</xdr:colOff>
      <xdr:row>255</xdr:row>
      <xdr:rowOff>0</xdr:rowOff>
    </xdr:from>
    <xdr:to>
      <xdr:col>24</xdr:col>
      <xdr:colOff>88446</xdr:colOff>
      <xdr:row>255</xdr:row>
      <xdr:rowOff>0</xdr:rowOff>
    </xdr:to>
    <xdr:graphicFrame macro="">
      <xdr:nvGraphicFramePr>
        <xdr:cNvPr id="18" name="Chart 17">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61232</xdr:colOff>
      <xdr:row>220</xdr:row>
      <xdr:rowOff>0</xdr:rowOff>
    </xdr:from>
    <xdr:to>
      <xdr:col>24</xdr:col>
      <xdr:colOff>88446</xdr:colOff>
      <xdr:row>220</xdr:row>
      <xdr:rowOff>0</xdr:rowOff>
    </xdr:to>
    <xdr:graphicFrame macro="">
      <xdr:nvGraphicFramePr>
        <xdr:cNvPr id="20" name="Chart 19">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142874</xdr:colOff>
      <xdr:row>112</xdr:row>
      <xdr:rowOff>0</xdr:rowOff>
    </xdr:from>
    <xdr:to>
      <xdr:col>24</xdr:col>
      <xdr:colOff>170088</xdr:colOff>
      <xdr:row>112</xdr:row>
      <xdr:rowOff>0</xdr:rowOff>
    </xdr:to>
    <xdr:graphicFrame macro="">
      <xdr:nvGraphicFramePr>
        <xdr:cNvPr id="42" name="Chart 41">
          <a:extLst>
            <a:ext uri="{FF2B5EF4-FFF2-40B4-BE49-F238E27FC236}">
              <a16:creationId xmlns:a16="http://schemas.microsoft.com/office/drawing/2014/main" id="{00000000-0008-0000-04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29936</xdr:colOff>
      <xdr:row>86</xdr:row>
      <xdr:rowOff>44223</xdr:rowOff>
    </xdr:from>
    <xdr:to>
      <xdr:col>23</xdr:col>
      <xdr:colOff>771525</xdr:colOff>
      <xdr:row>109</xdr:row>
      <xdr:rowOff>85725</xdr:rowOff>
    </xdr:to>
    <xdr:graphicFrame macro="">
      <xdr:nvGraphicFramePr>
        <xdr:cNvPr id="60" name="Chart 59">
          <a:extLst>
            <a:ext uri="{FF2B5EF4-FFF2-40B4-BE49-F238E27FC236}">
              <a16:creationId xmlns:a16="http://schemas.microsoft.com/office/drawing/2014/main" id="{00000000-0008-0000-04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1211</xdr:colOff>
      <xdr:row>421</xdr:row>
      <xdr:rowOff>89354</xdr:rowOff>
    </xdr:from>
    <xdr:to>
      <xdr:col>23</xdr:col>
      <xdr:colOff>719667</xdr:colOff>
      <xdr:row>444</xdr:row>
      <xdr:rowOff>129117</xdr:rowOff>
    </xdr:to>
    <xdr:graphicFrame macro="">
      <xdr:nvGraphicFramePr>
        <xdr:cNvPr id="57" name="Chart 56">
          <a:extLst>
            <a:ext uri="{FF2B5EF4-FFF2-40B4-BE49-F238E27FC236}">
              <a16:creationId xmlns:a16="http://schemas.microsoft.com/office/drawing/2014/main" id="{00000000-0008-0000-04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29029</xdr:colOff>
      <xdr:row>16</xdr:row>
      <xdr:rowOff>7256</xdr:rowOff>
    </xdr:from>
    <xdr:to>
      <xdr:col>7</xdr:col>
      <xdr:colOff>673101</xdr:colOff>
      <xdr:row>37</xdr:row>
      <xdr:rowOff>3175</xdr:rowOff>
    </xdr:to>
    <xdr:graphicFrame macro="">
      <xdr:nvGraphicFramePr>
        <xdr:cNvPr id="71" name="Chart 70">
          <a:extLst>
            <a:ext uri="{FF2B5EF4-FFF2-40B4-BE49-F238E27FC236}">
              <a16:creationId xmlns:a16="http://schemas.microsoft.com/office/drawing/2014/main" id="{00000000-0008-0000-04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25</xdr:col>
      <xdr:colOff>44823</xdr:colOff>
      <xdr:row>14</xdr:row>
      <xdr:rowOff>78300</xdr:rowOff>
    </xdr:from>
    <xdr:to>
      <xdr:col>31</xdr:col>
      <xdr:colOff>695325</xdr:colOff>
      <xdr:row>38</xdr:row>
      <xdr:rowOff>0</xdr:rowOff>
    </xdr:to>
    <xdr:graphicFrame macro="">
      <xdr:nvGraphicFramePr>
        <xdr:cNvPr id="77" name="Chart 76">
          <a:extLst>
            <a:ext uri="{FF2B5EF4-FFF2-40B4-BE49-F238E27FC236}">
              <a16:creationId xmlns:a16="http://schemas.microsoft.com/office/drawing/2014/main" id="{DCC4F8D7-6934-4D72-9994-F8BA3B40A5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17</xdr:col>
      <xdr:colOff>50800</xdr:colOff>
      <xdr:row>491</xdr:row>
      <xdr:rowOff>55880</xdr:rowOff>
    </xdr:from>
    <xdr:to>
      <xdr:col>24</xdr:col>
      <xdr:colOff>0</xdr:colOff>
      <xdr:row>513</xdr:row>
      <xdr:rowOff>82415</xdr:rowOff>
    </xdr:to>
    <xdr:graphicFrame macro="">
      <xdr:nvGraphicFramePr>
        <xdr:cNvPr id="80" name="Chart 79">
          <a:extLst>
            <a:ext uri="{FF2B5EF4-FFF2-40B4-BE49-F238E27FC236}">
              <a16:creationId xmlns:a16="http://schemas.microsoft.com/office/drawing/2014/main" id="{E1990C54-D9B9-49AE-8695-3E9FF5F4CB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41487</xdr:colOff>
      <xdr:row>456</xdr:row>
      <xdr:rowOff>38947</xdr:rowOff>
    </xdr:from>
    <xdr:to>
      <xdr:col>23</xdr:col>
      <xdr:colOff>676109</xdr:colOff>
      <xdr:row>479</xdr:row>
      <xdr:rowOff>55880</xdr:rowOff>
    </xdr:to>
    <xdr:graphicFrame macro="">
      <xdr:nvGraphicFramePr>
        <xdr:cNvPr id="82" name="Chart 81">
          <a:extLst>
            <a:ext uri="{FF2B5EF4-FFF2-40B4-BE49-F238E27FC236}">
              <a16:creationId xmlns:a16="http://schemas.microsoft.com/office/drawing/2014/main" id="{334D2C5D-292B-49E9-8602-01BE93DC28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17</xdr:col>
      <xdr:colOff>59530</xdr:colOff>
      <xdr:row>53</xdr:row>
      <xdr:rowOff>0</xdr:rowOff>
    </xdr:from>
    <xdr:to>
      <xdr:col>23</xdr:col>
      <xdr:colOff>785811</xdr:colOff>
      <xdr:row>76</xdr:row>
      <xdr:rowOff>143435</xdr:rowOff>
    </xdr:to>
    <xdr:graphicFrame macro="">
      <xdr:nvGraphicFramePr>
        <xdr:cNvPr id="54" name="Chart 53">
          <a:extLst>
            <a:ext uri="{FF2B5EF4-FFF2-40B4-BE49-F238E27FC236}">
              <a16:creationId xmlns:a16="http://schemas.microsoft.com/office/drawing/2014/main" id="{6E3E86B5-BE78-44D8-89F8-8162083E09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17</xdr:col>
      <xdr:colOff>152400</xdr:colOff>
      <xdr:row>151</xdr:row>
      <xdr:rowOff>76199</xdr:rowOff>
    </xdr:from>
    <xdr:to>
      <xdr:col>24</xdr:col>
      <xdr:colOff>0</xdr:colOff>
      <xdr:row>177</xdr:row>
      <xdr:rowOff>72451</xdr:rowOff>
    </xdr:to>
    <xdr:graphicFrame macro="">
      <xdr:nvGraphicFramePr>
        <xdr:cNvPr id="55" name="Chart 54">
          <a:extLst>
            <a:ext uri="{FF2B5EF4-FFF2-40B4-BE49-F238E27FC236}">
              <a16:creationId xmlns:a16="http://schemas.microsoft.com/office/drawing/2014/main" id="{26F9AE82-0E65-4EF8-B512-9EA11CE3E8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53340</xdr:colOff>
      <xdr:row>106</xdr:row>
      <xdr:rowOff>53340</xdr:rowOff>
    </xdr:from>
    <xdr:to>
      <xdr:col>7</xdr:col>
      <xdr:colOff>697412</xdr:colOff>
      <xdr:row>127</xdr:row>
      <xdr:rowOff>34019</xdr:rowOff>
    </xdr:to>
    <xdr:graphicFrame macro="">
      <xdr:nvGraphicFramePr>
        <xdr:cNvPr id="47" name="Chart 46">
          <a:extLst>
            <a:ext uri="{FF2B5EF4-FFF2-40B4-BE49-F238E27FC236}">
              <a16:creationId xmlns:a16="http://schemas.microsoft.com/office/drawing/2014/main" id="{3D0C09F9-68A7-49FE-9FE1-F9D82D9E28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70216</xdr:colOff>
      <xdr:row>522</xdr:row>
      <xdr:rowOff>114974</xdr:rowOff>
    </xdr:from>
    <xdr:to>
      <xdr:col>23</xdr:col>
      <xdr:colOff>712994</xdr:colOff>
      <xdr:row>545</xdr:row>
      <xdr:rowOff>55206</xdr:rowOff>
    </xdr:to>
    <xdr:graphicFrame macro="">
      <xdr:nvGraphicFramePr>
        <xdr:cNvPr id="48" name="Chart 47">
          <a:extLst>
            <a:ext uri="{FF2B5EF4-FFF2-40B4-BE49-F238E27FC236}">
              <a16:creationId xmlns:a16="http://schemas.microsoft.com/office/drawing/2014/main" id="{41904151-9AC4-48A3-9A4E-BCDAC9552D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62007</xdr:colOff>
      <xdr:row>117</xdr:row>
      <xdr:rowOff>35710</xdr:rowOff>
    </xdr:from>
    <xdr:to>
      <xdr:col>23</xdr:col>
      <xdr:colOff>704785</xdr:colOff>
      <xdr:row>138</xdr:row>
      <xdr:rowOff>178787</xdr:rowOff>
    </xdr:to>
    <xdr:graphicFrame macro="">
      <xdr:nvGraphicFramePr>
        <xdr:cNvPr id="49" name="Chart 48">
          <a:extLst>
            <a:ext uri="{FF2B5EF4-FFF2-40B4-BE49-F238E27FC236}">
              <a16:creationId xmlns:a16="http://schemas.microsoft.com/office/drawing/2014/main" id="{F9BD1F90-5A1E-4664-9654-B43F142FD4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17</xdr:col>
      <xdr:colOff>61232</xdr:colOff>
      <xdr:row>309</xdr:row>
      <xdr:rowOff>0</xdr:rowOff>
    </xdr:from>
    <xdr:to>
      <xdr:col>24</xdr:col>
      <xdr:colOff>88446</xdr:colOff>
      <xdr:row>309</xdr:row>
      <xdr:rowOff>0</xdr:rowOff>
    </xdr:to>
    <xdr:graphicFrame macro="">
      <xdr:nvGraphicFramePr>
        <xdr:cNvPr id="58" name="Chart 57">
          <a:extLst>
            <a:ext uri="{FF2B5EF4-FFF2-40B4-BE49-F238E27FC236}">
              <a16:creationId xmlns:a16="http://schemas.microsoft.com/office/drawing/2014/main" id="{14D891E7-EABE-4413-B29D-698616CCE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34</xdr:col>
      <xdr:colOff>67237</xdr:colOff>
      <xdr:row>49</xdr:row>
      <xdr:rowOff>67234</xdr:rowOff>
    </xdr:from>
    <xdr:to>
      <xdr:col>42</xdr:col>
      <xdr:colOff>724729</xdr:colOff>
      <xdr:row>74</xdr:row>
      <xdr:rowOff>4140</xdr:rowOff>
    </xdr:to>
    <xdr:graphicFrame macro="">
      <xdr:nvGraphicFramePr>
        <xdr:cNvPr id="66" name="Chart 65">
          <a:extLst>
            <a:ext uri="{FF2B5EF4-FFF2-40B4-BE49-F238E27FC236}">
              <a16:creationId xmlns:a16="http://schemas.microsoft.com/office/drawing/2014/main" id="{2B5E917A-6FDA-441E-911E-3BAD94702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17</xdr:col>
      <xdr:colOff>39782</xdr:colOff>
      <xdr:row>284</xdr:row>
      <xdr:rowOff>80231</xdr:rowOff>
    </xdr:from>
    <xdr:to>
      <xdr:col>23</xdr:col>
      <xdr:colOff>687481</xdr:colOff>
      <xdr:row>307</xdr:row>
      <xdr:rowOff>80683</xdr:rowOff>
    </xdr:to>
    <xdr:graphicFrame macro="">
      <xdr:nvGraphicFramePr>
        <xdr:cNvPr id="38" name="Chart 37">
          <a:extLst>
            <a:ext uri="{FF2B5EF4-FFF2-40B4-BE49-F238E27FC236}">
              <a16:creationId xmlns:a16="http://schemas.microsoft.com/office/drawing/2014/main" id="{DEB4F817-CE63-4128-B0C3-6CFF264DC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17</xdr:col>
      <xdr:colOff>61231</xdr:colOff>
      <xdr:row>288</xdr:row>
      <xdr:rowOff>0</xdr:rowOff>
    </xdr:from>
    <xdr:to>
      <xdr:col>24</xdr:col>
      <xdr:colOff>88446</xdr:colOff>
      <xdr:row>288</xdr:row>
      <xdr:rowOff>0</xdr:rowOff>
    </xdr:to>
    <xdr:graphicFrame macro="">
      <xdr:nvGraphicFramePr>
        <xdr:cNvPr id="39" name="Chart 38">
          <a:extLst>
            <a:ext uri="{FF2B5EF4-FFF2-40B4-BE49-F238E27FC236}">
              <a16:creationId xmlns:a16="http://schemas.microsoft.com/office/drawing/2014/main" id="{DF42D44C-29BA-4409-8EFD-ADC177E7E5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17</xdr:col>
      <xdr:colOff>78442</xdr:colOff>
      <xdr:row>353</xdr:row>
      <xdr:rowOff>67235</xdr:rowOff>
    </xdr:from>
    <xdr:to>
      <xdr:col>23</xdr:col>
      <xdr:colOff>742470</xdr:colOff>
      <xdr:row>376</xdr:row>
      <xdr:rowOff>89688</xdr:rowOff>
    </xdr:to>
    <xdr:graphicFrame macro="">
      <xdr:nvGraphicFramePr>
        <xdr:cNvPr id="41" name="Chart 40">
          <a:extLst>
            <a:ext uri="{FF2B5EF4-FFF2-40B4-BE49-F238E27FC236}">
              <a16:creationId xmlns:a16="http://schemas.microsoft.com/office/drawing/2014/main" id="{6ADB58B3-9EA0-48DE-96AD-21BEAA7DC8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9</xdr:col>
      <xdr:colOff>26942</xdr:colOff>
      <xdr:row>83</xdr:row>
      <xdr:rowOff>169129</xdr:rowOff>
    </xdr:from>
    <xdr:to>
      <xdr:col>16</xdr:col>
      <xdr:colOff>449</xdr:colOff>
      <xdr:row>107</xdr:row>
      <xdr:rowOff>120688</xdr:rowOff>
    </xdr:to>
    <xdr:graphicFrame macro="">
      <xdr:nvGraphicFramePr>
        <xdr:cNvPr id="37" name="Chart 36">
          <a:extLst>
            <a:ext uri="{FF2B5EF4-FFF2-40B4-BE49-F238E27FC236}">
              <a16:creationId xmlns:a16="http://schemas.microsoft.com/office/drawing/2014/main" id="{E1258758-2A2D-491D-AD56-B3ADEE9CA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34</xdr:col>
      <xdr:colOff>13446</xdr:colOff>
      <xdr:row>15</xdr:row>
      <xdr:rowOff>57150</xdr:rowOff>
    </xdr:from>
    <xdr:to>
      <xdr:col>40</xdr:col>
      <xdr:colOff>752475</xdr:colOff>
      <xdr:row>37</xdr:row>
      <xdr:rowOff>89849</xdr:rowOff>
    </xdr:to>
    <xdr:graphicFrame macro="">
      <xdr:nvGraphicFramePr>
        <xdr:cNvPr id="45" name="Chart 44">
          <a:extLst>
            <a:ext uri="{FF2B5EF4-FFF2-40B4-BE49-F238E27FC236}">
              <a16:creationId xmlns:a16="http://schemas.microsoft.com/office/drawing/2014/main" id="{177ED94A-7BBB-4C9A-9B54-39BD8F529B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34</xdr:col>
      <xdr:colOff>67237</xdr:colOff>
      <xdr:row>82</xdr:row>
      <xdr:rowOff>67234</xdr:rowOff>
    </xdr:from>
    <xdr:to>
      <xdr:col>40</xdr:col>
      <xdr:colOff>695324</xdr:colOff>
      <xdr:row>106</xdr:row>
      <xdr:rowOff>190499</xdr:rowOff>
    </xdr:to>
    <xdr:graphicFrame macro="">
      <xdr:nvGraphicFramePr>
        <xdr:cNvPr id="46" name="Chart 45">
          <a:extLst>
            <a:ext uri="{FF2B5EF4-FFF2-40B4-BE49-F238E27FC236}">
              <a16:creationId xmlns:a16="http://schemas.microsoft.com/office/drawing/2014/main" id="{7F8B4477-D177-4A8A-A2B5-53AF44C543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25</xdr:col>
      <xdr:colOff>44823</xdr:colOff>
      <xdr:row>80</xdr:row>
      <xdr:rowOff>78300</xdr:rowOff>
    </xdr:from>
    <xdr:to>
      <xdr:col>31</xdr:col>
      <xdr:colOff>733425</xdr:colOff>
      <xdr:row>104</xdr:row>
      <xdr:rowOff>0</xdr:rowOff>
    </xdr:to>
    <xdr:graphicFrame macro="">
      <xdr:nvGraphicFramePr>
        <xdr:cNvPr id="50" name="Chart 49">
          <a:extLst>
            <a:ext uri="{FF2B5EF4-FFF2-40B4-BE49-F238E27FC236}">
              <a16:creationId xmlns:a16="http://schemas.microsoft.com/office/drawing/2014/main" id="{0FBDB591-087C-42BE-905B-8613AA3E22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9</xdr:col>
      <xdr:colOff>63954</xdr:colOff>
      <xdr:row>152</xdr:row>
      <xdr:rowOff>99331</xdr:rowOff>
    </xdr:from>
    <xdr:to>
      <xdr:col>15</xdr:col>
      <xdr:colOff>742950</xdr:colOff>
      <xdr:row>175</xdr:row>
      <xdr:rowOff>114300</xdr:rowOff>
    </xdr:to>
    <xdr:graphicFrame macro="">
      <xdr:nvGraphicFramePr>
        <xdr:cNvPr id="51" name="Chart 50">
          <a:extLst>
            <a:ext uri="{FF2B5EF4-FFF2-40B4-BE49-F238E27FC236}">
              <a16:creationId xmlns:a16="http://schemas.microsoft.com/office/drawing/2014/main" id="{B052554F-69F5-421D-AE9B-E801ADB9BA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10</xdr:col>
      <xdr:colOff>72258</xdr:colOff>
      <xdr:row>159</xdr:row>
      <xdr:rowOff>65689</xdr:rowOff>
    </xdr:from>
    <xdr:to>
      <xdr:col>11</xdr:col>
      <xdr:colOff>455543</xdr:colOff>
      <xdr:row>162</xdr:row>
      <xdr:rowOff>173935</xdr:rowOff>
    </xdr:to>
    <xdr:sp macro="" textlink="">
      <xdr:nvSpPr>
        <xdr:cNvPr id="6" name="TextBox 5">
          <a:extLst>
            <a:ext uri="{FF2B5EF4-FFF2-40B4-BE49-F238E27FC236}">
              <a16:creationId xmlns:a16="http://schemas.microsoft.com/office/drawing/2014/main" id="{1294D2CF-F097-4E00-B02F-623E3127C1FB}"/>
            </a:ext>
          </a:extLst>
        </xdr:cNvPr>
        <xdr:cNvSpPr txBox="1"/>
      </xdr:nvSpPr>
      <xdr:spPr>
        <a:xfrm>
          <a:off x="8056693" y="30620232"/>
          <a:ext cx="1161850" cy="6797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Blue</a:t>
          </a:r>
          <a:r>
            <a:rPr lang="en-US" sz="1100" baseline="0"/>
            <a:t> portion of curve only used when BHR &gt;1.2</a:t>
          </a:r>
          <a:endParaRPr lang="en-US" sz="1100"/>
        </a:p>
      </xdr:txBody>
    </xdr:sp>
    <xdr:clientData/>
  </xdr:twoCellAnchor>
  <xdr:twoCellAnchor>
    <xdr:from>
      <xdr:col>1</xdr:col>
      <xdr:colOff>52841</xdr:colOff>
      <xdr:row>45</xdr:row>
      <xdr:rowOff>31069</xdr:rowOff>
    </xdr:from>
    <xdr:to>
      <xdr:col>7</xdr:col>
      <xdr:colOff>696913</xdr:colOff>
      <xdr:row>66</xdr:row>
      <xdr:rowOff>22225</xdr:rowOff>
    </xdr:to>
    <xdr:graphicFrame macro="">
      <xdr:nvGraphicFramePr>
        <xdr:cNvPr id="36" name="Chart 35">
          <a:extLst>
            <a:ext uri="{FF2B5EF4-FFF2-40B4-BE49-F238E27FC236}">
              <a16:creationId xmlns:a16="http://schemas.microsoft.com/office/drawing/2014/main" id="{03CB9C45-803B-4F9A-86DD-96AB37C3EB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52841</xdr:colOff>
      <xdr:row>76</xdr:row>
      <xdr:rowOff>31069</xdr:rowOff>
    </xdr:from>
    <xdr:to>
      <xdr:col>7</xdr:col>
      <xdr:colOff>696913</xdr:colOff>
      <xdr:row>97</xdr:row>
      <xdr:rowOff>22225</xdr:rowOff>
    </xdr:to>
    <xdr:graphicFrame macro="">
      <xdr:nvGraphicFramePr>
        <xdr:cNvPr id="40" name="Chart 39">
          <a:extLst>
            <a:ext uri="{FF2B5EF4-FFF2-40B4-BE49-F238E27FC236}">
              <a16:creationId xmlns:a16="http://schemas.microsoft.com/office/drawing/2014/main" id="{D3D9D72A-F475-4850-A1C4-C19471918F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25</xdr:col>
      <xdr:colOff>44823</xdr:colOff>
      <xdr:row>47</xdr:row>
      <xdr:rowOff>78300</xdr:rowOff>
    </xdr:from>
    <xdr:to>
      <xdr:col>31</xdr:col>
      <xdr:colOff>733425</xdr:colOff>
      <xdr:row>70</xdr:row>
      <xdr:rowOff>190500</xdr:rowOff>
    </xdr:to>
    <xdr:graphicFrame macro="">
      <xdr:nvGraphicFramePr>
        <xdr:cNvPr id="43" name="Chart 42">
          <a:extLst>
            <a:ext uri="{FF2B5EF4-FFF2-40B4-BE49-F238E27FC236}">
              <a16:creationId xmlns:a16="http://schemas.microsoft.com/office/drawing/2014/main" id="{EA96B298-AF33-4EBE-BADB-9958A8BE56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0.42904</cdr:x>
      <cdr:y>0.12204</cdr:y>
    </cdr:from>
    <cdr:to>
      <cdr:x>0.76375</cdr:x>
      <cdr:y>0.27745</cdr:y>
    </cdr:to>
    <cdr:sp macro="" textlink="">
      <cdr:nvSpPr>
        <cdr:cNvPr id="2" name="TextBox 5">
          <a:extLst xmlns:a="http://schemas.openxmlformats.org/drawingml/2006/main">
            <a:ext uri="{FF2B5EF4-FFF2-40B4-BE49-F238E27FC236}">
              <a16:creationId xmlns:a16="http://schemas.microsoft.com/office/drawing/2014/main" id="{1294D2CF-F097-4E00-B02F-623E3127C1FB}"/>
            </a:ext>
          </a:extLst>
        </cdr:cNvPr>
        <cdr:cNvSpPr txBox="1"/>
      </cdr:nvSpPr>
      <cdr:spPr>
        <a:xfrm xmlns:a="http://schemas.openxmlformats.org/drawingml/2006/main">
          <a:off x="2490693" y="508000"/>
          <a:ext cx="1943099" cy="64691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Armoring of greater than 50% will result in lateral migration</a:t>
          </a:r>
          <a:r>
            <a:rPr lang="en-US" sz="1100" baseline="0"/>
            <a:t> parameter score of 0.00.</a:t>
          </a: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X54"/>
  <sheetViews>
    <sheetView tabSelected="1" zoomScaleNormal="100" workbookViewId="0">
      <selection activeCell="A22" sqref="A22:E26"/>
    </sheetView>
  </sheetViews>
  <sheetFormatPr defaultRowHeight="15" x14ac:dyDescent="0.25"/>
  <cols>
    <col min="1" max="1" width="23.85546875" customWidth="1"/>
    <col min="2" max="3" width="11.28515625" customWidth="1"/>
    <col min="4" max="4" width="16.140625" customWidth="1"/>
    <col min="6" max="6" width="1.85546875" customWidth="1"/>
    <col min="7" max="10" width="9.85546875" customWidth="1"/>
    <col min="11" max="11" width="8.85546875" customWidth="1"/>
    <col min="12" max="12" width="8.5703125" customWidth="1"/>
    <col min="13" max="13" width="2.5703125" customWidth="1"/>
    <col min="14" max="14" width="90.140625" customWidth="1"/>
  </cols>
  <sheetData>
    <row r="1" spans="1:24" x14ac:dyDescent="0.25">
      <c r="A1" s="183" t="s">
        <v>369</v>
      </c>
      <c r="B1" s="183"/>
      <c r="G1" s="319" t="s">
        <v>340</v>
      </c>
      <c r="H1" s="320"/>
      <c r="I1" s="320"/>
      <c r="J1" s="320"/>
      <c r="K1" s="321"/>
    </row>
    <row r="2" spans="1:24" ht="15.75" x14ac:dyDescent="0.25">
      <c r="A2" s="183" t="s">
        <v>96</v>
      </c>
      <c r="B2" s="324">
        <v>44351</v>
      </c>
      <c r="G2" s="313" t="s">
        <v>339</v>
      </c>
      <c r="H2" s="314"/>
      <c r="I2" s="314"/>
      <c r="J2" s="314"/>
      <c r="K2" s="315"/>
    </row>
    <row r="3" spans="1:24" ht="9" customHeight="1" x14ac:dyDescent="0.25">
      <c r="G3" s="322"/>
      <c r="H3" s="185"/>
      <c r="I3" s="185"/>
      <c r="J3" s="185"/>
      <c r="K3" s="323"/>
    </row>
    <row r="4" spans="1:24" ht="15.75" x14ac:dyDescent="0.25">
      <c r="A4" s="1" t="s">
        <v>263</v>
      </c>
      <c r="B4" s="392"/>
      <c r="C4" s="392"/>
      <c r="D4" s="392"/>
      <c r="G4" s="316" t="s">
        <v>103</v>
      </c>
      <c r="H4" s="317"/>
      <c r="I4" s="317"/>
      <c r="J4" s="317"/>
      <c r="K4" s="318"/>
      <c r="N4" t="s">
        <v>328</v>
      </c>
    </row>
    <row r="5" spans="1:24" ht="9" customHeight="1" thickBot="1" x14ac:dyDescent="0.3">
      <c r="N5" s="303"/>
      <c r="O5" s="303"/>
      <c r="P5" s="303"/>
      <c r="Q5" s="303"/>
      <c r="R5" s="303"/>
      <c r="S5" s="303"/>
      <c r="T5" s="303"/>
      <c r="U5" s="303"/>
      <c r="V5" s="303"/>
      <c r="W5" s="303"/>
      <c r="X5" s="303"/>
    </row>
    <row r="6" spans="1:24" x14ac:dyDescent="0.25">
      <c r="A6" s="393" t="s">
        <v>122</v>
      </c>
      <c r="B6" s="394"/>
      <c r="C6" s="394"/>
      <c r="D6" s="394"/>
      <c r="E6" s="395"/>
      <c r="G6" s="393" t="s">
        <v>143</v>
      </c>
      <c r="H6" s="394"/>
      <c r="I6" s="394"/>
      <c r="J6" s="394"/>
      <c r="K6" s="394"/>
      <c r="L6" s="395"/>
      <c r="N6" s="391"/>
      <c r="O6" s="303"/>
      <c r="P6" s="303"/>
      <c r="Q6" s="303"/>
      <c r="R6" s="303"/>
      <c r="S6" s="303"/>
      <c r="T6" s="303"/>
      <c r="U6" s="303"/>
      <c r="V6" s="303"/>
      <c r="W6" s="303"/>
      <c r="X6" s="303"/>
    </row>
    <row r="7" spans="1:24" ht="14.45" customHeight="1" thickBot="1" x14ac:dyDescent="0.3">
      <c r="A7" s="396"/>
      <c r="B7" s="397"/>
      <c r="C7" s="397"/>
      <c r="D7" s="397"/>
      <c r="E7" s="398"/>
      <c r="G7" s="396"/>
      <c r="H7" s="397"/>
      <c r="I7" s="397"/>
      <c r="J7" s="397"/>
      <c r="K7" s="397"/>
      <c r="L7" s="398"/>
      <c r="N7" s="391"/>
      <c r="O7" s="303"/>
      <c r="P7" s="303"/>
      <c r="Q7" s="303"/>
      <c r="R7" s="303"/>
      <c r="S7" s="303"/>
      <c r="T7" s="303"/>
      <c r="U7" s="303"/>
      <c r="V7" s="303"/>
      <c r="W7" s="303"/>
      <c r="X7" s="303"/>
    </row>
    <row r="8" spans="1:24" ht="15" customHeight="1" x14ac:dyDescent="0.25">
      <c r="A8" s="114" t="s">
        <v>83</v>
      </c>
      <c r="B8" s="386"/>
      <c r="C8" s="386"/>
      <c r="D8" s="386"/>
      <c r="E8" s="387"/>
      <c r="G8" s="12"/>
      <c r="H8" s="185"/>
      <c r="I8" s="185"/>
      <c r="J8" s="185"/>
      <c r="K8" s="185"/>
      <c r="L8" s="28"/>
      <c r="N8" s="391"/>
      <c r="O8" s="303"/>
      <c r="P8" s="303"/>
      <c r="Q8" s="303"/>
      <c r="R8" s="303"/>
      <c r="S8" s="303"/>
      <c r="T8" s="303"/>
      <c r="U8" s="303"/>
      <c r="V8" s="303"/>
      <c r="W8" s="303"/>
      <c r="X8" s="303"/>
    </row>
    <row r="9" spans="1:24" x14ac:dyDescent="0.25">
      <c r="A9" s="114" t="s">
        <v>76</v>
      </c>
      <c r="B9" s="386"/>
      <c r="C9" s="386"/>
      <c r="D9" s="386"/>
      <c r="E9" s="387"/>
      <c r="G9" s="12"/>
      <c r="H9" s="185"/>
      <c r="I9" s="185"/>
      <c r="J9" s="185"/>
      <c r="K9" s="185"/>
      <c r="L9" s="28"/>
      <c r="N9" s="391"/>
      <c r="O9" s="303"/>
      <c r="P9" s="303"/>
      <c r="Q9" s="303"/>
      <c r="R9" s="303"/>
      <c r="S9" s="303"/>
      <c r="T9" s="303"/>
      <c r="U9" s="303"/>
      <c r="V9" s="303"/>
      <c r="W9" s="303"/>
      <c r="X9" s="303"/>
    </row>
    <row r="10" spans="1:24" x14ac:dyDescent="0.25">
      <c r="A10" s="12"/>
      <c r="B10" s="185"/>
      <c r="C10" s="185"/>
      <c r="D10" s="185"/>
      <c r="E10" s="28"/>
      <c r="G10" s="12"/>
      <c r="H10" s="185"/>
      <c r="I10" s="185"/>
      <c r="J10" s="185"/>
      <c r="K10" s="185"/>
      <c r="L10" s="28"/>
      <c r="N10" s="391"/>
      <c r="O10" s="303"/>
      <c r="P10" s="303"/>
      <c r="Q10" s="303"/>
      <c r="R10" s="303"/>
      <c r="S10" s="303"/>
      <c r="T10" s="303"/>
      <c r="U10" s="303"/>
      <c r="V10" s="303"/>
      <c r="W10" s="303"/>
      <c r="X10" s="303"/>
    </row>
    <row r="11" spans="1:24" x14ac:dyDescent="0.25">
      <c r="A11" s="12"/>
      <c r="B11" s="185"/>
      <c r="C11" s="185"/>
      <c r="D11" s="185"/>
      <c r="E11" s="28"/>
      <c r="G11" s="12"/>
      <c r="H11" s="185"/>
      <c r="I11" s="185"/>
      <c r="J11" s="185"/>
      <c r="K11" s="185"/>
      <c r="L11" s="28"/>
      <c r="N11" s="391"/>
      <c r="O11" s="303"/>
      <c r="P11" s="303"/>
      <c r="Q11" s="303"/>
      <c r="R11" s="303"/>
      <c r="S11" s="303"/>
      <c r="T11" s="303"/>
      <c r="U11" s="303"/>
      <c r="V11" s="303"/>
      <c r="W11" s="303"/>
      <c r="X11" s="303"/>
    </row>
    <row r="12" spans="1:24" x14ac:dyDescent="0.25">
      <c r="A12" s="12"/>
      <c r="B12" s="185"/>
      <c r="C12" s="185"/>
      <c r="D12" s="185"/>
      <c r="E12" s="28"/>
      <c r="G12" s="12"/>
      <c r="H12" s="185"/>
      <c r="I12" s="185"/>
      <c r="J12" s="185"/>
      <c r="K12" s="185"/>
      <c r="L12" s="28"/>
      <c r="N12" s="391"/>
      <c r="O12" s="303"/>
      <c r="P12" s="303"/>
      <c r="Q12" s="303"/>
      <c r="R12" s="303"/>
      <c r="S12" s="303"/>
      <c r="T12" s="303"/>
      <c r="U12" s="303"/>
      <c r="V12" s="303"/>
      <c r="W12" s="303"/>
      <c r="X12" s="303"/>
    </row>
    <row r="13" spans="1:24" x14ac:dyDescent="0.25">
      <c r="A13" s="12"/>
      <c r="B13" s="185"/>
      <c r="C13" s="185"/>
      <c r="D13" s="185"/>
      <c r="E13" s="28"/>
      <c r="G13" s="12"/>
      <c r="H13" s="185"/>
      <c r="I13" s="185"/>
      <c r="J13" s="185"/>
      <c r="K13" s="185"/>
      <c r="L13" s="28"/>
      <c r="N13" s="391"/>
      <c r="O13" s="303"/>
      <c r="P13" s="303"/>
      <c r="Q13" s="303"/>
      <c r="R13" s="303"/>
      <c r="S13" s="303"/>
      <c r="T13" s="303"/>
      <c r="U13" s="303"/>
      <c r="V13" s="303"/>
      <c r="W13" s="303"/>
      <c r="X13" s="303"/>
    </row>
    <row r="14" spans="1:24" x14ac:dyDescent="0.25">
      <c r="A14" s="12"/>
      <c r="B14" s="185"/>
      <c r="C14" s="185"/>
      <c r="D14" s="185"/>
      <c r="E14" s="28"/>
      <c r="G14" s="12"/>
      <c r="H14" s="185"/>
      <c r="I14" s="185"/>
      <c r="J14" s="185"/>
      <c r="K14" s="185"/>
      <c r="L14" s="28"/>
      <c r="N14" s="391"/>
      <c r="O14" s="303"/>
      <c r="P14" s="303"/>
      <c r="Q14" s="303"/>
      <c r="R14" s="303"/>
      <c r="S14" s="303"/>
      <c r="T14" s="303"/>
      <c r="U14" s="303"/>
      <c r="V14" s="303"/>
      <c r="W14" s="303"/>
      <c r="X14" s="303"/>
    </row>
    <row r="15" spans="1:24" x14ac:dyDescent="0.25">
      <c r="A15" s="12"/>
      <c r="B15" s="185"/>
      <c r="C15" s="185"/>
      <c r="D15" s="185"/>
      <c r="E15" s="28"/>
      <c r="G15" s="12"/>
      <c r="H15" s="185"/>
      <c r="I15" s="185"/>
      <c r="J15" s="185"/>
      <c r="K15" s="185"/>
      <c r="L15" s="28"/>
      <c r="N15" s="391"/>
      <c r="O15" s="303"/>
      <c r="P15" s="303"/>
      <c r="Q15" s="303"/>
      <c r="R15" s="303"/>
      <c r="S15" s="303"/>
      <c r="T15" s="303"/>
      <c r="U15" s="303"/>
      <c r="V15" s="303"/>
      <c r="W15" s="303"/>
      <c r="X15" s="303"/>
    </row>
    <row r="16" spans="1:24" x14ac:dyDescent="0.25">
      <c r="A16" s="12"/>
      <c r="B16" s="185"/>
      <c r="C16" s="185"/>
      <c r="D16" s="185"/>
      <c r="E16" s="28"/>
      <c r="G16" s="12"/>
      <c r="H16" s="185"/>
      <c r="I16" s="185"/>
      <c r="J16" s="185"/>
      <c r="K16" s="185"/>
      <c r="L16" s="28"/>
      <c r="N16" s="391"/>
      <c r="O16" s="303"/>
      <c r="P16" s="303"/>
      <c r="Q16" s="303"/>
      <c r="R16" s="303"/>
      <c r="S16" s="303"/>
      <c r="T16" s="303"/>
      <c r="U16" s="303"/>
      <c r="V16" s="303"/>
      <c r="W16" s="303"/>
      <c r="X16" s="303"/>
    </row>
    <row r="17" spans="1:24" x14ac:dyDescent="0.25">
      <c r="A17" s="12"/>
      <c r="B17" s="185"/>
      <c r="C17" s="185"/>
      <c r="D17" s="185"/>
      <c r="E17" s="28"/>
      <c r="G17" s="12"/>
      <c r="H17" s="185"/>
      <c r="I17" s="185"/>
      <c r="J17" s="185"/>
      <c r="K17" s="185"/>
      <c r="L17" s="28"/>
      <c r="N17" s="391"/>
      <c r="O17" s="303"/>
      <c r="P17" s="303"/>
      <c r="Q17" s="303"/>
      <c r="R17" s="303"/>
      <c r="S17" s="303"/>
      <c r="T17" s="303"/>
      <c r="U17" s="303"/>
      <c r="V17" s="303"/>
      <c r="W17" s="303"/>
      <c r="X17" s="303"/>
    </row>
    <row r="18" spans="1:24" x14ac:dyDescent="0.25">
      <c r="A18" s="12"/>
      <c r="B18" s="185"/>
      <c r="C18" s="185"/>
      <c r="D18" s="185"/>
      <c r="E18" s="28"/>
      <c r="G18" s="12"/>
      <c r="H18" s="185"/>
      <c r="I18" s="185"/>
      <c r="J18" s="185"/>
      <c r="K18" s="185"/>
      <c r="L18" s="28"/>
      <c r="N18" s="391"/>
      <c r="O18" s="303"/>
      <c r="P18" s="303"/>
      <c r="Q18" s="303"/>
      <c r="R18" s="303"/>
      <c r="S18" s="303"/>
      <c r="T18" s="303"/>
      <c r="U18" s="303"/>
      <c r="V18" s="303"/>
      <c r="W18" s="303"/>
      <c r="X18" s="303"/>
    </row>
    <row r="19" spans="1:24" x14ac:dyDescent="0.25">
      <c r="A19" s="114" t="s">
        <v>326</v>
      </c>
      <c r="B19" s="399"/>
      <c r="C19" s="399"/>
      <c r="D19" s="399"/>
      <c r="E19" s="400"/>
      <c r="G19" s="12"/>
      <c r="H19" s="185"/>
      <c r="I19" s="185"/>
      <c r="J19" s="185"/>
      <c r="K19" s="185"/>
      <c r="L19" s="28"/>
      <c r="N19" s="391"/>
      <c r="O19" s="303"/>
      <c r="P19" s="303"/>
      <c r="Q19" s="303"/>
      <c r="R19" s="303"/>
      <c r="S19" s="303"/>
      <c r="T19" s="303"/>
      <c r="U19" s="303"/>
      <c r="V19" s="303"/>
      <c r="W19" s="303"/>
      <c r="X19" s="303"/>
    </row>
    <row r="20" spans="1:24" x14ac:dyDescent="0.25">
      <c r="A20" s="114" t="s">
        <v>327</v>
      </c>
      <c r="B20" s="388"/>
      <c r="C20" s="389"/>
      <c r="D20" s="389"/>
      <c r="E20" s="390"/>
      <c r="G20" s="12"/>
      <c r="H20" s="185"/>
      <c r="I20" s="185"/>
      <c r="J20" s="185"/>
      <c r="K20" s="185"/>
      <c r="L20" s="28"/>
      <c r="N20" s="391"/>
      <c r="O20" s="303"/>
      <c r="P20" s="303"/>
      <c r="Q20" s="303"/>
      <c r="R20" s="303"/>
      <c r="S20" s="303"/>
      <c r="T20" s="303"/>
      <c r="U20" s="303"/>
      <c r="V20" s="303"/>
      <c r="W20" s="303"/>
      <c r="X20" s="303"/>
    </row>
    <row r="21" spans="1:24" ht="14.45" customHeight="1" x14ac:dyDescent="0.25">
      <c r="A21" s="401" t="s">
        <v>118</v>
      </c>
      <c r="B21" s="402"/>
      <c r="C21" s="403"/>
      <c r="D21" s="35"/>
      <c r="E21" s="28"/>
      <c r="G21" s="12"/>
      <c r="H21" s="185"/>
      <c r="I21" s="185"/>
      <c r="J21" s="185"/>
      <c r="K21" s="185"/>
      <c r="L21" s="28"/>
      <c r="N21" s="391"/>
      <c r="O21" s="303"/>
      <c r="P21" s="303"/>
      <c r="Q21" s="303"/>
      <c r="R21" s="303"/>
      <c r="S21" s="303"/>
      <c r="T21" s="303"/>
      <c r="U21" s="303"/>
      <c r="V21" s="303"/>
      <c r="W21" s="303"/>
      <c r="X21" s="303"/>
    </row>
    <row r="22" spans="1:24" ht="14.45" customHeight="1" x14ac:dyDescent="0.25">
      <c r="A22" s="383" t="s">
        <v>366</v>
      </c>
      <c r="B22" s="384"/>
      <c r="C22" s="384"/>
      <c r="D22" s="384"/>
      <c r="E22" s="385"/>
      <c r="G22" s="12"/>
      <c r="H22" s="185"/>
      <c r="I22" s="185"/>
      <c r="J22" s="185"/>
      <c r="K22" s="185"/>
      <c r="L22" s="28"/>
      <c r="N22" s="391"/>
      <c r="O22" s="303"/>
      <c r="P22" s="303"/>
      <c r="Q22" s="303"/>
      <c r="R22" s="303"/>
      <c r="S22" s="303"/>
      <c r="T22" s="303"/>
      <c r="U22" s="303"/>
      <c r="V22" s="303"/>
      <c r="W22" s="303"/>
      <c r="X22" s="303"/>
    </row>
    <row r="23" spans="1:24" ht="15" customHeight="1" x14ac:dyDescent="0.25">
      <c r="A23" s="383"/>
      <c r="B23" s="384"/>
      <c r="C23" s="384"/>
      <c r="D23" s="384"/>
      <c r="E23" s="385"/>
      <c r="G23" s="12"/>
      <c r="H23" s="185"/>
      <c r="I23" s="185"/>
      <c r="J23" s="185"/>
      <c r="K23" s="185"/>
      <c r="L23" s="28"/>
      <c r="N23" s="391"/>
      <c r="O23" s="303"/>
      <c r="P23" s="303"/>
      <c r="Q23" s="303"/>
      <c r="R23" s="303"/>
      <c r="S23" s="303"/>
      <c r="T23" s="303"/>
      <c r="U23" s="303"/>
      <c r="V23" s="303"/>
      <c r="W23" s="303"/>
      <c r="X23" s="303"/>
    </row>
    <row r="24" spans="1:24" x14ac:dyDescent="0.25">
      <c r="A24" s="383"/>
      <c r="B24" s="384"/>
      <c r="C24" s="384"/>
      <c r="D24" s="384"/>
      <c r="E24" s="385"/>
      <c r="G24" s="12"/>
      <c r="H24" s="185"/>
      <c r="I24" s="185"/>
      <c r="J24" s="185"/>
      <c r="K24" s="185"/>
      <c r="L24" s="28"/>
      <c r="N24" s="391"/>
      <c r="O24" s="303"/>
      <c r="P24" s="303"/>
      <c r="Q24" s="303"/>
      <c r="R24" s="303"/>
      <c r="S24" s="303"/>
      <c r="T24" s="303"/>
      <c r="U24" s="303"/>
      <c r="V24" s="303"/>
      <c r="W24" s="303"/>
      <c r="X24" s="303"/>
    </row>
    <row r="25" spans="1:24" x14ac:dyDescent="0.25">
      <c r="A25" s="383"/>
      <c r="B25" s="384"/>
      <c r="C25" s="384"/>
      <c r="D25" s="384"/>
      <c r="E25" s="385"/>
      <c r="G25" s="12"/>
      <c r="H25" s="185"/>
      <c r="I25" s="185"/>
      <c r="J25" s="185"/>
      <c r="K25" s="185"/>
      <c r="L25" s="28"/>
      <c r="N25" s="391"/>
      <c r="O25" s="303"/>
      <c r="P25" s="303"/>
      <c r="Q25" s="303"/>
      <c r="R25" s="303"/>
      <c r="S25" s="303"/>
      <c r="T25" s="303"/>
      <c r="U25" s="303"/>
      <c r="V25" s="303"/>
      <c r="W25" s="303"/>
      <c r="X25" s="303"/>
    </row>
    <row r="26" spans="1:24" x14ac:dyDescent="0.25">
      <c r="A26" s="383"/>
      <c r="B26" s="384"/>
      <c r="C26" s="384"/>
      <c r="D26" s="384"/>
      <c r="E26" s="385"/>
      <c r="G26" s="12"/>
      <c r="H26" s="185"/>
      <c r="I26" s="185"/>
      <c r="J26" s="185"/>
      <c r="K26" s="185"/>
      <c r="L26" s="28"/>
      <c r="N26" s="391"/>
      <c r="O26" s="303"/>
      <c r="P26" s="303"/>
      <c r="Q26" s="303"/>
      <c r="R26" s="303"/>
      <c r="S26" s="303"/>
      <c r="T26" s="303"/>
      <c r="U26" s="303"/>
      <c r="V26" s="303"/>
      <c r="W26" s="303"/>
      <c r="X26" s="303"/>
    </row>
    <row r="27" spans="1:24" x14ac:dyDescent="0.25">
      <c r="A27" s="12"/>
      <c r="B27" s="185"/>
      <c r="C27" s="185"/>
      <c r="D27" s="185"/>
      <c r="E27" s="28"/>
      <c r="G27" s="12"/>
      <c r="H27" s="185"/>
      <c r="I27" s="185"/>
      <c r="J27" s="185"/>
      <c r="K27" s="185"/>
      <c r="L27" s="28"/>
      <c r="N27" s="391"/>
      <c r="O27" s="303"/>
      <c r="P27" s="303"/>
      <c r="Q27" s="303"/>
      <c r="R27" s="303"/>
      <c r="S27" s="303"/>
      <c r="T27" s="303"/>
      <c r="U27" s="303"/>
      <c r="V27" s="303"/>
      <c r="W27" s="303"/>
      <c r="X27" s="303"/>
    </row>
    <row r="28" spans="1:24" x14ac:dyDescent="0.25">
      <c r="A28" s="12"/>
      <c r="B28" s="185"/>
      <c r="C28" s="185"/>
      <c r="D28" s="185"/>
      <c r="E28" s="28"/>
      <c r="G28" s="12"/>
      <c r="H28" s="185"/>
      <c r="I28" s="185"/>
      <c r="J28" s="185"/>
      <c r="K28" s="185"/>
      <c r="L28" s="28"/>
      <c r="N28" s="391"/>
      <c r="O28" s="303"/>
      <c r="P28" s="303"/>
      <c r="Q28" s="303"/>
      <c r="R28" s="303"/>
      <c r="S28" s="303"/>
      <c r="T28" s="303"/>
      <c r="U28" s="303"/>
      <c r="V28" s="303"/>
      <c r="W28" s="303"/>
      <c r="X28" s="303"/>
    </row>
    <row r="29" spans="1:24" x14ac:dyDescent="0.25">
      <c r="A29" s="12"/>
      <c r="B29" s="185"/>
      <c r="C29" s="185"/>
      <c r="D29" s="185"/>
      <c r="E29" s="28"/>
      <c r="G29" s="12"/>
      <c r="H29" s="185"/>
      <c r="I29" s="185"/>
      <c r="J29" s="185"/>
      <c r="K29" s="185"/>
      <c r="L29" s="28"/>
      <c r="N29" s="391"/>
      <c r="O29" s="303"/>
      <c r="P29" s="303"/>
      <c r="Q29" s="303"/>
      <c r="R29" s="303"/>
      <c r="S29" s="303"/>
      <c r="T29" s="303"/>
      <c r="U29" s="303"/>
      <c r="V29" s="303"/>
      <c r="W29" s="303"/>
      <c r="X29" s="303"/>
    </row>
    <row r="30" spans="1:24" x14ac:dyDescent="0.25">
      <c r="A30" s="12"/>
      <c r="B30" s="185"/>
      <c r="C30" s="185"/>
      <c r="D30" s="185"/>
      <c r="E30" s="28"/>
      <c r="G30" s="12"/>
      <c r="H30" s="185"/>
      <c r="I30" s="185"/>
      <c r="J30" s="185"/>
      <c r="K30" s="185"/>
      <c r="L30" s="28"/>
      <c r="N30" s="391"/>
      <c r="O30" s="303"/>
      <c r="P30" s="303"/>
      <c r="Q30" s="303"/>
      <c r="R30" s="303"/>
      <c r="S30" s="303"/>
      <c r="T30" s="303"/>
      <c r="U30" s="303"/>
      <c r="V30" s="303"/>
      <c r="W30" s="303"/>
      <c r="X30" s="303"/>
    </row>
    <row r="31" spans="1:24" x14ac:dyDescent="0.25">
      <c r="A31" s="12"/>
      <c r="B31" s="185"/>
      <c r="C31" s="185"/>
      <c r="D31" s="185"/>
      <c r="E31" s="28"/>
      <c r="G31" s="12"/>
      <c r="H31" s="185"/>
      <c r="I31" s="185"/>
      <c r="J31" s="185"/>
      <c r="K31" s="185"/>
      <c r="L31" s="28"/>
      <c r="N31" s="391"/>
      <c r="O31" s="303"/>
      <c r="P31" s="303"/>
      <c r="Q31" s="303"/>
      <c r="R31" s="303"/>
      <c r="S31" s="303"/>
      <c r="T31" s="303"/>
      <c r="U31" s="303"/>
      <c r="V31" s="303"/>
      <c r="W31" s="303"/>
      <c r="X31" s="303"/>
    </row>
    <row r="32" spans="1:24" x14ac:dyDescent="0.25">
      <c r="A32" s="12"/>
      <c r="B32" s="185"/>
      <c r="C32" s="185"/>
      <c r="D32" s="185"/>
      <c r="E32" s="28"/>
      <c r="G32" s="12"/>
      <c r="H32" s="185"/>
      <c r="I32" s="185"/>
      <c r="J32" s="185"/>
      <c r="K32" s="185"/>
      <c r="L32" s="28"/>
      <c r="N32" s="391"/>
      <c r="O32" s="303"/>
      <c r="P32" s="303"/>
      <c r="Q32" s="303"/>
      <c r="R32" s="303"/>
      <c r="S32" s="303"/>
      <c r="T32" s="303"/>
      <c r="U32" s="303"/>
      <c r="V32" s="303"/>
      <c r="W32" s="303"/>
      <c r="X32" s="303"/>
    </row>
    <row r="33" spans="1:24" x14ac:dyDescent="0.25">
      <c r="A33" s="12"/>
      <c r="B33" s="185"/>
      <c r="C33" s="185"/>
      <c r="D33" s="185"/>
      <c r="E33" s="28"/>
      <c r="G33" s="12"/>
      <c r="H33" s="185"/>
      <c r="I33" s="185"/>
      <c r="J33" s="185"/>
      <c r="K33" s="185"/>
      <c r="L33" s="28"/>
      <c r="N33" s="391"/>
      <c r="O33" s="303"/>
      <c r="P33" s="303"/>
      <c r="Q33" s="303"/>
      <c r="R33" s="303"/>
      <c r="S33" s="303"/>
      <c r="T33" s="303"/>
      <c r="U33" s="303"/>
      <c r="V33" s="303"/>
      <c r="W33" s="303"/>
      <c r="X33" s="303"/>
    </row>
    <row r="34" spans="1:24" x14ac:dyDescent="0.25">
      <c r="A34" s="12"/>
      <c r="B34" s="185"/>
      <c r="C34" s="185"/>
      <c r="D34" s="185"/>
      <c r="E34" s="28"/>
      <c r="G34" s="12"/>
      <c r="H34" s="185"/>
      <c r="I34" s="185"/>
      <c r="J34" s="185"/>
      <c r="K34" s="185"/>
      <c r="L34" s="28"/>
      <c r="N34" s="391"/>
      <c r="O34" s="303"/>
      <c r="P34" s="303"/>
      <c r="Q34" s="303"/>
      <c r="R34" s="303"/>
      <c r="S34" s="303"/>
      <c r="T34" s="303"/>
      <c r="U34" s="303"/>
      <c r="V34" s="303"/>
      <c r="W34" s="303"/>
      <c r="X34" s="303"/>
    </row>
    <row r="35" spans="1:24" ht="15.75" thickBot="1" x14ac:dyDescent="0.3">
      <c r="A35" s="29"/>
      <c r="B35" s="30"/>
      <c r="C35" s="30"/>
      <c r="D35" s="30"/>
      <c r="E35" s="31"/>
      <c r="G35" s="29"/>
      <c r="H35" s="30"/>
      <c r="I35" s="30"/>
      <c r="J35" s="30"/>
      <c r="K35" s="30"/>
      <c r="L35" s="31"/>
      <c r="N35" s="303"/>
      <c r="O35" s="303"/>
      <c r="P35" s="303"/>
      <c r="Q35" s="303"/>
      <c r="R35" s="303"/>
      <c r="S35" s="303"/>
      <c r="T35" s="303"/>
      <c r="U35" s="303"/>
      <c r="V35" s="303"/>
      <c r="W35" s="303"/>
      <c r="X35" s="303"/>
    </row>
    <row r="36" spans="1:24" ht="14.45" customHeight="1" x14ac:dyDescent="0.25">
      <c r="G36" s="186"/>
      <c r="H36" s="186"/>
      <c r="I36" s="186"/>
      <c r="J36" s="186"/>
      <c r="K36" s="186"/>
      <c r="L36" s="186"/>
      <c r="N36" s="303"/>
      <c r="O36" s="303"/>
      <c r="P36" s="303"/>
      <c r="Q36" s="303"/>
      <c r="R36" s="303"/>
      <c r="S36" s="303"/>
      <c r="T36" s="303"/>
      <c r="U36" s="303"/>
      <c r="V36" s="303"/>
      <c r="W36" s="303"/>
      <c r="X36" s="303"/>
    </row>
    <row r="37" spans="1:24" x14ac:dyDescent="0.25">
      <c r="G37" s="185"/>
      <c r="H37" s="185"/>
      <c r="I37" s="185"/>
      <c r="J37" s="185"/>
      <c r="K37" s="185"/>
      <c r="L37" s="185"/>
      <c r="N37" s="303"/>
      <c r="O37" s="303"/>
      <c r="P37" s="303"/>
      <c r="Q37" s="303"/>
      <c r="R37" s="303"/>
      <c r="S37" s="303"/>
      <c r="T37" s="303"/>
      <c r="U37" s="303"/>
      <c r="V37" s="303"/>
      <c r="W37" s="303"/>
      <c r="X37" s="303"/>
    </row>
    <row r="38" spans="1:24" x14ac:dyDescent="0.25">
      <c r="N38" s="303"/>
      <c r="O38" s="303"/>
      <c r="P38" s="303"/>
      <c r="Q38" s="303"/>
      <c r="R38" s="303"/>
      <c r="S38" s="303"/>
      <c r="T38" s="303"/>
      <c r="U38" s="303"/>
      <c r="V38" s="303"/>
      <c r="W38" s="303"/>
      <c r="X38" s="303"/>
    </row>
    <row r="39" spans="1:24" x14ac:dyDescent="0.25">
      <c r="N39" s="303"/>
      <c r="O39" s="303"/>
      <c r="P39" s="303"/>
      <c r="Q39" s="303"/>
      <c r="R39" s="303"/>
      <c r="S39" s="303"/>
      <c r="T39" s="303"/>
      <c r="U39" s="303"/>
      <c r="V39" s="303"/>
      <c r="W39" s="303"/>
      <c r="X39" s="303"/>
    </row>
    <row r="40" spans="1:24" x14ac:dyDescent="0.25">
      <c r="N40" s="303"/>
      <c r="O40" s="303"/>
      <c r="P40" s="303"/>
      <c r="Q40" s="303"/>
      <c r="R40" s="303"/>
      <c r="S40" s="303"/>
      <c r="T40" s="303"/>
      <c r="U40" s="303"/>
      <c r="V40" s="303"/>
      <c r="W40" s="303"/>
      <c r="X40" s="303"/>
    </row>
    <row r="41" spans="1:24" x14ac:dyDescent="0.25">
      <c r="N41" s="303"/>
      <c r="O41" s="303"/>
      <c r="P41" s="303"/>
      <c r="Q41" s="303"/>
      <c r="R41" s="303"/>
      <c r="S41" s="303"/>
      <c r="T41" s="303"/>
      <c r="U41" s="303"/>
      <c r="V41" s="303"/>
      <c r="W41" s="303"/>
      <c r="X41" s="303"/>
    </row>
    <row r="42" spans="1:24" x14ac:dyDescent="0.25">
      <c r="N42" s="303"/>
      <c r="O42" s="303"/>
      <c r="P42" s="303"/>
      <c r="Q42" s="303"/>
      <c r="R42" s="303"/>
      <c r="S42" s="303"/>
      <c r="T42" s="303"/>
      <c r="U42" s="303"/>
      <c r="V42" s="303"/>
      <c r="W42" s="303"/>
      <c r="X42" s="303"/>
    </row>
    <row r="43" spans="1:24" x14ac:dyDescent="0.25">
      <c r="A43" s="1" t="s">
        <v>123</v>
      </c>
      <c r="N43" s="303"/>
      <c r="O43" s="303"/>
      <c r="P43" s="303"/>
      <c r="Q43" s="303"/>
      <c r="R43" s="303"/>
      <c r="S43" s="303"/>
      <c r="T43" s="303"/>
      <c r="U43" s="303"/>
      <c r="V43" s="303"/>
      <c r="W43" s="303"/>
      <c r="X43" s="303"/>
    </row>
    <row r="44" spans="1:24" x14ac:dyDescent="0.25">
      <c r="A44" s="293" t="s">
        <v>302</v>
      </c>
      <c r="B44" t="s">
        <v>301</v>
      </c>
      <c r="D44" s="183"/>
      <c r="E44" s="183"/>
    </row>
    <row r="45" spans="1:24" x14ac:dyDescent="0.25">
      <c r="A45" s="183"/>
      <c r="B45" s="292" t="s">
        <v>303</v>
      </c>
      <c r="D45" s="183"/>
      <c r="E45" s="183"/>
    </row>
    <row r="46" spans="1:24" x14ac:dyDescent="0.25">
      <c r="A46" s="183"/>
      <c r="B46" t="s">
        <v>304</v>
      </c>
      <c r="D46" s="183"/>
      <c r="E46" s="183"/>
    </row>
    <row r="47" spans="1:24" x14ac:dyDescent="0.25">
      <c r="A47" s="183"/>
      <c r="B47" s="292" t="s">
        <v>117</v>
      </c>
      <c r="D47" s="183"/>
      <c r="E47" s="183"/>
    </row>
    <row r="48" spans="1:24" x14ac:dyDescent="0.25">
      <c r="A48" s="183"/>
      <c r="B48" s="292" t="s">
        <v>254</v>
      </c>
      <c r="C48" s="292"/>
      <c r="D48" s="183"/>
      <c r="E48" s="183"/>
    </row>
    <row r="49" spans="1:2" x14ac:dyDescent="0.25">
      <c r="B49" s="292" t="s">
        <v>305</v>
      </c>
    </row>
    <row r="50" spans="1:2" x14ac:dyDescent="0.25">
      <c r="B50" s="292" t="s">
        <v>306</v>
      </c>
    </row>
    <row r="51" spans="1:2" x14ac:dyDescent="0.25">
      <c r="A51" s="1" t="s">
        <v>116</v>
      </c>
    </row>
    <row r="52" spans="1:2" x14ac:dyDescent="0.25">
      <c r="A52" t="s">
        <v>300</v>
      </c>
    </row>
    <row r="53" spans="1:2" x14ac:dyDescent="0.25">
      <c r="A53" t="s">
        <v>299</v>
      </c>
    </row>
    <row r="54" spans="1:2" x14ac:dyDescent="0.25">
      <c r="A54" t="s">
        <v>301</v>
      </c>
    </row>
  </sheetData>
  <mergeCells count="10">
    <mergeCell ref="B4:D4"/>
    <mergeCell ref="G6:L7"/>
    <mergeCell ref="A6:E7"/>
    <mergeCell ref="B19:E19"/>
    <mergeCell ref="A21:C21"/>
    <mergeCell ref="A22:E26"/>
    <mergeCell ref="B9:E9"/>
    <mergeCell ref="B20:E20"/>
    <mergeCell ref="B8:E8"/>
    <mergeCell ref="N6:N34"/>
  </mergeCells>
  <dataValidations disablePrompts="1" count="2">
    <dataValidation type="list" allowBlank="1" showInputMessage="1" showErrorMessage="1" sqref="B4" xr:uid="{00000000-0002-0000-0000-000000000000}">
      <formula1>ProgramGoals</formula1>
    </dataValidation>
    <dataValidation type="list" allowBlank="1" showErrorMessage="1" sqref="D21" xr:uid="{00000000-0002-0000-0000-000002000000}">
      <formula1>StreamType</formula1>
    </dataValidation>
  </dataValidations>
  <pageMargins left="0.25" right="0.25" top="0.75" bottom="0.75" header="0.3" footer="0.3"/>
  <pageSetup orientation="landscape" r:id="rId1"/>
  <headerFooter>
    <oddFooter>&amp;LAKSQTint v1.0 - SQT Workbook
Project Assessment</oddFooter>
  </headerFooter>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M24"/>
  <sheetViews>
    <sheetView topLeftCell="A12" zoomScaleNormal="100" zoomScaleSheetLayoutView="90" workbookViewId="0">
      <selection activeCell="B21" sqref="B21"/>
    </sheetView>
  </sheetViews>
  <sheetFormatPr defaultColWidth="9.140625" defaultRowHeight="12.75" x14ac:dyDescent="0.2"/>
  <cols>
    <col min="1" max="1" width="4" style="148" customWidth="1"/>
    <col min="2" max="2" width="26.5703125" style="148" customWidth="1"/>
    <col min="3" max="3" width="16.7109375" style="148" customWidth="1"/>
    <col min="4" max="5" width="46.7109375" style="148" customWidth="1"/>
    <col min="6" max="6" width="36.7109375" style="148" customWidth="1"/>
    <col min="7" max="7" width="10.5703125" style="148" customWidth="1"/>
    <col min="8" max="16384" width="9.140625" style="148"/>
  </cols>
  <sheetData>
    <row r="1" spans="1:13" ht="28.5" customHeight="1" x14ac:dyDescent="0.35">
      <c r="A1" s="377" t="s">
        <v>307</v>
      </c>
      <c r="B1" s="377"/>
      <c r="C1" s="282"/>
      <c r="D1" s="404"/>
      <c r="E1" s="405"/>
      <c r="F1" s="405"/>
      <c r="G1" s="406"/>
      <c r="I1" s="379" t="s">
        <v>49</v>
      </c>
      <c r="J1" s="311"/>
      <c r="K1" s="311"/>
      <c r="L1" s="311"/>
      <c r="M1" s="312"/>
    </row>
    <row r="2" spans="1:13" ht="28.5" customHeight="1" x14ac:dyDescent="0.25">
      <c r="A2" s="377" t="s">
        <v>163</v>
      </c>
      <c r="B2" s="378"/>
      <c r="C2" s="283"/>
      <c r="D2" s="404"/>
      <c r="E2" s="405"/>
      <c r="F2" s="405"/>
      <c r="G2" s="406"/>
      <c r="I2" s="313" t="s">
        <v>339</v>
      </c>
      <c r="J2" s="314"/>
      <c r="K2" s="314"/>
      <c r="L2" s="314"/>
      <c r="M2" s="315"/>
    </row>
    <row r="3" spans="1:13" ht="6" customHeight="1" thickBot="1" x14ac:dyDescent="0.25">
      <c r="A3" s="407"/>
      <c r="B3" s="407"/>
      <c r="C3" s="287"/>
      <c r="D3" s="3"/>
      <c r="F3" s="5"/>
      <c r="I3" s="307"/>
      <c r="J3" s="306"/>
      <c r="K3" s="306"/>
      <c r="L3" s="306"/>
      <c r="M3" s="308"/>
    </row>
    <row r="4" spans="1:13" ht="32.25" customHeight="1" thickBot="1" x14ac:dyDescent="0.3">
      <c r="A4" s="409" t="s">
        <v>150</v>
      </c>
      <c r="B4" s="410"/>
      <c r="C4" s="410"/>
      <c r="D4" s="26"/>
      <c r="E4" s="413" t="s">
        <v>248</v>
      </c>
      <c r="F4" s="414"/>
      <c r="G4" s="414"/>
      <c r="I4" s="316" t="s">
        <v>103</v>
      </c>
      <c r="J4" s="317"/>
      <c r="K4" s="317"/>
      <c r="L4" s="317"/>
      <c r="M4" s="318"/>
    </row>
    <row r="5" spans="1:13" ht="30" customHeight="1" thickBot="1" x14ac:dyDescent="0.25">
      <c r="A5" s="411" t="s">
        <v>107</v>
      </c>
      <c r="B5" s="412"/>
      <c r="C5" s="412"/>
      <c r="D5" s="26"/>
      <c r="E5" s="413"/>
      <c r="F5" s="414"/>
      <c r="G5" s="414"/>
    </row>
    <row r="6" spans="1:13" ht="6" customHeight="1" x14ac:dyDescent="0.2">
      <c r="A6" s="6"/>
      <c r="B6" s="6"/>
      <c r="C6" s="6"/>
      <c r="D6" s="3"/>
      <c r="E6" s="5"/>
      <c r="F6" s="4"/>
    </row>
    <row r="7" spans="1:13" ht="15.75" customHeight="1" x14ac:dyDescent="0.2">
      <c r="A7" s="408" t="s">
        <v>14</v>
      </c>
      <c r="B7" s="408"/>
      <c r="C7" s="408" t="s">
        <v>271</v>
      </c>
      <c r="D7" s="408" t="s">
        <v>53</v>
      </c>
      <c r="E7" s="408"/>
      <c r="F7" s="408"/>
      <c r="G7" s="408" t="s">
        <v>92</v>
      </c>
    </row>
    <row r="8" spans="1:13" ht="15.75" x14ac:dyDescent="0.2">
      <c r="A8" s="408"/>
      <c r="B8" s="408"/>
      <c r="C8" s="408"/>
      <c r="D8" s="309" t="s">
        <v>336</v>
      </c>
      <c r="E8" s="309" t="s">
        <v>337</v>
      </c>
      <c r="F8" s="309" t="s">
        <v>338</v>
      </c>
      <c r="G8" s="408"/>
    </row>
    <row r="9" spans="1:13" ht="51" x14ac:dyDescent="0.2">
      <c r="A9" s="288">
        <v>1</v>
      </c>
      <c r="B9" s="289" t="s">
        <v>272</v>
      </c>
      <c r="C9" s="288" t="s">
        <v>273</v>
      </c>
      <c r="D9" s="288" t="s">
        <v>347</v>
      </c>
      <c r="E9" s="288" t="s">
        <v>346</v>
      </c>
      <c r="F9" s="288" t="s">
        <v>345</v>
      </c>
      <c r="G9" s="310"/>
    </row>
    <row r="10" spans="1:13" ht="63.75" x14ac:dyDescent="0.2">
      <c r="A10" s="288">
        <v>2</v>
      </c>
      <c r="B10" s="289" t="s">
        <v>182</v>
      </c>
      <c r="C10" s="288" t="s">
        <v>274</v>
      </c>
      <c r="D10" s="290" t="s">
        <v>286</v>
      </c>
      <c r="E10" s="290" t="s">
        <v>276</v>
      </c>
      <c r="F10" s="290" t="s">
        <v>275</v>
      </c>
      <c r="G10" s="310"/>
    </row>
    <row r="11" spans="1:13" ht="44.45" customHeight="1" x14ac:dyDescent="0.2">
      <c r="A11" s="288">
        <v>3</v>
      </c>
      <c r="B11" s="289" t="s">
        <v>183</v>
      </c>
      <c r="C11" s="288" t="s">
        <v>279</v>
      </c>
      <c r="D11" s="288" t="s">
        <v>277</v>
      </c>
      <c r="E11" s="288" t="s">
        <v>278</v>
      </c>
      <c r="F11" s="288" t="s">
        <v>348</v>
      </c>
      <c r="G11" s="310"/>
    </row>
    <row r="12" spans="1:13" ht="89.25" x14ac:dyDescent="0.2">
      <c r="A12" s="288">
        <v>4</v>
      </c>
      <c r="B12" s="289" t="s">
        <v>280</v>
      </c>
      <c r="C12" s="288" t="s">
        <v>281</v>
      </c>
      <c r="D12" s="382" t="s">
        <v>368</v>
      </c>
      <c r="E12" s="288" t="s">
        <v>350</v>
      </c>
      <c r="F12" s="288" t="s">
        <v>349</v>
      </c>
      <c r="G12" s="310"/>
    </row>
    <row r="13" spans="1:13" ht="25.5" x14ac:dyDescent="0.2">
      <c r="A13" s="288">
        <v>5</v>
      </c>
      <c r="B13" s="289" t="s">
        <v>295</v>
      </c>
      <c r="C13" s="288" t="s">
        <v>279</v>
      </c>
      <c r="D13" s="288" t="s">
        <v>297</v>
      </c>
      <c r="E13" s="288" t="s">
        <v>298</v>
      </c>
      <c r="F13" s="288" t="s">
        <v>296</v>
      </c>
      <c r="G13" s="310"/>
    </row>
    <row r="14" spans="1:13" ht="46.9" customHeight="1" x14ac:dyDescent="0.2">
      <c r="A14" s="288">
        <v>6</v>
      </c>
      <c r="B14" s="289" t="s">
        <v>184</v>
      </c>
      <c r="C14" s="288" t="s">
        <v>274</v>
      </c>
      <c r="D14" s="288" t="s">
        <v>185</v>
      </c>
      <c r="E14" s="288" t="s">
        <v>186</v>
      </c>
      <c r="F14" s="288" t="s">
        <v>187</v>
      </c>
      <c r="G14" s="310"/>
    </row>
    <row r="15" spans="1:13" ht="76.5" x14ac:dyDescent="0.2">
      <c r="A15" s="288">
        <v>7</v>
      </c>
      <c r="B15" s="289" t="s">
        <v>188</v>
      </c>
      <c r="C15" s="288" t="s">
        <v>284</v>
      </c>
      <c r="D15" s="288" t="s">
        <v>282</v>
      </c>
      <c r="E15" s="288" t="s">
        <v>351</v>
      </c>
      <c r="F15" s="288" t="s">
        <v>283</v>
      </c>
      <c r="G15" s="310"/>
    </row>
    <row r="16" spans="1:13" ht="38.25" x14ac:dyDescent="0.2">
      <c r="A16" s="288">
        <v>8</v>
      </c>
      <c r="B16" s="289" t="s">
        <v>189</v>
      </c>
      <c r="C16" s="288" t="s">
        <v>285</v>
      </c>
      <c r="D16" s="288" t="s">
        <v>352</v>
      </c>
      <c r="E16" s="288" t="s">
        <v>317</v>
      </c>
      <c r="F16" s="288" t="s">
        <v>318</v>
      </c>
      <c r="G16" s="310"/>
    </row>
    <row r="17" spans="1:7" ht="76.5" x14ac:dyDescent="0.2">
      <c r="A17" s="288">
        <v>9</v>
      </c>
      <c r="B17" s="289" t="s">
        <v>190</v>
      </c>
      <c r="C17" s="288" t="s">
        <v>294</v>
      </c>
      <c r="D17" s="288" t="s">
        <v>287</v>
      </c>
      <c r="E17" s="288" t="s">
        <v>191</v>
      </c>
      <c r="F17" s="288" t="s">
        <v>288</v>
      </c>
      <c r="G17" s="310"/>
    </row>
    <row r="18" spans="1:7" ht="25.5" x14ac:dyDescent="0.2">
      <c r="A18" s="288">
        <v>10</v>
      </c>
      <c r="B18" s="289" t="s">
        <v>192</v>
      </c>
      <c r="C18" s="288" t="s">
        <v>289</v>
      </c>
      <c r="D18" s="288" t="s">
        <v>193</v>
      </c>
      <c r="E18" s="288" t="s">
        <v>194</v>
      </c>
      <c r="F18" s="288" t="s">
        <v>195</v>
      </c>
      <c r="G18" s="310"/>
    </row>
    <row r="19" spans="1:7" ht="51" x14ac:dyDescent="0.2">
      <c r="A19" s="288">
        <v>11</v>
      </c>
      <c r="B19" s="289" t="s">
        <v>196</v>
      </c>
      <c r="C19" s="288" t="s">
        <v>321</v>
      </c>
      <c r="D19" s="288" t="s">
        <v>290</v>
      </c>
      <c r="E19" s="381" t="s">
        <v>197</v>
      </c>
      <c r="F19" s="291" t="s">
        <v>198</v>
      </c>
      <c r="G19" s="310"/>
    </row>
    <row r="20" spans="1:7" ht="66" customHeight="1" x14ac:dyDescent="0.2">
      <c r="A20" s="288">
        <v>12</v>
      </c>
      <c r="B20" s="289" t="s">
        <v>199</v>
      </c>
      <c r="C20" s="288" t="s">
        <v>309</v>
      </c>
      <c r="D20" s="288" t="s">
        <v>353</v>
      </c>
      <c r="E20" s="288" t="s">
        <v>354</v>
      </c>
      <c r="F20" s="288" t="s">
        <v>291</v>
      </c>
      <c r="G20" s="310"/>
    </row>
    <row r="21" spans="1:7" ht="51" x14ac:dyDescent="0.2">
      <c r="A21" s="288">
        <v>13</v>
      </c>
      <c r="B21" s="289" t="s">
        <v>200</v>
      </c>
      <c r="C21" s="288" t="s">
        <v>308</v>
      </c>
      <c r="D21" s="288" t="s">
        <v>355</v>
      </c>
      <c r="E21" s="288" t="s">
        <v>292</v>
      </c>
      <c r="F21" s="288" t="s">
        <v>293</v>
      </c>
      <c r="G21" s="310"/>
    </row>
    <row r="22" spans="1:7" ht="39" customHeight="1" x14ac:dyDescent="0.2">
      <c r="A22" s="288">
        <v>14</v>
      </c>
      <c r="B22" s="289" t="s">
        <v>54</v>
      </c>
      <c r="C22" s="310"/>
      <c r="D22" s="310"/>
      <c r="E22" s="310"/>
      <c r="F22" s="310"/>
      <c r="G22" s="310"/>
    </row>
    <row r="23" spans="1:7" ht="15.95" customHeight="1" x14ac:dyDescent="0.2">
      <c r="A23" s="371" t="s">
        <v>360</v>
      </c>
      <c r="B23" s="372"/>
      <c r="C23" s="372"/>
      <c r="D23" s="372"/>
      <c r="E23" s="372"/>
      <c r="F23" s="372"/>
      <c r="G23" s="373"/>
    </row>
    <row r="24" spans="1:7" ht="15.95" customHeight="1" x14ac:dyDescent="0.2">
      <c r="A24" s="374"/>
      <c r="B24" s="375" t="s">
        <v>361</v>
      </c>
      <c r="C24" s="375"/>
      <c r="D24" s="375"/>
      <c r="E24" s="375"/>
      <c r="F24" s="375"/>
      <c r="G24" s="376"/>
    </row>
  </sheetData>
  <mergeCells count="10">
    <mergeCell ref="D1:G1"/>
    <mergeCell ref="D2:G2"/>
    <mergeCell ref="A3:B3"/>
    <mergeCell ref="A7:B8"/>
    <mergeCell ref="D7:F7"/>
    <mergeCell ref="G7:G8"/>
    <mergeCell ref="C7:C8"/>
    <mergeCell ref="A4:C4"/>
    <mergeCell ref="A5:C5"/>
    <mergeCell ref="E4:G5"/>
  </mergeCells>
  <dataValidations count="2">
    <dataValidation type="list" allowBlank="1" showInputMessage="1" showErrorMessage="1" sqref="D4" xr:uid="{00000000-0002-0000-0100-000000000000}">
      <formula1>CatchmentAssessment</formula1>
    </dataValidation>
    <dataValidation type="list" allowBlank="1" showInputMessage="1" showErrorMessage="1" sqref="D5" xr:uid="{00000000-0002-0000-0100-000001000000}">
      <formula1>Level</formula1>
    </dataValidation>
  </dataValidations>
  <printOptions horizontalCentered="1"/>
  <pageMargins left="0.25" right="0.25" top="0.75" bottom="0.75" header="0.3" footer="0.3"/>
  <pageSetup scale="71" fitToHeight="0" orientation="landscape" r:id="rId1"/>
  <headerFooter>
    <oddFooter>&amp;L&amp;12AKSQTint v1.0 - SQT Workbook
Catchment Assessment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679B4-AD01-4D0F-ABC7-4CA1E76DFC80}">
  <dimension ref="A1:D32"/>
  <sheetViews>
    <sheetView zoomScaleNormal="100" zoomScaleSheetLayoutView="100" workbookViewId="0">
      <selection activeCell="D10" sqref="D10"/>
    </sheetView>
  </sheetViews>
  <sheetFormatPr defaultRowHeight="15" x14ac:dyDescent="0.25"/>
  <cols>
    <col min="1" max="1" width="11.42578125" customWidth="1"/>
    <col min="2" max="2" width="19.28515625" style="296" customWidth="1"/>
    <col min="3" max="3" width="37.28515625" bestFit="1" customWidth="1"/>
    <col min="4" max="4" width="62.7109375" customWidth="1"/>
  </cols>
  <sheetData>
    <row r="1" spans="1:4" ht="42" customHeight="1" x14ac:dyDescent="0.25">
      <c r="A1" s="415" t="s">
        <v>367</v>
      </c>
      <c r="B1" s="415"/>
      <c r="C1" s="415"/>
      <c r="D1" s="415"/>
    </row>
    <row r="2" spans="1:4" ht="6.75" customHeight="1" x14ac:dyDescent="0.25"/>
    <row r="3" spans="1:4" ht="30" x14ac:dyDescent="0.25">
      <c r="A3" s="365" t="s">
        <v>1</v>
      </c>
      <c r="B3" s="365" t="s">
        <v>2</v>
      </c>
      <c r="C3" s="366" t="s">
        <v>139</v>
      </c>
      <c r="D3" s="366" t="s">
        <v>169</v>
      </c>
    </row>
    <row r="4" spans="1:4" ht="45" x14ac:dyDescent="0.25">
      <c r="A4" s="416" t="s">
        <v>161</v>
      </c>
      <c r="B4" s="427" t="s">
        <v>258</v>
      </c>
      <c r="C4" s="248" t="s">
        <v>138</v>
      </c>
      <c r="D4" s="295" t="s">
        <v>373</v>
      </c>
    </row>
    <row r="5" spans="1:4" ht="24" customHeight="1" x14ac:dyDescent="0.25">
      <c r="A5" s="417"/>
      <c r="B5" s="428"/>
      <c r="C5" s="360" t="s">
        <v>257</v>
      </c>
      <c r="D5" s="430" t="s">
        <v>365</v>
      </c>
    </row>
    <row r="6" spans="1:4" ht="24" customHeight="1" x14ac:dyDescent="0.25">
      <c r="A6" s="417"/>
      <c r="B6" s="429"/>
      <c r="C6" s="360" t="s">
        <v>324</v>
      </c>
      <c r="D6" s="431"/>
    </row>
    <row r="7" spans="1:4" ht="30" x14ac:dyDescent="0.25">
      <c r="A7" s="417"/>
      <c r="B7" s="427" t="s">
        <v>95</v>
      </c>
      <c r="C7" s="248" t="s">
        <v>138</v>
      </c>
      <c r="D7" s="243" t="s">
        <v>356</v>
      </c>
    </row>
    <row r="8" spans="1:4" x14ac:dyDescent="0.25">
      <c r="A8" s="417"/>
      <c r="B8" s="428"/>
      <c r="C8" s="361" t="s">
        <v>257</v>
      </c>
      <c r="D8" s="430" t="s">
        <v>357</v>
      </c>
    </row>
    <row r="9" spans="1:4" x14ac:dyDescent="0.25">
      <c r="A9" s="417"/>
      <c r="B9" s="428"/>
      <c r="C9" s="361" t="s">
        <v>324</v>
      </c>
      <c r="D9" s="431"/>
    </row>
    <row r="10" spans="1:4" x14ac:dyDescent="0.25">
      <c r="A10" s="418"/>
      <c r="B10" s="429"/>
      <c r="C10" s="248" t="s">
        <v>227</v>
      </c>
      <c r="D10" s="242" t="s">
        <v>170</v>
      </c>
    </row>
    <row r="11" spans="1:4" x14ac:dyDescent="0.25">
      <c r="A11" s="419" t="s">
        <v>160</v>
      </c>
      <c r="B11" s="422" t="s">
        <v>5</v>
      </c>
      <c r="C11" s="249" t="s">
        <v>226</v>
      </c>
      <c r="D11" s="242" t="s">
        <v>170</v>
      </c>
    </row>
    <row r="12" spans="1:4" ht="18" customHeight="1" x14ac:dyDescent="0.25">
      <c r="A12" s="420"/>
      <c r="B12" s="423"/>
      <c r="C12" s="249" t="s">
        <v>225</v>
      </c>
      <c r="D12" s="244" t="s">
        <v>323</v>
      </c>
    </row>
    <row r="13" spans="1:4" x14ac:dyDescent="0.25">
      <c r="A13" s="421"/>
      <c r="B13" s="297" t="s">
        <v>210</v>
      </c>
      <c r="C13" s="249" t="s">
        <v>270</v>
      </c>
      <c r="D13" s="243" t="s">
        <v>170</v>
      </c>
    </row>
    <row r="14" spans="1:4" x14ac:dyDescent="0.25">
      <c r="A14" s="439" t="s">
        <v>17</v>
      </c>
      <c r="B14" s="359" t="s">
        <v>18</v>
      </c>
      <c r="C14" s="245" t="s">
        <v>228</v>
      </c>
      <c r="D14" s="242" t="s">
        <v>249</v>
      </c>
    </row>
    <row r="15" spans="1:4" x14ac:dyDescent="0.25">
      <c r="A15" s="440"/>
      <c r="B15" s="442" t="s">
        <v>157</v>
      </c>
      <c r="C15" s="250" t="s">
        <v>40</v>
      </c>
      <c r="D15" s="432" t="s">
        <v>170</v>
      </c>
    </row>
    <row r="16" spans="1:4" x14ac:dyDescent="0.25">
      <c r="A16" s="440"/>
      <c r="B16" s="443"/>
      <c r="C16" s="197" t="s">
        <v>65</v>
      </c>
      <c r="D16" s="433"/>
    </row>
    <row r="17" spans="1:4" x14ac:dyDescent="0.25">
      <c r="A17" s="440"/>
      <c r="B17" s="444"/>
      <c r="C17" s="197" t="s">
        <v>203</v>
      </c>
      <c r="D17" s="243" t="s">
        <v>250</v>
      </c>
    </row>
    <row r="18" spans="1:4" ht="45" x14ac:dyDescent="0.25">
      <c r="A18" s="440"/>
      <c r="B18" s="298" t="s">
        <v>82</v>
      </c>
      <c r="C18" s="272" t="s">
        <v>256</v>
      </c>
      <c r="D18" s="244" t="s">
        <v>362</v>
      </c>
    </row>
    <row r="19" spans="1:4" x14ac:dyDescent="0.25">
      <c r="A19" s="440"/>
      <c r="B19" s="442" t="s">
        <v>42</v>
      </c>
      <c r="C19" s="245" t="s">
        <v>229</v>
      </c>
      <c r="D19" s="424" t="s">
        <v>322</v>
      </c>
    </row>
    <row r="20" spans="1:4" x14ac:dyDescent="0.25">
      <c r="A20" s="440"/>
      <c r="B20" s="443"/>
      <c r="C20" s="245" t="s">
        <v>230</v>
      </c>
      <c r="D20" s="425"/>
    </row>
    <row r="21" spans="1:4" x14ac:dyDescent="0.25">
      <c r="A21" s="440"/>
      <c r="B21" s="443"/>
      <c r="C21" s="245" t="s">
        <v>142</v>
      </c>
      <c r="D21" s="426"/>
    </row>
    <row r="22" spans="1:4" x14ac:dyDescent="0.25">
      <c r="A22" s="440"/>
      <c r="B22" s="442" t="s">
        <v>41</v>
      </c>
      <c r="C22" s="245" t="s">
        <v>332</v>
      </c>
      <c r="D22" s="424" t="s">
        <v>170</v>
      </c>
    </row>
    <row r="23" spans="1:4" x14ac:dyDescent="0.25">
      <c r="A23" s="440"/>
      <c r="B23" s="443"/>
      <c r="C23" s="245" t="s">
        <v>251</v>
      </c>
      <c r="D23" s="426"/>
    </row>
    <row r="24" spans="1:4" ht="30" x14ac:dyDescent="0.25">
      <c r="A24" s="441"/>
      <c r="B24" s="444"/>
      <c r="C24" s="245" t="s">
        <v>325</v>
      </c>
      <c r="D24" s="243" t="s">
        <v>363</v>
      </c>
    </row>
    <row r="25" spans="1:4" ht="30" x14ac:dyDescent="0.25">
      <c r="A25" s="434" t="s">
        <v>47</v>
      </c>
      <c r="B25" s="299" t="s">
        <v>60</v>
      </c>
      <c r="C25" s="273" t="s">
        <v>341</v>
      </c>
      <c r="D25" s="244" t="s">
        <v>252</v>
      </c>
    </row>
    <row r="26" spans="1:4" ht="30" x14ac:dyDescent="0.25">
      <c r="A26" s="435"/>
      <c r="B26" s="299" t="s">
        <v>259</v>
      </c>
      <c r="C26" s="273" t="s">
        <v>342</v>
      </c>
      <c r="D26" s="244" t="s">
        <v>364</v>
      </c>
    </row>
    <row r="27" spans="1:4" ht="45" x14ac:dyDescent="0.25">
      <c r="A27" s="435"/>
      <c r="B27" s="299" t="s">
        <v>260</v>
      </c>
      <c r="C27" s="273" t="s">
        <v>359</v>
      </c>
      <c r="D27" s="244" t="s">
        <v>372</v>
      </c>
    </row>
    <row r="28" spans="1:4" ht="30" x14ac:dyDescent="0.25">
      <c r="A28" s="436" t="s">
        <v>48</v>
      </c>
      <c r="B28" s="300" t="s">
        <v>109</v>
      </c>
      <c r="C28" s="246" t="s">
        <v>370</v>
      </c>
      <c r="D28" s="244" t="s">
        <v>371</v>
      </c>
    </row>
    <row r="29" spans="1:4" ht="24" customHeight="1" x14ac:dyDescent="0.25">
      <c r="A29" s="437"/>
      <c r="B29" s="445" t="s">
        <v>56</v>
      </c>
      <c r="C29" s="247" t="s">
        <v>232</v>
      </c>
      <c r="D29" s="424" t="s">
        <v>358</v>
      </c>
    </row>
    <row r="30" spans="1:4" ht="24" customHeight="1" x14ac:dyDescent="0.25">
      <c r="A30" s="437"/>
      <c r="B30" s="446"/>
      <c r="C30" s="364" t="s">
        <v>343</v>
      </c>
      <c r="D30" s="425"/>
    </row>
    <row r="31" spans="1:4" ht="24" customHeight="1" x14ac:dyDescent="0.25">
      <c r="A31" s="438"/>
      <c r="B31" s="447"/>
      <c r="C31" s="247" t="s">
        <v>233</v>
      </c>
      <c r="D31" s="426"/>
    </row>
    <row r="32" spans="1:4" x14ac:dyDescent="0.25">
      <c r="A32" s="189" t="s">
        <v>168</v>
      </c>
    </row>
  </sheetData>
  <mergeCells count="19">
    <mergeCell ref="A25:A27"/>
    <mergeCell ref="A28:A31"/>
    <mergeCell ref="A14:A24"/>
    <mergeCell ref="B15:B17"/>
    <mergeCell ref="B19:B21"/>
    <mergeCell ref="B22:B24"/>
    <mergeCell ref="B29:B31"/>
    <mergeCell ref="D29:D31"/>
    <mergeCell ref="D8:D9"/>
    <mergeCell ref="D5:D6"/>
    <mergeCell ref="D22:D23"/>
    <mergeCell ref="D15:D16"/>
    <mergeCell ref="A1:D1"/>
    <mergeCell ref="A4:A10"/>
    <mergeCell ref="A11:A13"/>
    <mergeCell ref="B11:B12"/>
    <mergeCell ref="D19:D21"/>
    <mergeCell ref="B7:B10"/>
    <mergeCell ref="B4:B6"/>
  </mergeCells>
  <conditionalFormatting sqref="A3:B3 A14:B14 A11:A12 B19 B22 A28:B30 A25:A26 C25:C31">
    <cfRule type="beginsWith" dxfId="205" priority="19" stopIfTrue="1" operator="beginsWith" text="Functioning At Risk">
      <formula>LEFT(A3,LEN("Functioning At Risk"))="Functioning At Risk"</formula>
    </cfRule>
    <cfRule type="beginsWith" dxfId="204" priority="20" stopIfTrue="1" operator="beginsWith" text="Not Functioning">
      <formula>LEFT(A3,LEN("Not Functioning"))="Not Functioning"</formula>
    </cfRule>
    <cfRule type="containsText" dxfId="203" priority="21" operator="containsText" text="Functioning">
      <formula>NOT(ISERROR(SEARCH("Functioning",A3)))</formula>
    </cfRule>
  </conditionalFormatting>
  <conditionalFormatting sqref="B15">
    <cfRule type="beginsWith" dxfId="202" priority="16" stopIfTrue="1" operator="beginsWith" text="Functioning At Risk">
      <formula>LEFT(B15,LEN("Functioning At Risk"))="Functioning At Risk"</formula>
    </cfRule>
    <cfRule type="beginsWith" dxfId="201" priority="17" stopIfTrue="1" operator="beginsWith" text="Not Functioning">
      <formula>LEFT(B15,LEN("Not Functioning"))="Not Functioning"</formula>
    </cfRule>
    <cfRule type="containsText" dxfId="200" priority="18" operator="containsText" text="Functioning">
      <formula>NOT(ISERROR(SEARCH("Functioning",B15)))</formula>
    </cfRule>
  </conditionalFormatting>
  <conditionalFormatting sqref="B25">
    <cfRule type="beginsWith" dxfId="199" priority="13" stopIfTrue="1" operator="beginsWith" text="Functioning At Risk">
      <formula>LEFT(B25,LEN("Functioning At Risk"))="Functioning At Risk"</formula>
    </cfRule>
    <cfRule type="beginsWith" dxfId="198" priority="14" stopIfTrue="1" operator="beginsWith" text="Not Functioning">
      <formula>LEFT(B25,LEN("Not Functioning"))="Not Functioning"</formula>
    </cfRule>
    <cfRule type="containsText" dxfId="197" priority="15" operator="containsText" text="Functioning">
      <formula>NOT(ISERROR(SEARCH("Functioning",B25)))</formula>
    </cfRule>
  </conditionalFormatting>
  <conditionalFormatting sqref="B18">
    <cfRule type="beginsWith" dxfId="196" priority="7" stopIfTrue="1" operator="beginsWith" text="Functioning At Risk">
      <formula>LEFT(B18,LEN("Functioning At Risk"))="Functioning At Risk"</formula>
    </cfRule>
    <cfRule type="beginsWith" dxfId="195" priority="8" stopIfTrue="1" operator="beginsWith" text="Not Functioning">
      <formula>LEFT(B18,LEN("Not Functioning"))="Not Functioning"</formula>
    </cfRule>
    <cfRule type="containsText" dxfId="194" priority="9" operator="containsText" text="Functioning">
      <formula>NOT(ISERROR(SEARCH("Functioning",B18)))</formula>
    </cfRule>
  </conditionalFormatting>
  <conditionalFormatting sqref="C3 C24">
    <cfRule type="beginsWith" dxfId="193" priority="4" stopIfTrue="1" operator="beginsWith" text="Functioning At Risk">
      <formula>LEFT(C3,LEN("Functioning At Risk"))="Functioning At Risk"</formula>
    </cfRule>
    <cfRule type="beginsWith" dxfId="192" priority="5" stopIfTrue="1" operator="beginsWith" text="Not Functioning">
      <formula>LEFT(C3,LEN("Not Functioning"))="Not Functioning"</formula>
    </cfRule>
    <cfRule type="containsText" dxfId="191" priority="6" operator="containsText" text="Functioning">
      <formula>NOT(ISERROR(SEARCH("Functioning",C3)))</formula>
    </cfRule>
  </conditionalFormatting>
  <pageMargins left="0.25" right="0.25" top="0.75" bottom="0.75" header="0.3" footer="0.3"/>
  <pageSetup fitToWidth="0" fitToHeight="0" orientation="landscape" horizontalDpi="360" verticalDpi="360" r:id="rId1"/>
  <headerFooter>
    <oddFooter>&amp;LAKSQTint v1.0 - SQT Workbook
Metric Selection Guide</oddFooter>
  </headerFooter>
  <rowBreaks count="1" manualBreakCount="1">
    <brk id="2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100"/>
  <sheetViews>
    <sheetView topLeftCell="A67" zoomScaleNormal="100" zoomScaleSheetLayoutView="100" workbookViewId="0">
      <selection activeCell="E65" sqref="E65:E67"/>
    </sheetView>
  </sheetViews>
  <sheetFormatPr defaultColWidth="8.85546875" defaultRowHeight="15" x14ac:dyDescent="0.25"/>
  <cols>
    <col min="1" max="1" width="29.140625" style="32" customWidth="1"/>
    <col min="2" max="2" width="34.28515625" style="32" customWidth="1"/>
    <col min="3" max="4" width="18.42578125" style="32" customWidth="1"/>
    <col min="5" max="10" width="13.140625" style="32" customWidth="1"/>
    <col min="11" max="11" width="18.5703125" style="32" customWidth="1"/>
    <col min="12" max="12" width="13.7109375" style="32" customWidth="1"/>
    <col min="13" max="16384" width="8.85546875" style="32"/>
  </cols>
  <sheetData>
    <row r="1" spans="1:22" x14ac:dyDescent="0.25">
      <c r="A1" s="33"/>
      <c r="V1"/>
    </row>
    <row r="2" spans="1:22" ht="21" x14ac:dyDescent="0.35">
      <c r="A2" s="564" t="s">
        <v>144</v>
      </c>
      <c r="B2" s="565"/>
      <c r="D2" s="490" t="s">
        <v>49</v>
      </c>
      <c r="E2" s="491"/>
      <c r="F2" s="491"/>
      <c r="G2" s="491"/>
      <c r="H2" s="491"/>
      <c r="I2" s="491"/>
      <c r="J2" s="492"/>
      <c r="V2"/>
    </row>
    <row r="3" spans="1:22" ht="15.75" x14ac:dyDescent="0.25">
      <c r="A3" s="566"/>
      <c r="B3" s="567"/>
      <c r="D3" s="537" t="s">
        <v>329</v>
      </c>
      <c r="E3" s="538"/>
      <c r="F3" s="538"/>
      <c r="G3" s="538"/>
      <c r="H3" s="538"/>
      <c r="I3" s="538"/>
      <c r="J3" s="539"/>
      <c r="V3"/>
    </row>
    <row r="4" spans="1:22" ht="19.350000000000001" customHeight="1" x14ac:dyDescent="0.25">
      <c r="A4" s="136" t="s">
        <v>83</v>
      </c>
      <c r="B4" s="240" t="str">
        <f>IF('Project Assessment'!B8="","",'Project Assessment'!B8)</f>
        <v/>
      </c>
      <c r="D4" s="540" t="s">
        <v>103</v>
      </c>
      <c r="E4" s="541"/>
      <c r="F4" s="541"/>
      <c r="G4" s="541"/>
      <c r="H4" s="541"/>
      <c r="I4" s="541"/>
      <c r="J4" s="542"/>
      <c r="V4"/>
    </row>
    <row r="5" spans="1:22" ht="19.350000000000001" customHeight="1" x14ac:dyDescent="0.25">
      <c r="A5" s="136" t="s">
        <v>76</v>
      </c>
      <c r="B5" s="240" t="str">
        <f>IF('Project Assessment'!B9="","",'Project Assessment'!B9)</f>
        <v/>
      </c>
      <c r="D5" s="568" t="s">
        <v>102</v>
      </c>
      <c r="E5" s="569"/>
      <c r="F5" s="569"/>
      <c r="G5" s="569"/>
      <c r="H5" s="569"/>
      <c r="I5" s="569"/>
      <c r="J5" s="570"/>
      <c r="V5"/>
    </row>
    <row r="6" spans="1:22" ht="19.350000000000001" customHeight="1" x14ac:dyDescent="0.25">
      <c r="A6" s="136" t="s">
        <v>46</v>
      </c>
      <c r="B6" s="43" t="str">
        <f>IF('Catchment Assessment'!D5="","",'Catchment Assessment'!D5)</f>
        <v/>
      </c>
      <c r="D6" s="305"/>
      <c r="E6" s="305"/>
      <c r="F6" s="305"/>
      <c r="G6" s="305"/>
      <c r="H6" s="305"/>
      <c r="I6" s="305"/>
      <c r="J6" s="305"/>
      <c r="V6"/>
    </row>
    <row r="7" spans="1:22" ht="19.350000000000001" customHeight="1" x14ac:dyDescent="0.35">
      <c r="A7" s="199" t="s">
        <v>178</v>
      </c>
      <c r="B7" s="34"/>
      <c r="D7" s="490" t="s">
        <v>121</v>
      </c>
      <c r="E7" s="491"/>
      <c r="F7" s="492"/>
      <c r="H7" s="490" t="s">
        <v>125</v>
      </c>
      <c r="I7" s="491"/>
      <c r="J7" s="492"/>
      <c r="V7"/>
    </row>
    <row r="8" spans="1:22" ht="19.350000000000001" customHeight="1" x14ac:dyDescent="0.35">
      <c r="A8" s="199" t="s">
        <v>179</v>
      </c>
      <c r="B8" s="34"/>
      <c r="D8" s="553" t="s">
        <v>151</v>
      </c>
      <c r="E8" s="554"/>
      <c r="F8" s="111">
        <f>IFERROR(ROUND(SUM(IF(H24="",0,H24*0.2),IF(H26="",0,H26*0.2),IF(H28="",0,H28*0.2),IF(H30="",0,H30*0.2),IF(H32="",0,H32*0.2)),2),"")</f>
        <v>0</v>
      </c>
      <c r="G8" s="37"/>
      <c r="H8" s="38" t="str">
        <f>F16</f>
        <v xml:space="preserve">  </v>
      </c>
      <c r="I8" s="39" t="s">
        <v>126</v>
      </c>
      <c r="J8" s="40" t="str">
        <f>IF(F16="","",IF(F16&gt;0,"Lift","Loss"))</f>
        <v>Lift</v>
      </c>
      <c r="V8"/>
    </row>
    <row r="9" spans="1:22" ht="19.350000000000001" customHeight="1" x14ac:dyDescent="0.35">
      <c r="A9" s="136" t="s">
        <v>77</v>
      </c>
      <c r="B9" s="175"/>
      <c r="C9"/>
      <c r="D9" s="555" t="s">
        <v>87</v>
      </c>
      <c r="E9" s="556"/>
      <c r="F9" s="111">
        <f>IFERROR(ROUND(SUM(IF(I24="",0,I24*0.2),IF(I26="",0,I26*0.2),IF(I28="",0,I28*0.2),IF(I30="",0,I30*0.2),IF(I32="",0,I32*0.2)),2),"")</f>
        <v>0</v>
      </c>
      <c r="G9" s="37"/>
      <c r="H9" s="36"/>
      <c r="I9" s="36"/>
      <c r="J9" s="36"/>
      <c r="V9"/>
    </row>
    <row r="10" spans="1:22" ht="19.350000000000001" customHeight="1" x14ac:dyDescent="0.35">
      <c r="A10" s="136" t="s">
        <v>118</v>
      </c>
      <c r="B10" s="43" t="str">
        <f>IF('Project Assessment'!D21="","",'Project Assessment'!D21)</f>
        <v/>
      </c>
      <c r="D10" s="553" t="s">
        <v>253</v>
      </c>
      <c r="E10" s="556"/>
      <c r="F10" s="42">
        <f>IFERROR(F9-F8,"")</f>
        <v>0</v>
      </c>
      <c r="G10" s="41"/>
      <c r="H10" s="36"/>
      <c r="J10" s="36"/>
    </row>
    <row r="11" spans="1:22" ht="19.350000000000001" customHeight="1" x14ac:dyDescent="0.35">
      <c r="A11" s="136" t="s">
        <v>137</v>
      </c>
      <c r="B11" s="235"/>
      <c r="D11" s="161" t="s">
        <v>50</v>
      </c>
      <c r="E11" s="162"/>
      <c r="F11" s="43" t="str">
        <f>IF(B7="","",B7)</f>
        <v/>
      </c>
      <c r="G11" s="41"/>
      <c r="H11" s="36"/>
      <c r="J11" s="36"/>
    </row>
    <row r="12" spans="1:22" ht="19.350000000000001" customHeight="1" x14ac:dyDescent="0.35">
      <c r="A12" s="136" t="s">
        <v>136</v>
      </c>
      <c r="B12" s="236"/>
      <c r="D12" s="161" t="s">
        <v>61</v>
      </c>
      <c r="E12" s="162"/>
      <c r="F12" s="43" t="str">
        <f>IF(B8="","",B8)</f>
        <v/>
      </c>
      <c r="G12" s="41"/>
      <c r="H12" s="36"/>
      <c r="J12" s="36"/>
    </row>
    <row r="13" spans="1:22" ht="19.350000000000001" customHeight="1" x14ac:dyDescent="0.35">
      <c r="A13" s="233" t="s">
        <v>235</v>
      </c>
      <c r="B13" s="235"/>
      <c r="D13" s="163" t="s">
        <v>124</v>
      </c>
      <c r="E13" s="164"/>
      <c r="F13" s="43" t="str">
        <f>IFERROR(ROUND(F12-F11,1),"")</f>
        <v/>
      </c>
      <c r="G13" s="41"/>
      <c r="H13" s="36"/>
      <c r="J13" s="36"/>
    </row>
    <row r="14" spans="1:22" ht="19.350000000000001" customHeight="1" x14ac:dyDescent="0.25">
      <c r="A14" s="233" t="s">
        <v>237</v>
      </c>
      <c r="B14" s="241"/>
      <c r="D14" s="165" t="s">
        <v>134</v>
      </c>
      <c r="E14" s="164"/>
      <c r="F14" s="380" t="str">
        <f>IFERROR(ROUND(F8*F11,1),"")</f>
        <v/>
      </c>
      <c r="G14" s="41"/>
    </row>
    <row r="15" spans="1:22" ht="19.350000000000001" customHeight="1" x14ac:dyDescent="0.35">
      <c r="A15" s="234" t="s">
        <v>64</v>
      </c>
      <c r="B15" s="241"/>
      <c r="D15" s="165" t="s">
        <v>135</v>
      </c>
      <c r="E15" s="164"/>
      <c r="F15" s="380" t="str">
        <f>IFERROR(ROUND(F12*F9,1),"")</f>
        <v/>
      </c>
      <c r="G15" s="41"/>
      <c r="H15" s="36"/>
      <c r="I15" s="36"/>
      <c r="J15" s="36"/>
    </row>
    <row r="16" spans="1:22" ht="19.350000000000001" customHeight="1" x14ac:dyDescent="0.35">
      <c r="A16" s="233" t="s">
        <v>239</v>
      </c>
      <c r="B16" s="236"/>
      <c r="D16" s="217" t="s">
        <v>246</v>
      </c>
      <c r="E16" s="162"/>
      <c r="F16" s="260" t="str">
        <f>_xlfn.CONCAT(IFERROR(F15-F14,""), "  ", LEFT(B14,1),B13)</f>
        <v xml:space="preserve">  </v>
      </c>
      <c r="G16" s="41"/>
      <c r="H16" s="36"/>
      <c r="I16" s="36"/>
      <c r="J16" s="36"/>
    </row>
    <row r="17" spans="1:10" ht="19.350000000000001" customHeight="1" x14ac:dyDescent="0.35">
      <c r="A17" s="233" t="s">
        <v>238</v>
      </c>
      <c r="B17" s="235"/>
      <c r="D17" s="545" t="s">
        <v>180</v>
      </c>
      <c r="E17" s="546"/>
      <c r="F17" s="42" t="str">
        <f>IFERROR(((F15-F14)/F12),"")</f>
        <v/>
      </c>
      <c r="G17" s="44"/>
      <c r="H17" s="36"/>
      <c r="I17" s="36"/>
      <c r="J17" s="36"/>
    </row>
    <row r="18" spans="1:10" ht="19.350000000000001" customHeight="1" x14ac:dyDescent="0.35">
      <c r="A18" s="233" t="s">
        <v>316</v>
      </c>
      <c r="B18" s="235"/>
      <c r="G18" s="110"/>
      <c r="H18" s="110"/>
      <c r="I18" s="110"/>
      <c r="J18" s="110"/>
    </row>
    <row r="19" spans="1:10" ht="19.350000000000001" customHeight="1" x14ac:dyDescent="0.35">
      <c r="A19" s="233" t="s">
        <v>319</v>
      </c>
      <c r="B19" s="235"/>
      <c r="G19" s="110"/>
      <c r="H19" s="110"/>
      <c r="I19" s="110"/>
      <c r="J19" s="110"/>
    </row>
    <row r="20" spans="1:10" ht="19.350000000000001" customHeight="1" x14ac:dyDescent="0.25">
      <c r="E20" s="173"/>
      <c r="F20" s="173"/>
      <c r="G20" s="173"/>
      <c r="H20" s="173"/>
      <c r="I20" s="173"/>
      <c r="J20" s="173"/>
    </row>
    <row r="21" spans="1:10" ht="30.75" customHeight="1" x14ac:dyDescent="0.25">
      <c r="A21" s="559" t="s">
        <v>88</v>
      </c>
      <c r="B21" s="560"/>
      <c r="C21" s="560"/>
      <c r="D21" s="561"/>
      <c r="E21" s="46"/>
      <c r="F21" s="559" t="s">
        <v>78</v>
      </c>
      <c r="G21" s="560"/>
      <c r="H21" s="560"/>
      <c r="I21" s="560"/>
      <c r="J21" s="561"/>
    </row>
    <row r="22" spans="1:10" ht="18.600000000000001" customHeight="1" x14ac:dyDescent="0.25">
      <c r="A22" s="575" t="s">
        <v>1</v>
      </c>
      <c r="B22" s="543" t="s">
        <v>2</v>
      </c>
      <c r="C22" s="543" t="s">
        <v>51</v>
      </c>
      <c r="D22" s="543" t="s">
        <v>52</v>
      </c>
      <c r="E22" s="47"/>
      <c r="F22" s="547" t="s">
        <v>79</v>
      </c>
      <c r="G22" s="548"/>
      <c r="H22" s="551" t="s">
        <v>80</v>
      </c>
      <c r="I22" s="551" t="s">
        <v>81</v>
      </c>
      <c r="J22" s="562" t="s">
        <v>127</v>
      </c>
    </row>
    <row r="23" spans="1:10" ht="18.600000000000001" customHeight="1" x14ac:dyDescent="0.25">
      <c r="A23" s="576"/>
      <c r="B23" s="544"/>
      <c r="C23" s="544"/>
      <c r="D23" s="544"/>
      <c r="E23" s="47"/>
      <c r="F23" s="549"/>
      <c r="G23" s="550"/>
      <c r="H23" s="552"/>
      <c r="I23" s="552"/>
      <c r="J23" s="563"/>
    </row>
    <row r="24" spans="1:10" ht="17.25" customHeight="1" x14ac:dyDescent="0.25">
      <c r="A24" s="468" t="s">
        <v>161</v>
      </c>
      <c r="B24" s="259" t="s">
        <v>258</v>
      </c>
      <c r="C24" s="48" t="str">
        <f>G42</f>
        <v/>
      </c>
      <c r="D24" s="48" t="str">
        <f>G73</f>
        <v/>
      </c>
      <c r="E24" s="49"/>
      <c r="F24" s="577" t="s">
        <v>161</v>
      </c>
      <c r="G24" s="578"/>
      <c r="H24" s="516" t="str">
        <f>H42</f>
        <v/>
      </c>
      <c r="I24" s="516" t="str">
        <f>H73</f>
        <v/>
      </c>
      <c r="J24" s="516" t="str">
        <f>IFERROR(ROUND(I24-H24,2),"")</f>
        <v/>
      </c>
    </row>
    <row r="25" spans="1:10" ht="15.75" customHeight="1" x14ac:dyDescent="0.25">
      <c r="A25" s="469"/>
      <c r="B25" s="259" t="s">
        <v>95</v>
      </c>
      <c r="C25" s="48" t="str">
        <f>G45</f>
        <v/>
      </c>
      <c r="D25" s="48" t="str">
        <f>G76</f>
        <v/>
      </c>
      <c r="E25" s="49"/>
      <c r="F25" s="579"/>
      <c r="G25" s="580"/>
      <c r="H25" s="517"/>
      <c r="I25" s="517"/>
      <c r="J25" s="517"/>
    </row>
    <row r="26" spans="1:10" ht="15.75" customHeight="1" x14ac:dyDescent="0.25">
      <c r="A26" s="466" t="s">
        <v>160</v>
      </c>
      <c r="B26" s="50" t="s">
        <v>5</v>
      </c>
      <c r="C26" s="48" t="str">
        <f>G49</f>
        <v/>
      </c>
      <c r="D26" s="48" t="str">
        <f>G80</f>
        <v/>
      </c>
      <c r="E26" s="49"/>
      <c r="F26" s="483" t="s">
        <v>160</v>
      </c>
      <c r="G26" s="484"/>
      <c r="H26" s="516" t="str">
        <f>H49</f>
        <v/>
      </c>
      <c r="I26" s="516" t="str">
        <f>H80</f>
        <v/>
      </c>
      <c r="J26" s="516" t="str">
        <f>IFERROR(ROUND(I26-H26,2),"")</f>
        <v/>
      </c>
    </row>
    <row r="27" spans="1:10" ht="15.75" customHeight="1" x14ac:dyDescent="0.25">
      <c r="A27" s="467"/>
      <c r="B27" s="258" t="s">
        <v>210</v>
      </c>
      <c r="C27" s="48" t="str">
        <f>G51</f>
        <v/>
      </c>
      <c r="D27" s="48" t="str">
        <f>G82</f>
        <v/>
      </c>
      <c r="E27" s="49"/>
      <c r="F27" s="485"/>
      <c r="G27" s="486"/>
      <c r="H27" s="517"/>
      <c r="I27" s="517"/>
      <c r="J27" s="517"/>
    </row>
    <row r="28" spans="1:10" ht="15.75" customHeight="1" x14ac:dyDescent="0.25">
      <c r="A28" s="463" t="s">
        <v>17</v>
      </c>
      <c r="B28" s="51" t="s">
        <v>18</v>
      </c>
      <c r="C28" s="48" t="str">
        <f>G52</f>
        <v/>
      </c>
      <c r="D28" s="48" t="str">
        <f>G83</f>
        <v/>
      </c>
      <c r="E28" s="49"/>
      <c r="F28" s="571" t="s">
        <v>17</v>
      </c>
      <c r="G28" s="572"/>
      <c r="H28" s="516" t="str">
        <f>H52</f>
        <v/>
      </c>
      <c r="I28" s="516" t="str">
        <f>H83</f>
        <v/>
      </c>
      <c r="J28" s="516" t="str">
        <f>IFERROR(ROUND(I28-H28,2),"")</f>
        <v/>
      </c>
    </row>
    <row r="29" spans="1:10" ht="15.75" customHeight="1" x14ac:dyDescent="0.25">
      <c r="A29" s="464"/>
      <c r="B29" s="10" t="s">
        <v>157</v>
      </c>
      <c r="C29" s="48" t="str">
        <f>G53</f>
        <v/>
      </c>
      <c r="D29" s="48" t="str">
        <f>G84</f>
        <v/>
      </c>
      <c r="E29" s="49"/>
      <c r="F29" s="573"/>
      <c r="G29" s="574"/>
      <c r="H29" s="517"/>
      <c r="I29" s="517"/>
      <c r="J29" s="517"/>
    </row>
    <row r="30" spans="1:10" ht="15.75" customHeight="1" x14ac:dyDescent="0.25">
      <c r="A30" s="464"/>
      <c r="B30" s="10" t="s">
        <v>82</v>
      </c>
      <c r="C30" s="48" t="str">
        <f>G56</f>
        <v/>
      </c>
      <c r="D30" s="48" t="str">
        <f>G87</f>
        <v/>
      </c>
      <c r="E30" s="49"/>
      <c r="F30" s="476" t="s">
        <v>47</v>
      </c>
      <c r="G30" s="477"/>
      <c r="H30" s="516" t="str">
        <f>H63</f>
        <v/>
      </c>
      <c r="I30" s="516" t="str">
        <f>H94</f>
        <v/>
      </c>
      <c r="J30" s="516" t="str">
        <f>IFERROR(ROUND(I30-H30,2),"")</f>
        <v/>
      </c>
    </row>
    <row r="31" spans="1:10" ht="15.75" customHeight="1" x14ac:dyDescent="0.25">
      <c r="A31" s="464"/>
      <c r="B31" s="51" t="s">
        <v>42</v>
      </c>
      <c r="C31" s="48" t="str">
        <f>G57</f>
        <v/>
      </c>
      <c r="D31" s="48" t="str">
        <f>G88</f>
        <v/>
      </c>
      <c r="E31" s="49"/>
      <c r="F31" s="478"/>
      <c r="G31" s="479"/>
      <c r="H31" s="517"/>
      <c r="I31" s="517"/>
      <c r="J31" s="517"/>
    </row>
    <row r="32" spans="1:10" ht="15.75" customHeight="1" x14ac:dyDescent="0.25">
      <c r="A32" s="465"/>
      <c r="B32" s="51" t="s">
        <v>41</v>
      </c>
      <c r="C32" s="48" t="str">
        <f>G60</f>
        <v/>
      </c>
      <c r="D32" s="48" t="str">
        <f>G91</f>
        <v/>
      </c>
      <c r="E32" s="49"/>
      <c r="F32" s="472" t="s">
        <v>48</v>
      </c>
      <c r="G32" s="473"/>
      <c r="H32" s="516" t="str">
        <f>H66</f>
        <v/>
      </c>
      <c r="I32" s="516" t="str">
        <f>H97</f>
        <v/>
      </c>
      <c r="J32" s="516" t="str">
        <f>IFERROR(I32-H32,"")</f>
        <v/>
      </c>
    </row>
    <row r="33" spans="1:11" ht="15.75" customHeight="1" x14ac:dyDescent="0.25">
      <c r="A33" s="460" t="s">
        <v>47</v>
      </c>
      <c r="B33" s="52" t="s">
        <v>60</v>
      </c>
      <c r="C33" s="48" t="str">
        <f>G63</f>
        <v/>
      </c>
      <c r="D33" s="48" t="str">
        <f>G94</f>
        <v/>
      </c>
      <c r="E33" s="49"/>
      <c r="F33" s="474"/>
      <c r="G33" s="475"/>
      <c r="H33" s="517"/>
      <c r="I33" s="517"/>
      <c r="J33" s="517"/>
      <c r="K33" s="53"/>
    </row>
    <row r="34" spans="1:11" ht="15.75" customHeight="1" x14ac:dyDescent="0.25">
      <c r="A34" s="461"/>
      <c r="B34" s="257" t="s">
        <v>259</v>
      </c>
      <c r="C34" s="48" t="str">
        <f>G64</f>
        <v/>
      </c>
      <c r="D34" s="48" t="str">
        <f>G95</f>
        <v/>
      </c>
      <c r="E34" s="49"/>
      <c r="F34" s="261"/>
      <c r="G34" s="261"/>
      <c r="H34" s="256"/>
      <c r="I34" s="256"/>
      <c r="J34" s="256"/>
      <c r="K34" s="53"/>
    </row>
    <row r="35" spans="1:11" ht="15.75" customHeight="1" x14ac:dyDescent="0.25">
      <c r="A35" s="462"/>
      <c r="B35" s="172" t="s">
        <v>260</v>
      </c>
      <c r="C35" s="48" t="str">
        <f>G65</f>
        <v/>
      </c>
      <c r="D35" s="48" t="str">
        <f>G96</f>
        <v/>
      </c>
      <c r="E35" s="49"/>
      <c r="F35" s="261"/>
      <c r="G35" s="261"/>
      <c r="H35" s="256"/>
      <c r="I35" s="256"/>
      <c r="J35" s="256"/>
      <c r="K35" s="53"/>
    </row>
    <row r="36" spans="1:11" ht="15.75" customHeight="1" x14ac:dyDescent="0.25">
      <c r="A36" s="470" t="s">
        <v>48</v>
      </c>
      <c r="B36" s="11" t="s">
        <v>109</v>
      </c>
      <c r="C36" s="48" t="str">
        <f>G66</f>
        <v/>
      </c>
      <c r="D36" s="48" t="str">
        <f>G97</f>
        <v/>
      </c>
      <c r="E36" s="49"/>
      <c r="F36" s="187"/>
      <c r="G36" s="187"/>
      <c r="H36" s="188"/>
      <c r="I36" s="188"/>
      <c r="J36" s="188"/>
    </row>
    <row r="37" spans="1:11" ht="15.75" customHeight="1" x14ac:dyDescent="0.25">
      <c r="A37" s="471"/>
      <c r="B37" s="54" t="s">
        <v>56</v>
      </c>
      <c r="C37" s="48" t="str">
        <f>G67</f>
        <v/>
      </c>
      <c r="D37" s="48" t="str">
        <f>G98</f>
        <v/>
      </c>
      <c r="E37" s="49"/>
    </row>
    <row r="38" spans="1:11" ht="15.6" customHeight="1" x14ac:dyDescent="0.25">
      <c r="E38" s="49"/>
    </row>
    <row r="39" spans="1:11" ht="15" customHeight="1" x14ac:dyDescent="0.25"/>
    <row r="40" spans="1:11" ht="21" x14ac:dyDescent="0.35">
      <c r="A40" s="490" t="s">
        <v>44</v>
      </c>
      <c r="B40" s="491"/>
      <c r="C40" s="491"/>
      <c r="D40" s="491"/>
      <c r="E40" s="491"/>
      <c r="F40" s="492"/>
      <c r="G40" s="512" t="s">
        <v>247</v>
      </c>
      <c r="H40" s="491"/>
      <c r="I40" s="492"/>
    </row>
    <row r="41" spans="1:11" ht="15.75" x14ac:dyDescent="0.25">
      <c r="A41" s="284" t="s">
        <v>1</v>
      </c>
      <c r="B41" s="285" t="s">
        <v>140</v>
      </c>
      <c r="C41" s="557" t="s">
        <v>139</v>
      </c>
      <c r="D41" s="558"/>
      <c r="E41" s="55" t="s">
        <v>10</v>
      </c>
      <c r="F41" s="56" t="s">
        <v>11</v>
      </c>
      <c r="G41" s="55" t="s">
        <v>13</v>
      </c>
      <c r="H41" s="55" t="s">
        <v>14</v>
      </c>
      <c r="I41" s="55" t="s">
        <v>14</v>
      </c>
    </row>
    <row r="42" spans="1:11" ht="15.75" x14ac:dyDescent="0.25">
      <c r="A42" s="480" t="s">
        <v>161</v>
      </c>
      <c r="B42" s="448" t="s">
        <v>258</v>
      </c>
      <c r="C42" s="137" t="s">
        <v>138</v>
      </c>
      <c r="D42" s="138"/>
      <c r="E42" s="368"/>
      <c r="F42" s="264" t="str">
        <f>IF(E42="","",ROUND(IF(E42&gt;=86,0,IF(E42&lt;=9,1,IF(E42&gt;22,E42*'Reference Curves'!$C$14+'Reference Curves'!$C$15,IF(E42&gt;16,E42*'Reference Curves'!$D$14+'Reference Curves'!$D$15,E42*'Reference Curves'!$E$14+'Reference Curves'!$E$15)))),2))</f>
        <v/>
      </c>
      <c r="G42" s="454" t="str">
        <f>IFERROR(AVERAGE(F42:F44),"")</f>
        <v/>
      </c>
      <c r="H42" s="457" t="str">
        <f>IFERROR(ROUND(AVERAGE(G42:G48),2),"")</f>
        <v/>
      </c>
      <c r="I42" s="496" t="str">
        <f>IF(H42="","",IF(H42:H48&gt;0.69,"Functioning",IF(H42&gt;0.29,"Functioning At Risk",IF(H42&gt;-1,"Not Functioning"))))</f>
        <v/>
      </c>
      <c r="J42" s="45"/>
    </row>
    <row r="43" spans="1:11" ht="15.75" x14ac:dyDescent="0.25">
      <c r="A43" s="481"/>
      <c r="B43" s="449"/>
      <c r="C43" s="156" t="s">
        <v>257</v>
      </c>
      <c r="D43" s="254"/>
      <c r="E43" s="64"/>
      <c r="F43" s="265" t="str">
        <f>IF(E43="","",ROUND(IF(E43&gt;33.5,0,IF(E43&lt;=0,1,E43*'Reference Curves'!$C$44+'Reference Curves'!$C$45)),2))</f>
        <v/>
      </c>
      <c r="G43" s="455"/>
      <c r="H43" s="458"/>
      <c r="I43" s="497"/>
      <c r="J43" s="45"/>
    </row>
    <row r="44" spans="1:11" ht="15.75" x14ac:dyDescent="0.25">
      <c r="A44" s="481"/>
      <c r="B44" s="450"/>
      <c r="C44" s="178" t="s">
        <v>324</v>
      </c>
      <c r="D44" s="255"/>
      <c r="E44" s="69"/>
      <c r="F44" s="265" t="str">
        <f>IF(E44="","",ROUND(IF(E44&gt;=61,0,IF(E44&lt;=0,1,IF(E44&gt;35,E44*'Reference Curves'!$C$75+'Reference Curves'!$C$76,E44*'Reference Curves'!$D$75+'Reference Curves'!$D$76))),2))</f>
        <v/>
      </c>
      <c r="G44" s="456"/>
      <c r="H44" s="458"/>
      <c r="I44" s="497"/>
      <c r="J44" s="45"/>
    </row>
    <row r="45" spans="1:11" ht="15.75" x14ac:dyDescent="0.25">
      <c r="A45" s="481"/>
      <c r="B45" s="451" t="s">
        <v>95</v>
      </c>
      <c r="C45" s="137" t="s">
        <v>138</v>
      </c>
      <c r="D45" s="280"/>
      <c r="E45" s="57"/>
      <c r="F45" s="139" t="str">
        <f>IF(E45="","",ROUND(IF(E45&gt;=86,0,IF(E45&lt;=9,1,IF(E45&gt;22,E45*'Reference Curves'!$C$14+'Reference Curves'!$C$15,IF(E45&gt;16,E45*'Reference Curves'!$D$14+'Reference Curves'!$D$15,E45*'Reference Curves'!$E$14+'Reference Curves'!$E$15)))),2))</f>
        <v/>
      </c>
      <c r="G45" s="457" t="str">
        <f>IFERROR(AVERAGE(F45:F48),"")</f>
        <v/>
      </c>
      <c r="H45" s="458"/>
      <c r="I45" s="497"/>
      <c r="J45" s="45"/>
    </row>
    <row r="46" spans="1:11" ht="15.75" x14ac:dyDescent="0.25">
      <c r="A46" s="481"/>
      <c r="B46" s="452"/>
      <c r="C46" s="156" t="s">
        <v>257</v>
      </c>
      <c r="D46" s="281"/>
      <c r="E46" s="57"/>
      <c r="F46" s="265" t="str">
        <f>IF(E46="","",ROUND(IF(E46&gt;33.5,0,IF(E46&lt;=0,1,E46*'Reference Curves'!$C$44+'Reference Curves'!$C$45)),2))</f>
        <v/>
      </c>
      <c r="G46" s="458"/>
      <c r="H46" s="458"/>
      <c r="I46" s="497"/>
      <c r="J46" s="45"/>
    </row>
    <row r="47" spans="1:11" ht="15.75" x14ac:dyDescent="0.25">
      <c r="A47" s="481"/>
      <c r="B47" s="452"/>
      <c r="C47" s="156" t="s">
        <v>324</v>
      </c>
      <c r="D47" s="281"/>
      <c r="E47" s="57"/>
      <c r="F47" s="265" t="str">
        <f>IF(E47="","",ROUND(IF(E47&gt;=61,0,IF(E47&lt;=0,1,IF(E47&gt;35,E47*'Reference Curves'!$C$75+'Reference Curves'!$C$76,E47*'Reference Curves'!$D$75+'Reference Curves'!$D$76))),2))</f>
        <v/>
      </c>
      <c r="G47" s="458"/>
      <c r="H47" s="458"/>
      <c r="I47" s="497"/>
      <c r="J47" s="45"/>
    </row>
    <row r="48" spans="1:11" ht="15.75" x14ac:dyDescent="0.25">
      <c r="A48" s="482"/>
      <c r="B48" s="453"/>
      <c r="C48" s="178" t="s">
        <v>227</v>
      </c>
      <c r="D48" s="179"/>
      <c r="E48" s="57"/>
      <c r="F48" s="157" t="str">
        <f>IF(E48="","",   IF(E48&gt;3.35,0, IF(E48&lt;0, "", ROUND('Reference Curves'!$C$105*E48+'Reference Curves'!$C$106,2))))</f>
        <v/>
      </c>
      <c r="G48" s="459"/>
      <c r="H48" s="458"/>
      <c r="I48" s="498"/>
    </row>
    <row r="49" spans="1:12" ht="15.75" customHeight="1" x14ac:dyDescent="0.25">
      <c r="A49" s="509" t="s">
        <v>160</v>
      </c>
      <c r="B49" s="535" t="s">
        <v>5</v>
      </c>
      <c r="C49" s="227" t="s">
        <v>226</v>
      </c>
      <c r="D49" s="204"/>
      <c r="E49" s="59"/>
      <c r="F49" s="205" t="str">
        <f>IF(E49="","",ROUND(IF(OR(E49&gt;1.71, E49&lt;0.34),0,IF(E49&lt;=1,1,E49*'Reference Curves'!K$13+'Reference Curves'!K$14)),2))</f>
        <v/>
      </c>
      <c r="G49" s="526" t="str">
        <f>IFERROR(AVERAGE(F49:F50),"")</f>
        <v/>
      </c>
      <c r="H49" s="493" t="str">
        <f>IFERROR(ROUND(AVERAGE(G49:G51),2),"")</f>
        <v/>
      </c>
      <c r="I49" s="496" t="str">
        <f>IF(H49="","",IF(H49&gt;0.69,"Functioning",IF(H49&gt;0.29,"Functioning At Risk",IF(H49&gt;-1,"Not Functioning"))))</f>
        <v/>
      </c>
      <c r="L49" s="58"/>
    </row>
    <row r="50" spans="1:12" ht="15.75" x14ac:dyDescent="0.25">
      <c r="A50" s="510"/>
      <c r="B50" s="536"/>
      <c r="C50" s="226" t="s">
        <v>225</v>
      </c>
      <c r="D50" s="61"/>
      <c r="E50" s="198"/>
      <c r="F50" s="231" t="str">
        <f>IF(E50="","",IF(LEFT(B$10,1)="B",IF(E50&lt;=1,0,IF(E50&gt;=2.2,1,ROUND(IF(E50&lt;1.4,E50*'Reference Curves'!$K$117+'Reference Curves'!$K$118,E50*'Reference Curves'!$L$117+'Reference Curves'!$L$118),2))),
IF(LEFT(B$10,1)="C",IF(E50&lt;1.7,0,IF(E50&gt;=4.4,1,ROUND(IF(E50&lt;2.4,E50*'Reference Curves'!$K$47+'Reference Curves'!$K$48,E50*'Reference Curves'!$L$47+'Reference Curves'!$L$48),2))),
IF(LEFT(B$10,1)="E",IF(E50&lt;1.7,0,IF(E50&gt;=6.5,1,ROUND(IF(E50&lt;2.4,E50*'Reference Curves'!$K$82+'Reference Curves'!$K$83,E50*'Reference Curves'!$L$82+'Reference Curves'!$L$83),2)))) )     ))</f>
        <v/>
      </c>
      <c r="G50" s="527"/>
      <c r="H50" s="494"/>
      <c r="I50" s="497"/>
      <c r="L50" s="58"/>
    </row>
    <row r="51" spans="1:12" ht="15.75" x14ac:dyDescent="0.25">
      <c r="A51" s="511"/>
      <c r="B51" s="211" t="s">
        <v>210</v>
      </c>
      <c r="C51" s="225" t="s">
        <v>270</v>
      </c>
      <c r="D51" s="203"/>
      <c r="E51" s="140"/>
      <c r="F51" s="232" t="str">
        <f>IF(E51="","", IF(E51&gt;=180,0, IF(E51=100,1, ROUND(IF(E51&gt;100, E51*'Reference Curves'!$L$151+'Reference Curves'!$L$152, IF(E49&gt;1.2,IF(E51&lt;=20,0,E51*'Reference Curves'!$K$151+'Reference Curves'!$K$152),1) ),2))))</f>
        <v/>
      </c>
      <c r="G51" s="253" t="str">
        <f>IFERROR(AVERAGE(F51:F51),"")</f>
        <v/>
      </c>
      <c r="H51" s="495"/>
      <c r="I51" s="498"/>
      <c r="L51" s="58"/>
    </row>
    <row r="52" spans="1:12" ht="15.75" x14ac:dyDescent="0.25">
      <c r="A52" s="507" t="s">
        <v>17</v>
      </c>
      <c r="B52" s="200" t="s">
        <v>231</v>
      </c>
      <c r="C52" s="212" t="s">
        <v>228</v>
      </c>
      <c r="D52" s="213"/>
      <c r="E52" s="34"/>
      <c r="F52" s="237" t="str">
        <f>IF(E52="","",IF($B$17="Alaska Range",ROUND(IF(E52&lt;=0.05,0, IF(E52&gt;=6.3,1,IF(E52&lt;=1.5,'Reference Curves'!$S$16*E52+'Reference Curves'!$S$17, 'Reference Curves'!$T$16*E52+'Reference Curves'!$T$17))),2),
IF($B$17="Brooks Range",ROUND(IF(E52&gt;=4.2,1,IF(E52&lt;0.03,0, IF(E52&lt;=1.2,'Reference Curves'!$U$16*E52+'Reference Curves'!$U$17, 'Reference Curves'!$V$16*E52+'Reference Curves'!$V$17))),2),
IF(OR($B$17="Interior Bottomlands", $B$17="Yukon Flats"),ROUND(IF(E52&gt;=54.5,1,IF(E52&lt;=3.7,'Reference Curves'!$S$51*E52+'Reference Curves'!$S$52, IF(E52&lt;4.7, 'Reference Curves'!$T$51*E52+'Reference Curves'!$T$52, 'Reference Curves'!$U$51*E52+'Reference Curves'!$U$52))),2),
IF(OR($B$17="Interior Forested Lowlands/Uplands",$B$17="Interior Highlands"),ROUND(IF(E52=0,0,IF(E52&gt;=24.1,1,IF(E52&lt;=1.3,'Reference Curves'!$V$51*E52+'Reference Curves'!$V$52, 'Reference Curves'!$W$51*E52+'Reference Curves'!$W$52))),2))))))</f>
        <v/>
      </c>
      <c r="G52" s="214" t="str">
        <f>IFERROR(AVERAGE(F52:F52),"")</f>
        <v/>
      </c>
      <c r="H52" s="521" t="str">
        <f>IFERROR(ROUND(AVERAGE(G52:G62),2),"")</f>
        <v/>
      </c>
      <c r="I52" s="523" t="str">
        <f>IF(H52="","",IF(H52&gt;0.69,"Functioning",IF(H52&gt;0.29,"Functioning At Risk",IF(H52&gt;-1,"Not Functioning"))))</f>
        <v/>
      </c>
      <c r="L52" s="58"/>
    </row>
    <row r="53" spans="1:12" ht="15.75" x14ac:dyDescent="0.25">
      <c r="A53" s="508"/>
      <c r="B53" s="508" t="s">
        <v>157</v>
      </c>
      <c r="C53" s="130" t="s">
        <v>40</v>
      </c>
      <c r="D53" s="63"/>
      <c r="E53" s="238"/>
      <c r="F53" s="115" t="str">
        <f>IF(E53="","",IF(OR(E53="Ex/Ex",E53="Ex/VH",E53="Ex/H",E53="Ex/M",E53="VH/Ex",E53="VH/VH", E53="H/Ex",E53="H/VH"),0, IF(OR(E53="M/Ex"),0.1,IF(OR(E53="VH/H",E53="VH/M",E53="H/H",E53="H/M", E53="M/VH"),0.2, IF(OR(E53="Ex/VL",E53="Ex/L", E53="M/H"),0.3, IF(OR(E53="VH/L",E53="H/L"),0.4, IF(OR(E53="VH/VL",E53="H/VL",E53="M/M"),0.5, IF(OR(E53="M/L",E53="L/Ex"),0.6, IF(OR(E53="M/VL",E53="L/VH", E53="L/H",E53="L/M",E53="L/L",E53="L/VL",LEFT(E53)="V"),1)))))))))</f>
        <v/>
      </c>
      <c r="G53" s="522" t="str">
        <f>IFERROR(IF(E55&gt;50,0,AVERAGE(F53:F55)),"")</f>
        <v/>
      </c>
      <c r="H53" s="522"/>
      <c r="I53" s="524"/>
      <c r="L53" s="58"/>
    </row>
    <row r="54" spans="1:12" ht="15.75" x14ac:dyDescent="0.25">
      <c r="A54" s="508"/>
      <c r="B54" s="508"/>
      <c r="C54" s="131" t="s">
        <v>65</v>
      </c>
      <c r="D54" s="125"/>
      <c r="E54" s="141"/>
      <c r="F54" s="115" t="str">
        <f>IF(E54="","",ROUND(IF(E54&gt;=75,0,IF(E54&lt;=5,1,IF(E54&gt;10,E54*'Reference Curves'!S$85+'Reference Curves'!S$86,'Reference Curves'!$T$85*E54+'Reference Curves'!$T$86))),2))</f>
        <v/>
      </c>
      <c r="G54" s="522"/>
      <c r="H54" s="522"/>
      <c r="I54" s="524"/>
      <c r="L54" s="58"/>
    </row>
    <row r="55" spans="1:12" ht="15.75" x14ac:dyDescent="0.25">
      <c r="A55" s="508"/>
      <c r="B55" s="520"/>
      <c r="C55" s="132" t="s">
        <v>203</v>
      </c>
      <c r="D55" s="126"/>
      <c r="E55" s="60"/>
      <c r="F55" s="116" t="str">
        <f>IF(E55="","",IF(E55&gt;=30,0,ROUND(E55*'Reference Curves'!$S$116+'Reference Curves'!$S$117,2)))</f>
        <v/>
      </c>
      <c r="G55" s="525"/>
      <c r="H55" s="522"/>
      <c r="I55" s="524"/>
      <c r="L55" s="58"/>
    </row>
    <row r="56" spans="1:12" ht="15.75" x14ac:dyDescent="0.25">
      <c r="A56" s="508"/>
      <c r="B56" s="251" t="s">
        <v>82</v>
      </c>
      <c r="C56" s="9" t="s">
        <v>256</v>
      </c>
      <c r="D56" s="63"/>
      <c r="E56" s="60"/>
      <c r="F56" s="65" t="str">
        <f>IF(E56="","",IF(OR(B$15="Cobble",B$15="Boulders",B$15="Bedrock"),ROUND(IF(E56&lt;=0,1,IF(E56&gt;=13.7,0, IF(E56&gt;5,E56*'Reference Curves'!$U$150+'Reference Curves'!$U$151,  E56*'Reference Curves'!$V$150+'Reference Curves'!$V$151))),2),
IF(B$15="Gravel",ROUND(IF(E56&lt;=3,1,IF(E56&gt;=54,0, IF(E56&gt;15,E56*'Reference Curves'!$S$150+'Reference Curves'!$S$151,  E56*'Reference Curves'!$T$150+'Reference Curves'!$T$151))),2))))</f>
        <v/>
      </c>
      <c r="G56" s="65" t="str">
        <f>IFERROR(AVERAGE(F56),"")</f>
        <v/>
      </c>
      <c r="H56" s="522"/>
      <c r="I56" s="524"/>
      <c r="L56" s="58"/>
    </row>
    <row r="57" spans="1:12" ht="15.75" x14ac:dyDescent="0.25">
      <c r="A57" s="508"/>
      <c r="B57" s="507" t="s">
        <v>42</v>
      </c>
      <c r="C57" s="8" t="s">
        <v>229</v>
      </c>
      <c r="D57" s="62"/>
      <c r="E57" s="66"/>
      <c r="F57" s="67" t="str">
        <f>IF(E57="","", IF(LEFT($B$10,1)="C", IF(OR(E57&lt;=3,E57&gt;=9.3),0,IF(AND(E57&gt;=4,E57&lt;=6),1,IF(E57&lt;4, ROUND(E57*'Reference Curves'!$S$250+'Reference Curves'!$S$251,2), ROUND(E57*'Reference Curves'!$T$250+'Reference Curves'!$T$251,2)))),
IF(LEFT($B$10,1)="E", IF(OR(E57&lt;=1.8,E57&gt;=8.3),0,IF(AND(E57&gt;=3.5,E57&lt;=5),1,IF(E57&lt;3.5, ROUND(E57*'Reference Curves'!$S$283+'Reference Curves'!$S$284,2), ROUND(E57*'Reference Curves'!$T$283+'Reference Curves'!$T$284,2)))),
IF(OR($B$10="B",$B$10="Ba"), IF(E57&gt;=6,0, IF(E57&lt;=2, 1, IF(E57&gt;3.9, ROUND(E57*'Reference Curves'!$S$185+'Reference Curves'!$S$186,2), ROUND(E57*'Reference Curves'!$T$185+'Reference Curves'!$T$186,2)))),
IF($B$10="Bc",  IF(E57&gt;12,0, IF(E57&lt;=3.4, 1, ROUND(E57*'Reference Curves'!$S$217+'Reference Curves'!$S$218,2))))))))</f>
        <v/>
      </c>
      <c r="G57" s="518" t="str">
        <f>IFERROR(AVERAGE(F57:F59),"")</f>
        <v/>
      </c>
      <c r="H57" s="522"/>
      <c r="I57" s="524"/>
      <c r="L57" s="58"/>
    </row>
    <row r="58" spans="1:12" ht="15.75" x14ac:dyDescent="0.25">
      <c r="A58" s="508"/>
      <c r="B58" s="508"/>
      <c r="C58" s="105" t="s">
        <v>230</v>
      </c>
      <c r="D58" s="63"/>
      <c r="E58" s="64"/>
      <c r="F58" s="68" t="str">
        <f>IF(E58="","",IF(OR($B$10="B",$B$10="Ba"),ROUND(IF(E58&lt;=1,0,IF(E58&gt;=2.8,1,IF(E58&lt;1.8,E58*'Reference Curves'!$S$318+'Reference Curves'!$S$319,E58*'Reference Curves'!$T$318+'Reference Curves'!$T$319))),2),
ROUND(IF(E58&lt;=1,0,IF(E58&gt;=3.2,1,IF(E58&lt;2.2,E58*'Reference Curves'!$U$318+'Reference Curves'!$U$319,E58*'Reference Curves'!$V$318+'Reference Curves'!$V$319))),2)))</f>
        <v/>
      </c>
      <c r="G58" s="519"/>
      <c r="H58" s="522"/>
      <c r="I58" s="524"/>
      <c r="L58" s="58"/>
    </row>
    <row r="59" spans="1:12" ht="15.75" x14ac:dyDescent="0.25">
      <c r="A59" s="508"/>
      <c r="B59" s="508"/>
      <c r="C59" s="105" t="s">
        <v>142</v>
      </c>
      <c r="D59" s="63"/>
      <c r="E59" s="64"/>
      <c r="F59" s="301" t="str">
        <f>IF(E59="","",IF($B$16&gt;=3,IF(OR(E59&lt;=0,E59&gt;=100),0,IF(AND(E59&gt;=68,E59&lt;=85),1,IF(E59&lt;68,IF(E59&lt;62,ROUND(E59*'Reference Curves'!$S$352+'Reference Curves'!$S$353,2),ROUND(E59*'Reference Curves'!$T$352+'Reference Curves'!$T$353,2)),
IF(E59&gt;87,ROUND(E59*'Reference Curves'!$U$352+'Reference Curves'!$U$353,2),ROUND(E59*'Reference Curves'!$V$352+'Reference Curves'!$V$353,2))))),
IF($B$16&lt;&gt;0,IF(OR(E59&lt;=0,E59&gt;=100),0,IF(AND(E59&lt;=60,E59&gt;=50),1,IF(E59&lt;50,IF(E59&lt;39,ROUND(E59*'Reference Curves'!$S$386+'Reference Curves'!$S$387,2),ROUND(E59*'Reference Curves'!$T$386+'Reference Curves'!$T$387,2)),
IF(E59&gt;69,ROUND(E59*'Reference Curves'!$U$386+'Reference Curves'!$U$387,2),ROUND(E59*'Reference Curves'!$V$386+'Reference Curves'!$V$387,2))))))))</f>
        <v/>
      </c>
      <c r="G59" s="519"/>
      <c r="H59" s="522"/>
      <c r="I59" s="524"/>
      <c r="L59" s="58"/>
    </row>
    <row r="60" spans="1:12" ht="15.75" x14ac:dyDescent="0.25">
      <c r="A60" s="508"/>
      <c r="B60" s="507" t="s">
        <v>41</v>
      </c>
      <c r="C60" s="8" t="s">
        <v>332</v>
      </c>
      <c r="D60" s="128"/>
      <c r="E60" s="129"/>
      <c r="F60" s="124" t="str">
        <f>IF(E60="","",IF($B$11="Unconfined Alluvial",IF(E60&gt;=100,1,IF(E60&lt;0,0,ROUND('Reference Curves'!$S$420*E60+'Reference Curves'!$S$421,2))),IF(OR($B$11="Confined Alluvial",$B$11="Colluvial/V-Shaped"),(IF(E60&gt;=100,1,IF(E60&lt;0,0,IF(E60&lt;60,ROUND('Reference Curves'!$T$420*E60+'Reference Curves'!$T$421,2), ROUND('Reference Curves'!$U$420*E60+'Reference Curves'!$U$421,2))))))))</f>
        <v/>
      </c>
      <c r="G60" s="518" t="str">
        <f>IFERROR(AVERAGE(F60:F62),"")</f>
        <v/>
      </c>
      <c r="H60" s="522"/>
      <c r="I60" s="524"/>
      <c r="L60" s="58"/>
    </row>
    <row r="61" spans="1:12" ht="15.75" x14ac:dyDescent="0.25">
      <c r="A61" s="508"/>
      <c r="B61" s="508"/>
      <c r="C61" s="105" t="s">
        <v>251</v>
      </c>
      <c r="D61" s="123"/>
      <c r="E61" s="127"/>
      <c r="F61" s="68" t="str">
        <f>IF(E61="","",IF(OR($B$17="Alaska Range",$B$17="Brooks Range"),ROUND(IF(E61&gt;=1.57,1,IF(E61&lt;=0.06,'Reference Curves'!$S$455*E61+'Reference Curves'!$S$456, IF(E61&lt;0.83, 'Reference Curves'!$T$455*E61+'Reference Curves'!$T$456, 'Reference Curves'!$U$455*E61+'Reference Curves'!$U$456))),2),
IF($B$17="Interior Highlands",ROUND(IF(E61&gt;=1.67,1,IF(E61&lt;=0.94,'Reference Curves'!$V$455*E61+'Reference Curves'!$V$456, IF(E61&lt;1.21, 'Reference Curves'!$W$455*E61+'Reference Curves'!$W$456, 'Reference Curves'!$X$455*E61+'Reference Curves'!$X$456))),2),
IF(OR($B$17="Interior Bottomlands",$B$17="Yukon Flats"),ROUND(IF(E61&gt;=1.82,1,IF(E61&lt;=1.19,'Reference Curves'!$S$490*E61+'Reference Curves'!$S$491, IF(E61&lt;1.37, 'Reference Curves'!$T$490*E61+'Reference Curves'!$T$491, 'Reference Curves'!$U$490*E61+'Reference Curves'!$U$491))),2),
IF($B$17="Interior Forested Lowlands/Uplands",ROUND(IF(E61&gt;=1.87,1,IF(E61&lt;=1.24,'Reference Curves'!$V$490*E61+'Reference Curves'!$V$491, IF(E61&lt;1.45, 'Reference Curves'!$W$490*E61+'Reference Curves'!$W$491, 'Reference Curves'!$X$490*E61+'Reference Curves'!$X$491))),2))))))</f>
        <v/>
      </c>
      <c r="G61" s="519"/>
      <c r="H61" s="522"/>
      <c r="I61" s="524"/>
      <c r="L61" s="58"/>
    </row>
    <row r="62" spans="1:12" ht="15.75" x14ac:dyDescent="0.25">
      <c r="A62" s="508"/>
      <c r="B62" s="508"/>
      <c r="C62" s="105" t="s">
        <v>325</v>
      </c>
      <c r="D62" s="123"/>
      <c r="E62" s="127"/>
      <c r="F62" s="68" t="str">
        <f>IF(E62="","",IF(E62&lt;83.5,0,IF(E62&gt;=100,1, ROUND(E62*'Reference Curves'!$S$521+'Reference Curves'!$S$522,2))))</f>
        <v/>
      </c>
      <c r="G62" s="519"/>
      <c r="H62" s="522"/>
      <c r="I62" s="524"/>
      <c r="L62" s="58"/>
    </row>
    <row r="63" spans="1:12" ht="15.75" x14ac:dyDescent="0.25">
      <c r="A63" s="513" t="s">
        <v>47</v>
      </c>
      <c r="B63" s="286" t="s">
        <v>60</v>
      </c>
      <c r="C63" s="274" t="s">
        <v>341</v>
      </c>
      <c r="D63" s="275"/>
      <c r="E63" s="59"/>
      <c r="F63" s="171" t="str">
        <f>IF(E63="","",IF(E63&lt;=1.1,1,IF(E63&gt;1.315,0,ROUND(E63*'Reference Curves'!$AA$13+'Reference Curves'!$AA$14,2))))</f>
        <v/>
      </c>
      <c r="G63" s="269" t="str">
        <f>IFERROR(AVERAGE(F63:F63),"")</f>
        <v/>
      </c>
      <c r="H63" s="530" t="str">
        <f>IFERROR(ROUND(AVERAGE(G63:G65),2),"")</f>
        <v/>
      </c>
      <c r="I63" s="487" t="str">
        <f>IF(H63="","",IF(H63&gt;0.69,"Functioning",IF(H63&gt;0.29,"Functioning At Risk",IF(H63&gt;-1,"Not Functioning"))))</f>
        <v/>
      </c>
      <c r="L63" s="58"/>
    </row>
    <row r="64" spans="1:12" ht="15.75" x14ac:dyDescent="0.25">
      <c r="A64" s="514"/>
      <c r="B64" s="172" t="s">
        <v>259</v>
      </c>
      <c r="C64" s="274" t="s">
        <v>342</v>
      </c>
      <c r="D64" s="275"/>
      <c r="E64" s="34"/>
      <c r="F64" s="171" t="str">
        <f>IF(E64="","",IF(E64&lt;=3,1,IF(E64&gt;=100,0,ROUND(IF(E64&gt;10,E64*'Reference Curves'!$AA$46+'Reference Curves'!$AA$47,E64*'Reference Curves'!$AB$46+'Reference Curves'!$AB$47),2))))</f>
        <v/>
      </c>
      <c r="G64" s="171" t="str">
        <f>IFERROR(AVERAGE(F64),"")</f>
        <v/>
      </c>
      <c r="H64" s="531"/>
      <c r="I64" s="487"/>
      <c r="L64" s="58"/>
    </row>
    <row r="65" spans="1:12" ht="15.75" x14ac:dyDescent="0.25">
      <c r="A65" s="515"/>
      <c r="B65" s="172" t="s">
        <v>260</v>
      </c>
      <c r="C65" s="169" t="s">
        <v>359</v>
      </c>
      <c r="D65" s="170"/>
      <c r="E65" s="34"/>
      <c r="F65" s="171" t="str">
        <f>IF(E65="","",IF(E65&gt;=75,1,IF(E65&lt;19,0,ROUND(E65*'Reference Curves'!$AA$79+'Reference Curves'!$AA$80,2))))</f>
        <v/>
      </c>
      <c r="G65" s="171" t="str">
        <f>IFERROR(AVERAGE(F65),"")</f>
        <v/>
      </c>
      <c r="H65" s="532"/>
      <c r="I65" s="487"/>
      <c r="L65" s="58"/>
    </row>
    <row r="66" spans="1:12" ht="15.75" x14ac:dyDescent="0.25">
      <c r="A66" s="499" t="s">
        <v>48</v>
      </c>
      <c r="B66" s="145" t="s">
        <v>109</v>
      </c>
      <c r="C66" s="144" t="s">
        <v>370</v>
      </c>
      <c r="D66" s="70"/>
      <c r="E66" s="59"/>
      <c r="F66" s="239" t="str">
        <f>IF(E66="","", ROUND(IF(E66&gt;=81,0,IF(E66&lt;=36,1,IF(E66&gt;62,E66*'Reference Curves'!$AJ$14+'Reference Curves'!$AJ$15,IF(E66&gt;43,E66*'Reference Curves'!$AK$14+'Reference Curves'!$AK$15,E66*'Reference Curves'!$AL$14+'Reference Curves'!$AL$15)))),2))</f>
        <v/>
      </c>
      <c r="G66" s="146" t="str">
        <f>IFERROR(AVERAGE(F66),"")</f>
        <v/>
      </c>
      <c r="H66" s="505" t="str">
        <f>IFERROR(ROUND(AVERAGE(G66:G69),2),"")</f>
        <v/>
      </c>
      <c r="I66" s="487" t="str">
        <f>IF(H66="","",IF(H66&gt;0.69,"Functioning",IF(H66&gt;0.29,"Functioning At Risk",IF(H66&gt;-1,"Not Functioning"))))</f>
        <v/>
      </c>
      <c r="L66" s="58"/>
    </row>
    <row r="67" spans="1:12" ht="15.75" x14ac:dyDescent="0.25">
      <c r="A67" s="500"/>
      <c r="B67" s="499" t="s">
        <v>56</v>
      </c>
      <c r="C67" s="144" t="s">
        <v>333</v>
      </c>
      <c r="D67" s="70"/>
      <c r="E67" s="66"/>
      <c r="F67" s="229" t="str">
        <f>IF(E67="","", IF($B$18="Anadromous",ROUND(IF(E67&lt;=0,0,IF(E67&gt;=100,1,IF(E67&lt;80,E67*'Reference Curves'!$AJ$48+'Reference Curves'!$AJ$49,E67*'Reference Curves'!$AK$48+'Reference Curves'!$AK$49))),2),
IF($B$18="Non-anadromous",ROUND(IF(E67&lt;=0,0,IF(E67&gt;=100,1,IF(E67&lt;60,E67*'Reference Curves'!$AL$48+'Reference Curves'!$AL$49,E67*'Reference Curves'!$AM$48+'Reference Curves'!$AM$49))),2))))</f>
        <v/>
      </c>
      <c r="G67" s="528" t="str">
        <f>IFERROR(AVERAGE(F67:F69),"")</f>
        <v/>
      </c>
      <c r="H67" s="506"/>
      <c r="I67" s="487"/>
      <c r="L67" s="58"/>
    </row>
    <row r="68" spans="1:12" ht="15.75" x14ac:dyDescent="0.25">
      <c r="A68" s="500"/>
      <c r="B68" s="500"/>
      <c r="C68" s="362" t="s">
        <v>343</v>
      </c>
      <c r="D68" s="363"/>
      <c r="E68" s="64"/>
      <c r="F68" s="239" t="str">
        <f>IF(E68="","",IF(E68&lt;0,0,IF(E68&gt;=0.9,1,ROUND(E68*'Reference Curves'!$AJ$81+'Reference Curves'!$AJ$82,2))))</f>
        <v/>
      </c>
      <c r="G68" s="528"/>
      <c r="H68" s="506"/>
      <c r="I68" s="487"/>
      <c r="L68" s="58"/>
    </row>
    <row r="69" spans="1:12" ht="15.75" x14ac:dyDescent="0.25">
      <c r="A69" s="501"/>
      <c r="B69" s="501"/>
      <c r="C69" s="228" t="s">
        <v>233</v>
      </c>
      <c r="D69" s="230"/>
      <c r="E69" s="277"/>
      <c r="F69" s="71" t="str">
        <f>IF(E69="","",IF(E69&lt;0,0,IF(E69&gt;=0.9,1,ROUND(E69*'Reference Curves'!$AJ$81+'Reference Curves'!$AJ$82,2))))</f>
        <v/>
      </c>
      <c r="G69" s="529"/>
      <c r="H69" s="506"/>
      <c r="I69" s="487"/>
      <c r="L69" s="58"/>
    </row>
    <row r="70" spans="1:12" ht="15.75" x14ac:dyDescent="0.25">
      <c r="F70" s="278"/>
    </row>
    <row r="71" spans="1:12" ht="21" x14ac:dyDescent="0.35">
      <c r="A71" s="490" t="s">
        <v>45</v>
      </c>
      <c r="B71" s="491"/>
      <c r="C71" s="491"/>
      <c r="D71" s="491"/>
      <c r="E71" s="491"/>
      <c r="F71" s="492"/>
      <c r="G71" s="512" t="s">
        <v>247</v>
      </c>
      <c r="H71" s="491"/>
      <c r="I71" s="492"/>
    </row>
    <row r="72" spans="1:12" ht="15.75" x14ac:dyDescent="0.25">
      <c r="A72" s="55" t="s">
        <v>1</v>
      </c>
      <c r="B72" s="25" t="s">
        <v>140</v>
      </c>
      <c r="C72" s="557" t="s">
        <v>139</v>
      </c>
      <c r="D72" s="558"/>
      <c r="E72" s="55" t="s">
        <v>10</v>
      </c>
      <c r="F72" s="56" t="s">
        <v>11</v>
      </c>
      <c r="G72" s="55" t="s">
        <v>13</v>
      </c>
      <c r="H72" s="55" t="s">
        <v>14</v>
      </c>
      <c r="I72" s="55" t="s">
        <v>14</v>
      </c>
    </row>
    <row r="73" spans="1:12" ht="15.75" x14ac:dyDescent="0.25">
      <c r="A73" s="480" t="s">
        <v>161</v>
      </c>
      <c r="B73" s="448" t="s">
        <v>258</v>
      </c>
      <c r="C73" s="137" t="s">
        <v>138</v>
      </c>
      <c r="D73" s="138"/>
      <c r="E73" s="59"/>
      <c r="F73" s="264" t="str">
        <f>IF(E73="","",ROUND(IF(E73&gt;=86,0,IF(E73&lt;=9,1,IF(E73&gt;22,E73*'Reference Curves'!$C$14+'Reference Curves'!$C$15,IF(E73&gt;16,E73*'Reference Curves'!$D$14+'Reference Curves'!$D$15,E73*'Reference Curves'!$E$14+'Reference Curves'!$E$15)))),2))</f>
        <v/>
      </c>
      <c r="G73" s="457" t="str">
        <f>IFERROR(AVERAGE(F73:F75),"")</f>
        <v/>
      </c>
      <c r="H73" s="457" t="str">
        <f>IFERROR(ROUND(AVERAGE(G73:G79),2),"")</f>
        <v/>
      </c>
      <c r="I73" s="496" t="str">
        <f>IF(H73="","",IF(H73:H79&gt;0.69,"Functioning",IF(H73&gt;0.29,"Functioning At Risk",IF(H73&gt;-1,"Not Functioning"))))</f>
        <v/>
      </c>
    </row>
    <row r="74" spans="1:12" ht="15.75" x14ac:dyDescent="0.25">
      <c r="A74" s="481"/>
      <c r="B74" s="449"/>
      <c r="C74" s="156" t="s">
        <v>257</v>
      </c>
      <c r="D74" s="254"/>
      <c r="E74" s="57"/>
      <c r="F74" s="265" t="str">
        <f>IF(E74="","",ROUND(IF(E74&gt;33.5,0,IF(E74&lt;=0,1,E74*'Reference Curves'!$C$44+'Reference Curves'!$C$45)),2))</f>
        <v/>
      </c>
      <c r="G74" s="458"/>
      <c r="H74" s="458"/>
      <c r="I74" s="497"/>
    </row>
    <row r="75" spans="1:12" ht="15.75" x14ac:dyDescent="0.25">
      <c r="A75" s="481"/>
      <c r="B75" s="450"/>
      <c r="C75" s="178" t="s">
        <v>324</v>
      </c>
      <c r="D75" s="255"/>
      <c r="E75" s="60"/>
      <c r="F75" s="265" t="str">
        <f>IF(E75="","",ROUND(IF(E75&gt;=61,0,IF(E75&lt;=0,1,IF(E75&gt;35,E75*'Reference Curves'!$C$75+'Reference Curves'!$C$76,E75*'Reference Curves'!$D$75+'Reference Curves'!$D$76))),2))</f>
        <v/>
      </c>
      <c r="G75" s="459"/>
      <c r="H75" s="458"/>
      <c r="I75" s="497"/>
    </row>
    <row r="76" spans="1:12" ht="15.75" x14ac:dyDescent="0.25">
      <c r="A76" s="481"/>
      <c r="B76" s="581" t="s">
        <v>95</v>
      </c>
      <c r="C76" s="137" t="s">
        <v>138</v>
      </c>
      <c r="D76" s="280"/>
      <c r="E76" s="57"/>
      <c r="F76" s="139" t="str">
        <f>IF(E76="","",ROUND(IF(E76&gt;=86,0,IF(E76&lt;=9,1,IF(E76&gt;22,E76*'Reference Curves'!$C$14+'Reference Curves'!$C$15,IF(E76&gt;16,E76*'Reference Curves'!$D$14+'Reference Curves'!$D$15,E76*'Reference Curves'!$E$14+'Reference Curves'!$E$15)))),2))</f>
        <v/>
      </c>
      <c r="G76" s="457" t="str">
        <f>IFERROR(AVERAGE(F76:F79),"")</f>
        <v/>
      </c>
      <c r="H76" s="458"/>
      <c r="I76" s="497"/>
    </row>
    <row r="77" spans="1:12" ht="15.75" x14ac:dyDescent="0.25">
      <c r="A77" s="481"/>
      <c r="B77" s="449"/>
      <c r="C77" s="156" t="s">
        <v>257</v>
      </c>
      <c r="D77" s="281"/>
      <c r="E77" s="57"/>
      <c r="F77" s="265" t="str">
        <f>IF(E77="","",ROUND(IF(E77&gt;33.5,0,IF(E77&lt;=0,1,E77*'Reference Curves'!$C$44+'Reference Curves'!$C$45)),2))</f>
        <v/>
      </c>
      <c r="G77" s="458"/>
      <c r="H77" s="458"/>
      <c r="I77" s="497"/>
    </row>
    <row r="78" spans="1:12" ht="15.75" x14ac:dyDescent="0.25">
      <c r="A78" s="481"/>
      <c r="B78" s="449"/>
      <c r="C78" s="156" t="s">
        <v>324</v>
      </c>
      <c r="D78" s="281"/>
      <c r="E78" s="57"/>
      <c r="F78" s="265" t="str">
        <f>IF(E78="","",ROUND(IF(E78&gt;=61,0,IF(E78&lt;=0,1,IF(E78&gt;35,E78*'Reference Curves'!$C$75+'Reference Curves'!$C$76,E78*'Reference Curves'!$D$75+'Reference Curves'!$D$76))),2))</f>
        <v/>
      </c>
      <c r="G78" s="458"/>
      <c r="H78" s="458"/>
      <c r="I78" s="497"/>
    </row>
    <row r="79" spans="1:12" ht="15.75" x14ac:dyDescent="0.25">
      <c r="A79" s="482"/>
      <c r="B79" s="450"/>
      <c r="C79" s="178" t="s">
        <v>227</v>
      </c>
      <c r="D79" s="179"/>
      <c r="E79" s="57"/>
      <c r="F79" s="157" t="str">
        <f>IF(E79="","",   IF(E79&gt;3.35,0, IF(E79&lt;0, "", ROUND('Reference Curves'!$C$105*E79+'Reference Curves'!$C$106,2))))</f>
        <v/>
      </c>
      <c r="G79" s="459"/>
      <c r="H79" s="458"/>
      <c r="I79" s="498"/>
    </row>
    <row r="80" spans="1:12" ht="15.75" customHeight="1" x14ac:dyDescent="0.25">
      <c r="A80" s="509" t="s">
        <v>160</v>
      </c>
      <c r="B80" s="533" t="s">
        <v>5</v>
      </c>
      <c r="C80" s="227" t="s">
        <v>226</v>
      </c>
      <c r="D80" s="204"/>
      <c r="E80" s="59"/>
      <c r="F80" s="205" t="str">
        <f>IF(E80="","",ROUND(IF(OR(E80&gt;1.71, E80&lt;0.34),0,IF(E80&lt;=1,1,E80*'Reference Curves'!K$13+'Reference Curves'!K$14)),2))</f>
        <v/>
      </c>
      <c r="G80" s="526" t="str">
        <f>IFERROR(AVERAGE(F80:F81),"")</f>
        <v/>
      </c>
      <c r="H80" s="493" t="str">
        <f>IFERROR(ROUND(AVERAGE(G80:G82),2),"")</f>
        <v/>
      </c>
      <c r="I80" s="496" t="str">
        <f>IF(H80="","",IF(H80&gt;0.69,"Functioning",IF(H80&gt;0.29,"Functioning At Risk",IF(H80&gt;-1,"Not Functioning"))))</f>
        <v/>
      </c>
    </row>
    <row r="81" spans="1:9" ht="15.75" x14ac:dyDescent="0.25">
      <c r="A81" s="510"/>
      <c r="B81" s="534"/>
      <c r="C81" s="226" t="s">
        <v>225</v>
      </c>
      <c r="D81" s="61"/>
      <c r="E81" s="198"/>
      <c r="F81" s="231" t="str">
        <f>IF(E81="","",IF(LEFT(B$10,1)="B",IF(E81&lt;=1,0,IF(E81&gt;=2.2,1,ROUND(IF(E81&lt;1.4,E81*'Reference Curves'!$K$117+'Reference Curves'!$K$118,E81*'Reference Curves'!$L$117+'Reference Curves'!$L$118),2))),
IF(LEFT(B$10,1)="C",IF(E81&lt;1.7,0,IF(E81&gt;=4.4,1,ROUND(IF(E81&lt;2.4,E81*'Reference Curves'!$K$47+'Reference Curves'!$K$48,E81*'Reference Curves'!$L$47+'Reference Curves'!$L$48),2))),
IF(LEFT(B$10,1)="E",IF(E81&lt;1.7,0,IF(E81&gt;=6.5,1,ROUND(IF(E81&lt;2.4,E81*'Reference Curves'!$K$82+'Reference Curves'!$K$83,E81*'Reference Curves'!$L$82+'Reference Curves'!$L$83),2)))) )     ))</f>
        <v/>
      </c>
      <c r="G81" s="527"/>
      <c r="H81" s="494"/>
      <c r="I81" s="497"/>
    </row>
    <row r="82" spans="1:9" ht="15.75" x14ac:dyDescent="0.25">
      <c r="A82" s="511"/>
      <c r="B82" s="211" t="s">
        <v>210</v>
      </c>
      <c r="C82" s="225" t="s">
        <v>270</v>
      </c>
      <c r="D82" s="203"/>
      <c r="E82" s="140"/>
      <c r="F82" s="232" t="str">
        <f>IF(E82="","", IF(E82&gt;=180,0, IF(E82=100,1, ROUND(IF(E82&gt;100, E82*'Reference Curves'!$L$151+'Reference Curves'!$L$152, IF(E80&gt;1.2,IF(E82&lt;=20,0,E82*'Reference Curves'!$K$151+'Reference Curves'!$K$152),1) ),2))))</f>
        <v/>
      </c>
      <c r="G82" s="253" t="str">
        <f>IFERROR(AVERAGE(F82:F82),"")</f>
        <v/>
      </c>
      <c r="H82" s="495"/>
      <c r="I82" s="498"/>
    </row>
    <row r="83" spans="1:9" ht="15.75" customHeight="1" x14ac:dyDescent="0.25">
      <c r="A83" s="507" t="s">
        <v>17</v>
      </c>
      <c r="B83" s="200" t="s">
        <v>231</v>
      </c>
      <c r="C83" s="212" t="s">
        <v>228</v>
      </c>
      <c r="D83" s="213"/>
      <c r="E83" s="34"/>
      <c r="F83" s="237" t="str">
        <f>IF(E83="","",IF($B$17="Alaska Range",ROUND(IF(E83&lt;=0.05,0, IF(E83&gt;=6.3,1,IF(E83&lt;=1.5,'Reference Curves'!$S$16*E83+'Reference Curves'!$S$17, 'Reference Curves'!$T$16*E83+'Reference Curves'!$T$17))),2),
IF($B$17="Brooks Range",ROUND(IF(E83&gt;=4.2,1,IF(E83&lt;0.03,0, IF(E83&lt;=1.2,'Reference Curves'!$U$16*E83+'Reference Curves'!$U$17, 'Reference Curves'!$V$16*E83+'Reference Curves'!$V$17))),2),
IF(OR($B$17="Interior Bottomlands", $B$17="Yukon Flats"),ROUND(IF(E83&gt;=54.5,1,IF(E83&lt;=3.7,'Reference Curves'!$S$51*E83+'Reference Curves'!$S$52, IF(E83&lt;4.7, 'Reference Curves'!$T$51*E83+'Reference Curves'!$T$52, 'Reference Curves'!$U$51*E83+'Reference Curves'!$U$52))),2),
IF(OR($B$17="Interior Forested Lowlands/Uplands",$B$17="Interior Highlands"),ROUND(IF(E83=0,0,IF(E83&gt;=24.1,1,IF(E83&lt;=1.3,'Reference Curves'!$V$51*E83+'Reference Curves'!$V$52, 'Reference Curves'!$W$51*E83+'Reference Curves'!$W$52))),2))))))</f>
        <v/>
      </c>
      <c r="G83" s="214" t="str">
        <f>IFERROR(AVERAGE(F83:F83),"")</f>
        <v/>
      </c>
      <c r="H83" s="521" t="str">
        <f>IFERROR(ROUND(AVERAGE(G83:G93),2),"")</f>
        <v/>
      </c>
      <c r="I83" s="523" t="str">
        <f>IF(H83="","",IF(H83&gt;0.69,"Functioning",IF(H83&gt;0.29,"Functioning At Risk",IF(H83&gt;-1,"Not Functioning"))))</f>
        <v/>
      </c>
    </row>
    <row r="84" spans="1:9" ht="15.75" x14ac:dyDescent="0.25">
      <c r="A84" s="508"/>
      <c r="B84" s="508" t="s">
        <v>157</v>
      </c>
      <c r="C84" s="130" t="s">
        <v>40</v>
      </c>
      <c r="D84" s="63"/>
      <c r="E84" s="238"/>
      <c r="F84" s="115" t="str">
        <f>IF(E84="","",IF(OR(E84="Ex/Ex",E84="Ex/VH",E84="Ex/H",E84="Ex/M",E84="VH/Ex",E84="VH/VH", E84="H/Ex",E84="H/VH"),0, IF(OR(E84="M/Ex"),0.1,IF(OR(E84="VH/H",E84="VH/M",E84="H/H",E84="H/M", E84="M/VH"),0.2, IF(OR(E84="Ex/VL",E84="Ex/L", E84="M/H"),0.3, IF(OR(E84="VH/L",E84="H/L"),0.4, IF(OR(E84="VH/VL",E84="H/VL",E84="M/M"),0.5, IF(OR(E84="M/L",E84="L/Ex"),0.6, IF(OR(E84="M/VL",E84="L/VH", E84="L/H",E84="L/M",E84="L/L",E84="L/VL",LEFT(E84)="V"),1)))))))))</f>
        <v/>
      </c>
      <c r="G84" s="522" t="str">
        <f>IFERROR(IF(E86&gt;50,0,AVERAGE(F84:F86)),"")</f>
        <v/>
      </c>
      <c r="H84" s="522"/>
      <c r="I84" s="524"/>
    </row>
    <row r="85" spans="1:9" ht="15.75" x14ac:dyDescent="0.25">
      <c r="A85" s="508"/>
      <c r="B85" s="508"/>
      <c r="C85" s="131" t="s">
        <v>65</v>
      </c>
      <c r="D85" s="125"/>
      <c r="E85" s="141"/>
      <c r="F85" s="115" t="str">
        <f>IF(E85="","",ROUND(IF(E85&gt;=75,0,IF(E85&lt;=5,1,IF(E85&gt;10,E85*'Reference Curves'!S$85+'Reference Curves'!S$86,'Reference Curves'!$T$85*E85+'Reference Curves'!$T$86))),2))</f>
        <v/>
      </c>
      <c r="G85" s="522"/>
      <c r="H85" s="522"/>
      <c r="I85" s="524"/>
    </row>
    <row r="86" spans="1:9" ht="15.75" x14ac:dyDescent="0.25">
      <c r="A86" s="508"/>
      <c r="B86" s="520"/>
      <c r="C86" s="132" t="s">
        <v>203</v>
      </c>
      <c r="D86" s="126"/>
      <c r="E86" s="60"/>
      <c r="F86" s="116" t="str">
        <f>IF(E86="","",IF(E86&gt;=30,0,ROUND(E86*'Reference Curves'!$S$116+'Reference Curves'!$S$117,2)))</f>
        <v/>
      </c>
      <c r="G86" s="525"/>
      <c r="H86" s="522"/>
      <c r="I86" s="524"/>
    </row>
    <row r="87" spans="1:9" ht="15.75" x14ac:dyDescent="0.25">
      <c r="A87" s="508"/>
      <c r="B87" s="252" t="s">
        <v>82</v>
      </c>
      <c r="C87" s="9" t="s">
        <v>256</v>
      </c>
      <c r="D87" s="63"/>
      <c r="E87" s="60"/>
      <c r="F87" s="65" t="str">
        <f>IF(E87="","",IF(OR(B$15="Cobble",B$15="Boulders",B$15="Bedrock"),ROUND(IF(E87&lt;=0,1,IF(E87&gt;=13.7,0, IF(E87&gt;5,E87*'Reference Curves'!$U$150+'Reference Curves'!$U$151,  E87*'Reference Curves'!$V$150+'Reference Curves'!$V$151))),2),
IF(B$15="Gravel",ROUND(IF(E87&lt;=3,1,IF(E87&gt;=54,0, IF(E87&gt;15,E87*'Reference Curves'!$S$150+'Reference Curves'!$S$151,  E87*'Reference Curves'!$T$150+'Reference Curves'!$T$151))),2))))</f>
        <v/>
      </c>
      <c r="G87" s="65" t="str">
        <f>IFERROR(AVERAGE(F87),"")</f>
        <v/>
      </c>
      <c r="H87" s="522"/>
      <c r="I87" s="524"/>
    </row>
    <row r="88" spans="1:9" ht="15.75" x14ac:dyDescent="0.25">
      <c r="A88" s="508"/>
      <c r="B88" s="507" t="s">
        <v>42</v>
      </c>
      <c r="C88" s="8" t="s">
        <v>229</v>
      </c>
      <c r="D88" s="62"/>
      <c r="E88" s="66"/>
      <c r="F88" s="67" t="str">
        <f>IF(E88="","", IF(LEFT($B$10,1)="C", IF(OR(E88&lt;=3,E88&gt;=9.3),0,IF(AND(E88&gt;=4,E88&lt;=6),1,IF(E88&lt;4, ROUND(E88*'Reference Curves'!$S$250+'Reference Curves'!$S$251,2), ROUND(E88*'Reference Curves'!$T$250+'Reference Curves'!$T$251,2)))),
IF(LEFT($B$10,1)="E", IF(OR(E88&lt;=1.8,E88&gt;=8.3),0,IF(AND(E88&gt;=3.5,E88&lt;=5),1,IF(E88&lt;3.5, ROUND(E88*'Reference Curves'!$S$283+'Reference Curves'!$S$284,2), ROUND(E88*'Reference Curves'!$T$283+'Reference Curves'!$T$284,2)))),
IF(OR($B$10="B",$B$10="Ba"), IF(E88&gt;=6,0, IF(E88&lt;=2, 1, IF(E88&gt;3.9, ROUND(E88*'Reference Curves'!$S$185+'Reference Curves'!$S$186,2), ROUND(E88*'Reference Curves'!$T$185+'Reference Curves'!$T$186,2)))),
IF($B$10="Bc",  IF(E88&gt;12,0, IF(E88&lt;=3.4, 1, ROUND(E88*'Reference Curves'!$S$217+'Reference Curves'!$S$218,2))))))))</f>
        <v/>
      </c>
      <c r="G88" s="518" t="str">
        <f>IFERROR(AVERAGE(F88:F90),"")</f>
        <v/>
      </c>
      <c r="H88" s="522"/>
      <c r="I88" s="524"/>
    </row>
    <row r="89" spans="1:9" ht="15.75" x14ac:dyDescent="0.25">
      <c r="A89" s="508"/>
      <c r="B89" s="508"/>
      <c r="C89" s="105" t="s">
        <v>230</v>
      </c>
      <c r="D89" s="63"/>
      <c r="E89" s="64"/>
      <c r="F89" s="68" t="str">
        <f>IF(E89="","",IF(OR($B$10="B",$B$10="Ba"),ROUND(IF(E89&lt;=1,0,IF(E89&gt;=2.8,1,IF(E89&lt;1.8,E89*'Reference Curves'!$S$318+'Reference Curves'!$S$319,E89*'Reference Curves'!$T$318+'Reference Curves'!$T$319))),2),
ROUND(IF(E89&lt;=1,0,IF(E89&gt;=3.2,1,IF(E89&lt;2.2,E89*'Reference Curves'!$U$318+'Reference Curves'!$U$319,E89*'Reference Curves'!$V$318+'Reference Curves'!$V$319))),2)))</f>
        <v/>
      </c>
      <c r="G89" s="519"/>
      <c r="H89" s="522"/>
      <c r="I89" s="524"/>
    </row>
    <row r="90" spans="1:9" ht="15.75" x14ac:dyDescent="0.25">
      <c r="A90" s="508"/>
      <c r="B90" s="508"/>
      <c r="C90" s="105" t="s">
        <v>142</v>
      </c>
      <c r="D90" s="63"/>
      <c r="E90" s="64"/>
      <c r="F90" s="216" t="str">
        <f>IF(E90="","",IF($B$16&gt;=3,IF(OR(E90&lt;=0,E90&gt;=100),0,IF(AND(E90&gt;=68,E90&lt;=85),1,IF(E90&lt;68,IF(E90&lt;62,ROUND(E90*'Reference Curves'!$S$352+'Reference Curves'!$S$353,2),ROUND(E90*'Reference Curves'!$T$352+'Reference Curves'!$T$353,2)),
IF(E90&gt;87,ROUND(E90*'Reference Curves'!$U$352+'Reference Curves'!$U$353,2),ROUND(E90*'Reference Curves'!$V$352+'Reference Curves'!$V$353,2))))),
IF($B$16&lt;&gt;0,IF(OR(E90&lt;=0,E90&gt;=100),0,IF(AND(E90&lt;=60,E90&gt;=50),1,IF(E90&lt;50,IF(E90&lt;39,ROUND(E90*'Reference Curves'!$S$386+'Reference Curves'!$S$387,2),ROUND(E90*'Reference Curves'!$T$386+'Reference Curves'!$T$387,2)),
IF(E90&gt;69,ROUND(E90*'Reference Curves'!$U$386+'Reference Curves'!$U$387,2),ROUND(E90*'Reference Curves'!$V$386+'Reference Curves'!$V$387,2))))))))</f>
        <v/>
      </c>
      <c r="G90" s="519"/>
      <c r="H90" s="522"/>
      <c r="I90" s="524"/>
    </row>
    <row r="91" spans="1:9" ht="15.75" x14ac:dyDescent="0.25">
      <c r="A91" s="508"/>
      <c r="B91" s="507" t="s">
        <v>41</v>
      </c>
      <c r="C91" s="8" t="s">
        <v>332</v>
      </c>
      <c r="D91" s="128"/>
      <c r="E91" s="129"/>
      <c r="F91" s="124" t="str">
        <f>IF(E91="","",IF($B$11="Unconfined Alluvial",IF(E91&gt;=100,1,IF(E91&lt;0,0,ROUND('Reference Curves'!$S$420*E91+'Reference Curves'!$S$421,2))),IF(OR($B$11="Confined Alluvial",$B$11="Colluvial/V-Shaped"),(IF(E91&gt;=100,1,IF(E91&lt;0,0,IF(E91&lt;60,ROUND('Reference Curves'!$T$420*E91+'Reference Curves'!$T$421,2), ROUND('Reference Curves'!$U$420*E91+'Reference Curves'!$U$421,2))))))))</f>
        <v/>
      </c>
      <c r="G91" s="518" t="str">
        <f>IFERROR(AVERAGE(F91:F93),"")</f>
        <v/>
      </c>
      <c r="H91" s="522"/>
      <c r="I91" s="524"/>
    </row>
    <row r="92" spans="1:9" ht="15.75" x14ac:dyDescent="0.25">
      <c r="A92" s="508"/>
      <c r="B92" s="508"/>
      <c r="C92" s="105" t="s">
        <v>251</v>
      </c>
      <c r="D92" s="123"/>
      <c r="E92" s="127"/>
      <c r="F92" s="68" t="str">
        <f>IF(E92="","",IF(OR($B$17="Alaska Range",$B$17="Brooks Range"),ROUND(IF(E92&gt;=1.57,1,IF(E92&lt;=0.06,'Reference Curves'!$S$455*E92+'Reference Curves'!$S$456, IF(E92&lt;0.83, 'Reference Curves'!$T$455*E92+'Reference Curves'!$T$456, 'Reference Curves'!$U$455*E92+'Reference Curves'!$U$456))),2),
IF($B$17="Interior Highlands",ROUND(IF(E92&gt;=1.67,1,IF(E92&lt;=0.94,'Reference Curves'!$V$455*E92+'Reference Curves'!$V$456, IF(E92&lt;1.21, 'Reference Curves'!$W$455*E92+'Reference Curves'!$W$456, 'Reference Curves'!$X$455*E92+'Reference Curves'!$X$456))),2),
IF(OR($B$17="Interior Bottomlands",$B$17="Yukon Flats"),ROUND(IF(E92&gt;=1.82,1,IF(E92&lt;=1.19,'Reference Curves'!$S$490*E92+'Reference Curves'!$S$491, IF(E92&lt;1.37, 'Reference Curves'!$T$490*E92+'Reference Curves'!$T$491, 'Reference Curves'!$U$490*E92+'Reference Curves'!$U$491))),2),
IF($B$17="Interior Forested Lowlands/Uplands",ROUND(IF(E92&gt;=1.87,1,IF(E92&lt;=1.24,'Reference Curves'!$V$490*E92+'Reference Curves'!$V$491, IF(E92&lt;1.45, 'Reference Curves'!$W$490*E92+'Reference Curves'!$W$491, 'Reference Curves'!$X$490*E92+'Reference Curves'!$X$491))),2))))))</f>
        <v/>
      </c>
      <c r="G92" s="519"/>
      <c r="H92" s="522"/>
      <c r="I92" s="524"/>
    </row>
    <row r="93" spans="1:9" ht="15.75" x14ac:dyDescent="0.25">
      <c r="A93" s="508"/>
      <c r="B93" s="508"/>
      <c r="C93" s="105" t="s">
        <v>325</v>
      </c>
      <c r="D93" s="123"/>
      <c r="E93" s="127"/>
      <c r="F93" s="68" t="str">
        <f>IF(E93="","",IF(E93&lt;83.5,0,IF(E93&gt;=100,1, ROUND(E93*'Reference Curves'!$S$521+'Reference Curves'!$S$522,2))))</f>
        <v/>
      </c>
      <c r="G93" s="519"/>
      <c r="H93" s="522"/>
      <c r="I93" s="524"/>
    </row>
    <row r="94" spans="1:9" ht="15.75" x14ac:dyDescent="0.25">
      <c r="A94" s="513" t="s">
        <v>47</v>
      </c>
      <c r="B94" s="268" t="s">
        <v>60</v>
      </c>
      <c r="C94" s="274" t="s">
        <v>341</v>
      </c>
      <c r="D94" s="275"/>
      <c r="E94" s="34"/>
      <c r="F94" s="171" t="str">
        <f>IF(E94="","",IF(E94&lt;=1.1,1,IF(E94&gt;1.315,0,ROUND(E94*'Reference Curves'!$AA$13+'Reference Curves'!$AA$14,2))))</f>
        <v/>
      </c>
      <c r="G94" s="269" t="str">
        <f>IFERROR(AVERAGE(F94:F94),"")</f>
        <v/>
      </c>
      <c r="H94" s="530" t="str">
        <f>IFERROR(ROUND(AVERAGE(G94:G96),2),"")</f>
        <v/>
      </c>
      <c r="I94" s="487" t="str">
        <f>IF(H94="","",IF(H94&gt;0.69,"Functioning",IF(H94&gt;0.29,"Functioning At Risk",IF(H94&gt;-1,"Not Functioning"))))</f>
        <v/>
      </c>
    </row>
    <row r="95" spans="1:9" ht="15.75" x14ac:dyDescent="0.25">
      <c r="A95" s="514"/>
      <c r="B95" s="172" t="s">
        <v>259</v>
      </c>
      <c r="C95" s="274" t="s">
        <v>342</v>
      </c>
      <c r="D95" s="275"/>
      <c r="E95" s="60"/>
      <c r="F95" s="171" t="str">
        <f>IF(E95="","",IF(E95&lt;=3,1,IF(E95&gt;=100,0,ROUND(IF(E95&gt;10,E95*'Reference Curves'!$AA$46+'Reference Curves'!$AA$47,E95*'Reference Curves'!$AB$46+'Reference Curves'!$AB$47),2))))</f>
        <v/>
      </c>
      <c r="G95" s="171" t="str">
        <f>IFERROR(AVERAGE(F95),"")</f>
        <v/>
      </c>
      <c r="H95" s="531"/>
      <c r="I95" s="487"/>
    </row>
    <row r="96" spans="1:9" ht="15.75" x14ac:dyDescent="0.25">
      <c r="A96" s="515"/>
      <c r="B96" s="172" t="s">
        <v>260</v>
      </c>
      <c r="C96" s="169" t="s">
        <v>359</v>
      </c>
      <c r="D96" s="170"/>
      <c r="E96" s="34"/>
      <c r="F96" s="171" t="str">
        <f>IF(E96="","",IF(E96&gt;=75,1,IF(E96&lt;19,0,ROUND(E96*'Reference Curves'!$AA$79+'Reference Curves'!$AA$80,2))))</f>
        <v/>
      </c>
      <c r="G96" s="171" t="str">
        <f>IFERROR(AVERAGE(F96),"")</f>
        <v/>
      </c>
      <c r="H96" s="532"/>
      <c r="I96" s="487"/>
    </row>
    <row r="97" spans="1:9" ht="15.75" x14ac:dyDescent="0.25">
      <c r="A97" s="499" t="s">
        <v>48</v>
      </c>
      <c r="B97" s="145" t="s">
        <v>109</v>
      </c>
      <c r="C97" s="144" t="s">
        <v>370</v>
      </c>
      <c r="D97" s="70"/>
      <c r="E97" s="59"/>
      <c r="F97" s="239" t="str">
        <f>IF(E97="","", ROUND(IF(E97&gt;=81,0,IF(E97&lt;=36,1,IF(E97&gt;62,E97*'Reference Curves'!$AJ$14+'Reference Curves'!$AJ$15,IF(E97&gt;43,E97*'Reference Curves'!$AK$14+'Reference Curves'!$AK$15,E97*'Reference Curves'!$AL$14+'Reference Curves'!$AL$15)))),2))</f>
        <v/>
      </c>
      <c r="G97" s="146" t="str">
        <f>IFERROR(AVERAGE(F97),"")</f>
        <v/>
      </c>
      <c r="H97" s="505" t="str">
        <f>IFERROR(ROUND(AVERAGE(G97:G100),2),"")</f>
        <v/>
      </c>
      <c r="I97" s="487" t="str">
        <f>IF(H97="","",IF(H97&gt;0.69,"Functioning",IF(H97&gt;0.29,"Functioning At Risk",IF(H97&gt;-1,"Not Functioning"))))</f>
        <v/>
      </c>
    </row>
    <row r="98" spans="1:9" ht="15.75" x14ac:dyDescent="0.25">
      <c r="A98" s="500"/>
      <c r="B98" s="502" t="s">
        <v>56</v>
      </c>
      <c r="C98" s="144" t="s">
        <v>333</v>
      </c>
      <c r="D98" s="70"/>
      <c r="E98" s="59"/>
      <c r="F98" s="229" t="str">
        <f>IF(E98="","", IF($B$18="Anadromous",ROUND(IF(E98&lt;=0,0,IF(E98&gt;=100,1,IF(E98&lt;80,E98*'Reference Curves'!$AJ$48+'Reference Curves'!$AJ$49,E98*'Reference Curves'!$AK$48+'Reference Curves'!$AK$49))),2),
IF($B$18="Non-anadromous",ROUND(IF(E98&lt;=0,0,IF(E98&gt;=100,1,IF(E98&lt;60,E98*'Reference Curves'!$AL$48+'Reference Curves'!$AL$49,E98*'Reference Curves'!$AM$48+'Reference Curves'!$AM$49))),2))))</f>
        <v/>
      </c>
      <c r="G98" s="488" t="str">
        <f>IFERROR(AVERAGE(F98:F100),"")</f>
        <v/>
      </c>
      <c r="H98" s="506"/>
      <c r="I98" s="487"/>
    </row>
    <row r="99" spans="1:9" ht="15.75" x14ac:dyDescent="0.25">
      <c r="A99" s="500"/>
      <c r="B99" s="503"/>
      <c r="C99" s="362" t="s">
        <v>343</v>
      </c>
      <c r="D99" s="363"/>
      <c r="E99" s="57"/>
      <c r="F99" s="239" t="str">
        <f>IF(E99="","",IF(E99&lt;0,0,IF(E99&gt;=0.9,1,ROUND(E99*'Reference Curves'!$AJ$81+'Reference Curves'!$AJ$82,2))))</f>
        <v/>
      </c>
      <c r="G99" s="488"/>
      <c r="H99" s="506"/>
      <c r="I99" s="487"/>
    </row>
    <row r="100" spans="1:9" ht="15.75" x14ac:dyDescent="0.25">
      <c r="A100" s="501"/>
      <c r="B100" s="504"/>
      <c r="C100" s="228" t="s">
        <v>233</v>
      </c>
      <c r="D100" s="230"/>
      <c r="E100" s="198"/>
      <c r="F100" s="71" t="str">
        <f>IF(E100="","",IF(E100&lt;0,0,IF(E100&gt;=0.9,1,ROUND(E100*'Reference Curves'!$AJ$81+'Reference Curves'!$AJ$82,2))))</f>
        <v/>
      </c>
      <c r="G100" s="489"/>
      <c r="H100" s="506"/>
      <c r="I100" s="487"/>
    </row>
  </sheetData>
  <sheetProtection algorithmName="SHA-512" hashValue="mE0foHwpOcz3tc5Ns9QiMg3/UoEfwoiKzrHcsDj+uB1XPx6iT2PPjgKfyWWfOT5pYAadlF/FBgKTwn1lizPMBQ==" saltValue="OBC5fjbSsvtxqoS/utwhoA==" spinCount="100000" sheet="1" formatColumns="0" formatRows="0"/>
  <dataConsolidate link="1"/>
  <mergeCells count="110">
    <mergeCell ref="B84:B86"/>
    <mergeCell ref="H52:H62"/>
    <mergeCell ref="G60:G62"/>
    <mergeCell ref="H73:H79"/>
    <mergeCell ref="G80:G81"/>
    <mergeCell ref="G71:I71"/>
    <mergeCell ref="C72:D72"/>
    <mergeCell ref="I66:I69"/>
    <mergeCell ref="I94:I96"/>
    <mergeCell ref="H94:H96"/>
    <mergeCell ref="B73:B75"/>
    <mergeCell ref="B76:B79"/>
    <mergeCell ref="J32:J33"/>
    <mergeCell ref="C41:D41"/>
    <mergeCell ref="I30:I31"/>
    <mergeCell ref="A21:D21"/>
    <mergeCell ref="J22:J23"/>
    <mergeCell ref="D22:D23"/>
    <mergeCell ref="I24:I25"/>
    <mergeCell ref="A2:B3"/>
    <mergeCell ref="D2:J2"/>
    <mergeCell ref="D5:J5"/>
    <mergeCell ref="F21:J21"/>
    <mergeCell ref="F28:G29"/>
    <mergeCell ref="H28:H29"/>
    <mergeCell ref="I28:I29"/>
    <mergeCell ref="J28:J29"/>
    <mergeCell ref="A22:A23"/>
    <mergeCell ref="J26:J27"/>
    <mergeCell ref="H24:H25"/>
    <mergeCell ref="F24:G25"/>
    <mergeCell ref="H30:H31"/>
    <mergeCell ref="J24:J25"/>
    <mergeCell ref="H26:H27"/>
    <mergeCell ref="I26:I27"/>
    <mergeCell ref="J30:J31"/>
    <mergeCell ref="D3:J3"/>
    <mergeCell ref="D4:J4"/>
    <mergeCell ref="D7:F7"/>
    <mergeCell ref="B22:B23"/>
    <mergeCell ref="D17:E17"/>
    <mergeCell ref="C22:C23"/>
    <mergeCell ref="F22:G23"/>
    <mergeCell ref="H22:H23"/>
    <mergeCell ref="I22:I23"/>
    <mergeCell ref="H7:J7"/>
    <mergeCell ref="D8:E8"/>
    <mergeCell ref="D9:E9"/>
    <mergeCell ref="D10:E10"/>
    <mergeCell ref="H32:H33"/>
    <mergeCell ref="I32:I33"/>
    <mergeCell ref="G57:G59"/>
    <mergeCell ref="B60:B62"/>
    <mergeCell ref="B57:B59"/>
    <mergeCell ref="B53:B55"/>
    <mergeCell ref="G88:G90"/>
    <mergeCell ref="H83:H93"/>
    <mergeCell ref="I83:I93"/>
    <mergeCell ref="G84:G86"/>
    <mergeCell ref="B91:B93"/>
    <mergeCell ref="G91:G93"/>
    <mergeCell ref="I73:I79"/>
    <mergeCell ref="I52:I62"/>
    <mergeCell ref="G53:G55"/>
    <mergeCell ref="G49:G50"/>
    <mergeCell ref="B67:B69"/>
    <mergeCell ref="G67:G69"/>
    <mergeCell ref="I63:I65"/>
    <mergeCell ref="H66:H69"/>
    <mergeCell ref="H63:H65"/>
    <mergeCell ref="B80:B81"/>
    <mergeCell ref="B49:B50"/>
    <mergeCell ref="B88:B90"/>
    <mergeCell ref="I97:I100"/>
    <mergeCell ref="G98:G100"/>
    <mergeCell ref="A40:F40"/>
    <mergeCell ref="A71:F71"/>
    <mergeCell ref="H80:H82"/>
    <mergeCell ref="I80:I82"/>
    <mergeCell ref="H49:H51"/>
    <mergeCell ref="I49:I51"/>
    <mergeCell ref="A97:A100"/>
    <mergeCell ref="B98:B100"/>
    <mergeCell ref="H97:H100"/>
    <mergeCell ref="I42:I48"/>
    <mergeCell ref="A83:A93"/>
    <mergeCell ref="A80:A82"/>
    <mergeCell ref="A49:A51"/>
    <mergeCell ref="A66:A69"/>
    <mergeCell ref="A73:A79"/>
    <mergeCell ref="A52:A62"/>
    <mergeCell ref="G40:I40"/>
    <mergeCell ref="H42:H48"/>
    <mergeCell ref="G73:G75"/>
    <mergeCell ref="G76:G79"/>
    <mergeCell ref="A94:A96"/>
    <mergeCell ref="A63:A65"/>
    <mergeCell ref="B42:B44"/>
    <mergeCell ref="B45:B48"/>
    <mergeCell ref="G42:G44"/>
    <mergeCell ref="G45:G48"/>
    <mergeCell ref="A33:A35"/>
    <mergeCell ref="A28:A32"/>
    <mergeCell ref="A26:A27"/>
    <mergeCell ref="A24:A25"/>
    <mergeCell ref="A36:A37"/>
    <mergeCell ref="F32:G33"/>
    <mergeCell ref="F30:G31"/>
    <mergeCell ref="A42:A48"/>
    <mergeCell ref="F26:G27"/>
  </mergeCells>
  <conditionalFormatting sqref="I42:I69 I73:I100">
    <cfRule type="containsText" dxfId="190" priority="1" stopIfTrue="1" operator="containsText" text="Functioning At Risk">
      <formula>NOT(ISERROR(SEARCH("Functioning At Risk",I42)))</formula>
    </cfRule>
    <cfRule type="containsText" dxfId="189" priority="2" stopIfTrue="1" operator="containsText" text="Not Functioning">
      <formula>NOT(ISERROR(SEARCH("Not Functioning",I42)))</formula>
    </cfRule>
    <cfRule type="containsText" dxfId="188" priority="3" operator="containsText" text="Functioning">
      <formula>NOT(ISERROR(SEARCH("Functioning",I42)))</formula>
    </cfRule>
  </conditionalFormatting>
  <conditionalFormatting sqref="C24:D37 H24:I33 F42:F69 F73:F100">
    <cfRule type="cellIs" dxfId="187" priority="16" operator="between">
      <formula>0.7</formula>
      <formula>1</formula>
    </cfRule>
    <cfRule type="cellIs" dxfId="186" priority="17" operator="between">
      <formula>0.6999999</formula>
      <formula>0.3</formula>
    </cfRule>
    <cfRule type="cellIs" dxfId="185" priority="18" operator="between">
      <formula>0</formula>
      <formula>0.299999</formula>
    </cfRule>
  </conditionalFormatting>
  <dataValidations xWindow="656" yWindow="505" count="11">
    <dataValidation allowBlank="1" showErrorMessage="1" prompt="Leave field value blank if not a coldwater stream." sqref="F70 F102" xr:uid="{00000000-0002-0000-0200-000007000000}"/>
    <dataValidation allowBlank="1" showInputMessage="1" showErrorMessage="1" prompt="Value from Catchment Assessment" sqref="B6" xr:uid="{D35DA0B6-E4EE-415E-9CEB-A5D011AE3EA2}"/>
    <dataValidation allowBlank="1" showInputMessage="1" showErrorMessage="1" prompt="Value from Project Assessment" sqref="B5 B10" xr:uid="{3B1CAB7C-9E79-4B95-837B-BCA718FD38A1}"/>
    <dataValidation allowBlank="1" showErrorMessage="1" prompt="Type entry into gray cells" sqref="B7:B8" xr:uid="{2116D505-D29E-40DB-ADD7-480357F86DE4}"/>
    <dataValidation type="list" allowBlank="1" showInputMessage="1" showErrorMessage="1" prompt="Select from pull-down menu for highlighted cells. Do not type." sqref="B9" xr:uid="{00000000-0002-0000-0200-000011000000}">
      <formula1>StreamType</formula1>
    </dataValidation>
    <dataValidation allowBlank="1" sqref="D17" xr:uid="{6B25D7B1-C3CE-4AF5-9CDC-EB9F8E02408A}"/>
    <dataValidation allowBlank="1" showErrorMessage="1" prompt="Value from Catchment Assessment" sqref="B7:B8" xr:uid="{FD81C477-13C5-4A64-971B-7189E092C278}"/>
    <dataValidation allowBlank="1" showInputMessage="1" showErrorMessage="1" prompt="Value from Project Assessment_x000a_" sqref="B4" xr:uid="{948C8E06-233B-4433-A44F-2EB94FE72C66}"/>
    <dataValidation type="decimal" showErrorMessage="1" prompt="Select catchment conditon level from the completed catchment assessment form. " sqref="E42:E52" xr:uid="{783B8C96-1AF7-439F-AEF0-FA0E10556D2D}">
      <formula1>0</formula1>
      <formula2>1000</formula2>
    </dataValidation>
    <dataValidation type="decimal" allowBlank="1" showInputMessage="1" showErrorMessage="1" sqref="E54:E69 E85:E100" xr:uid="{08D144F1-5A11-4377-86A4-3BF160F48353}">
      <formula1>0</formula1>
      <formula2>1000</formula2>
    </dataValidation>
    <dataValidation type="decimal" allowBlank="1" showErrorMessage="1" prompt="Select catchment conditon level from the completed catchment assessment form. " sqref="E73:E83" xr:uid="{B66B7115-59B0-4352-8CE8-C37F6CD9A2AA}">
      <formula1>0</formula1>
      <formula2>1000</formula2>
    </dataValidation>
  </dataValidations>
  <pageMargins left="0.7" right="0.7" top="0.75" bottom="0.75" header="0.3" footer="0.3"/>
  <pageSetup paperSize="3" fitToHeight="0" orientation="landscape" r:id="rId1"/>
  <headerFooter>
    <oddFooter>&amp;LAKSQTint v1.0 - SQT Workbook
Quantification Tool</oddFooter>
  </headerFooter>
  <rowBreaks count="2" manualBreakCount="2">
    <brk id="38" max="16383" man="1"/>
    <brk id="70" max="16383" man="1"/>
  </rowBreaks>
  <extLst>
    <ext xmlns:x14="http://schemas.microsoft.com/office/spreadsheetml/2009/9/main" uri="{CCE6A557-97BC-4b89-ADB6-D9C93CAAB3DF}">
      <x14:dataValidations xmlns:xm="http://schemas.microsoft.com/office/excel/2006/main" xWindow="656" yWindow="505" count="8">
        <x14:dataValidation type="list" allowBlank="1" showErrorMessage="1" prompt="Select the dominant BEHI/NBS.  _x000a_If erosion rate was measured select blank. The user should only input a value for either BEHI/NBS or Erosion Rate, not both. " xr:uid="{00000000-0002-0000-0200-000002000000}">
          <x14:formula1>
            <xm:f>'Pull Down Notes'!$B$22:$B$59</xm:f>
          </x14:formula1>
          <xm:sqref>E53 E84</xm:sqref>
        </x14:dataValidation>
        <x14:dataValidation type="list" allowBlank="1" showInputMessage="1" showErrorMessage="1" xr:uid="{4D94F6FB-34AD-431B-B805-8098D5BC4D1F}">
          <x14:formula1>
            <xm:f>'Pull Down Notes'!$B$77:$B$80</xm:f>
          </x14:formula1>
          <xm:sqref>B11</xm:sqref>
        </x14:dataValidation>
        <x14:dataValidation type="list" allowBlank="1" showInputMessage="1" showErrorMessage="1" xr:uid="{00DD15ED-3EF7-4EA9-AC54-49ABCA0FE242}">
          <x14:formula1>
            <xm:f>'Pull Down Notes'!$B$82:$B$86</xm:f>
          </x14:formula1>
          <xm:sqref>B13</xm:sqref>
        </x14:dataValidation>
        <x14:dataValidation type="list" allowBlank="1" showInputMessage="1" showErrorMessage="1" xr:uid="{B6E6DBC1-5094-49AE-841D-296BBE7ECDA6}">
          <x14:formula1>
            <xm:f>'Pull Down Notes'!$B$88:$B$91</xm:f>
          </x14:formula1>
          <xm:sqref>B14</xm:sqref>
        </x14:dataValidation>
        <x14:dataValidation type="list" allowBlank="1" showInputMessage="1" showErrorMessage="1" xr:uid="{401FE490-EAC7-47A0-8858-4B4F389051B5}">
          <x14:formula1>
            <xm:f>'Pull Down Notes'!$B$15:$B$21</xm:f>
          </x14:formula1>
          <xm:sqref>B15</xm:sqref>
        </x14:dataValidation>
        <x14:dataValidation type="list" allowBlank="1" showInputMessage="1" showErrorMessage="1" xr:uid="{2D02B831-91B6-4C11-AAB2-14588A7EA441}">
          <x14:formula1>
            <xm:f>'Pull Down Notes'!$B$93:$B$99</xm:f>
          </x14:formula1>
          <xm:sqref>B17</xm:sqref>
        </x14:dataValidation>
        <x14:dataValidation type="list" allowBlank="1" showInputMessage="1" showErrorMessage="1" xr:uid="{39EB211C-23E4-4A86-A003-33C208D4C1EB}">
          <x14:formula1>
            <xm:f>'Pull Down Notes'!$B$101:$B$103</xm:f>
          </x14:formula1>
          <xm:sqref>B18</xm:sqref>
        </x14:dataValidation>
        <x14:dataValidation type="list" allowBlank="1" showInputMessage="1" showErrorMessage="1" xr:uid="{7D688930-3753-4C5D-AD86-8CB4DA727ED0}">
          <x14:formula1>
            <xm:f>'Pull Down Notes'!$B$105:$B$109</xm:f>
          </x14:formula1>
          <xm:sqref>B19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341"/>
  <sheetViews>
    <sheetView topLeftCell="A313" zoomScaleNormal="100" zoomScaleSheetLayoutView="100" workbookViewId="0">
      <selection activeCell="A27" sqref="A27:A30"/>
    </sheetView>
  </sheetViews>
  <sheetFormatPr defaultColWidth="8.85546875" defaultRowHeight="15" x14ac:dyDescent="0.25"/>
  <cols>
    <col min="1" max="2" width="28.85546875" customWidth="1"/>
    <col min="3" max="3" width="22.140625" customWidth="1"/>
    <col min="4" max="4" width="20.5703125" customWidth="1"/>
    <col min="5" max="6" width="13" customWidth="1"/>
    <col min="7" max="9" width="15.7109375" customWidth="1"/>
    <col min="10" max="10" width="18.5703125" customWidth="1"/>
    <col min="11" max="11" width="13.7109375" customWidth="1"/>
  </cols>
  <sheetData>
    <row r="1" spans="1:13" ht="20.25" customHeight="1" x14ac:dyDescent="0.35">
      <c r="A1" s="512" t="s">
        <v>97</v>
      </c>
      <c r="B1" s="582"/>
      <c r="C1" s="582"/>
      <c r="D1" s="582"/>
      <c r="E1" s="582"/>
      <c r="F1" s="583"/>
      <c r="G1" s="512" t="s">
        <v>12</v>
      </c>
      <c r="H1" s="582"/>
      <c r="I1" s="583"/>
    </row>
    <row r="2" spans="1:13" ht="15.75" x14ac:dyDescent="0.25">
      <c r="A2" s="25" t="s">
        <v>1</v>
      </c>
      <c r="B2" s="25" t="s">
        <v>2</v>
      </c>
      <c r="C2" s="112" t="s">
        <v>3</v>
      </c>
      <c r="D2" s="113"/>
      <c r="E2" s="25" t="s">
        <v>10</v>
      </c>
      <c r="F2" s="25" t="s">
        <v>11</v>
      </c>
      <c r="G2" s="25" t="s">
        <v>13</v>
      </c>
      <c r="H2" s="25" t="s">
        <v>14</v>
      </c>
      <c r="I2" s="25" t="s">
        <v>14</v>
      </c>
    </row>
    <row r="3" spans="1:13" ht="15.75" x14ac:dyDescent="0.25">
      <c r="A3" s="480" t="s">
        <v>161</v>
      </c>
      <c r="B3" s="448" t="s">
        <v>258</v>
      </c>
      <c r="C3" s="137" t="s">
        <v>138</v>
      </c>
      <c r="D3" s="138"/>
      <c r="E3" s="368"/>
      <c r="F3" s="264" t="str">
        <f>IF(E3="","",ROUND(IF(E3&gt;=86,0,IF(E3&lt;=9,1,IF(E3&gt;22,E3*'Reference Curves'!$C$14+'Reference Curves'!$C$15,IF(E3&gt;16,E3*'Reference Curves'!$D$14+'Reference Curves'!$D$15,E3*'Reference Curves'!$E$14+'Reference Curves'!$E$15)))),2))</f>
        <v/>
      </c>
      <c r="G3" s="457" t="str">
        <f>IFERROR(AVERAGE(F3:F5),"")</f>
        <v/>
      </c>
      <c r="H3" s="457" t="str">
        <f>IFERROR(ROUND(AVERAGE(G3:G9),2),"")</f>
        <v/>
      </c>
      <c r="I3" s="496" t="str">
        <f>IF(H3="","",IF(H3:H9&gt;0.69,"Functioning",IF(H3&gt;0.29,"Functioning At Risk",IF(H3&gt;-1,"Not Functioning"))))</f>
        <v/>
      </c>
      <c r="L3" s="2"/>
    </row>
    <row r="4" spans="1:13" ht="15.75" x14ac:dyDescent="0.25">
      <c r="A4" s="481"/>
      <c r="B4" s="449"/>
      <c r="C4" s="156" t="s">
        <v>257</v>
      </c>
      <c r="D4" s="254"/>
      <c r="E4" s="369"/>
      <c r="F4" s="265" t="str">
        <f>IF(E4="","",ROUND(IF(E4&gt;33.5,0,IF(E4&lt;=0,1,E4*'Reference Curves'!$C$44+'Reference Curves'!$C$45)),2))</f>
        <v/>
      </c>
      <c r="G4" s="458"/>
      <c r="H4" s="458"/>
      <c r="I4" s="497"/>
      <c r="L4" s="2"/>
    </row>
    <row r="5" spans="1:13" ht="15.75" x14ac:dyDescent="0.25">
      <c r="A5" s="481"/>
      <c r="B5" s="450"/>
      <c r="C5" s="178" t="s">
        <v>324</v>
      </c>
      <c r="D5" s="255"/>
      <c r="E5" s="277"/>
      <c r="F5" s="265" t="str">
        <f>IF(E5="","",ROUND(IF(E5&gt;=61,0,IF(E5&lt;=0,1,IF(E5&gt;35,E5*'Reference Curves'!$C$75+'Reference Curves'!$C$76,E5*'Reference Curves'!$D$75+'Reference Curves'!$D$76))),2))</f>
        <v/>
      </c>
      <c r="G5" s="459"/>
      <c r="H5" s="458"/>
      <c r="I5" s="497"/>
      <c r="L5" s="2"/>
    </row>
    <row r="6" spans="1:13" ht="15.75" x14ac:dyDescent="0.25">
      <c r="A6" s="481"/>
      <c r="B6" s="451" t="s">
        <v>95</v>
      </c>
      <c r="C6" s="137" t="s">
        <v>138</v>
      </c>
      <c r="D6" s="280"/>
      <c r="E6" s="140"/>
      <c r="F6" s="139" t="str">
        <f>IF(E6="","",ROUND(IF(E6&gt;=86,0,IF(E6&lt;=9,1,IF(E6&gt;22,E6*'Reference Curves'!$C$14+'Reference Curves'!$C$15,IF(E6&gt;16,E6*'Reference Curves'!$D$14+'Reference Curves'!$D$15,E6*'Reference Curves'!$E$14+'Reference Curves'!$E$15)))),2))</f>
        <v/>
      </c>
      <c r="G6" s="457" t="str">
        <f>IFERROR(AVERAGE(F6:F9),"")</f>
        <v/>
      </c>
      <c r="H6" s="458"/>
      <c r="I6" s="497"/>
      <c r="L6" s="2"/>
    </row>
    <row r="7" spans="1:13" ht="15.75" x14ac:dyDescent="0.25">
      <c r="A7" s="481"/>
      <c r="B7" s="452"/>
      <c r="C7" s="156" t="s">
        <v>257</v>
      </c>
      <c r="D7" s="281"/>
      <c r="E7" s="140"/>
      <c r="F7" s="265" t="str">
        <f>IF(E7="","",ROUND(IF(E7&gt;33.5,0,IF(E7&lt;=0,1,E7*'Reference Curves'!$C$44+'Reference Curves'!$C$45)),2))</f>
        <v/>
      </c>
      <c r="G7" s="458"/>
      <c r="H7" s="458"/>
      <c r="I7" s="497"/>
      <c r="L7" s="2"/>
    </row>
    <row r="8" spans="1:13" ht="15.75" x14ac:dyDescent="0.25">
      <c r="A8" s="481"/>
      <c r="B8" s="452"/>
      <c r="C8" s="156" t="s">
        <v>324</v>
      </c>
      <c r="D8" s="281"/>
      <c r="E8" s="140"/>
      <c r="F8" s="265" t="str">
        <f>IF(E8="","",ROUND(IF(E8&gt;=61,0,IF(E8&lt;=0,1,IF(E8&gt;35,E8*'Reference Curves'!$C$75+'Reference Curves'!$C$76,E8*'Reference Curves'!$D$75+'Reference Curves'!$D$76))),2))</f>
        <v/>
      </c>
      <c r="G8" s="458"/>
      <c r="H8" s="458"/>
      <c r="I8" s="497"/>
      <c r="L8" s="2"/>
    </row>
    <row r="9" spans="1:13" ht="14.45" customHeight="1" x14ac:dyDescent="0.25">
      <c r="A9" s="482"/>
      <c r="B9" s="453"/>
      <c r="C9" s="178" t="s">
        <v>227</v>
      </c>
      <c r="D9" s="179"/>
      <c r="E9" s="140"/>
      <c r="F9" s="157" t="str">
        <f>IF(E9="","",   IF(E9&gt;3.35,0, IF(E9&lt;0, "", ROUND('Reference Curves'!$C$105*E9+'Reference Curves'!$C$106,2))))</f>
        <v/>
      </c>
      <c r="G9" s="459"/>
      <c r="H9" s="458"/>
      <c r="I9" s="498"/>
      <c r="L9" s="2"/>
      <c r="M9" s="2"/>
    </row>
    <row r="10" spans="1:13" ht="15.75" x14ac:dyDescent="0.25">
      <c r="A10" s="509" t="s">
        <v>160</v>
      </c>
      <c r="B10" s="533" t="s">
        <v>5</v>
      </c>
      <c r="C10" s="227" t="s">
        <v>226</v>
      </c>
      <c r="D10" s="204"/>
      <c r="E10" s="367"/>
      <c r="F10" s="205" t="str">
        <f>IF(E10="","",ROUND(IF(OR(E10&gt;1.71, E10&lt;0.34),0,IF(E10&lt;=1,1,E10*'Reference Curves'!K$13+'Reference Curves'!K$14)),2))</f>
        <v/>
      </c>
      <c r="G10" s="526" t="str">
        <f>IFERROR(AVERAGE(F10:F11),"")</f>
        <v/>
      </c>
      <c r="H10" s="493" t="str">
        <f>IFERROR(ROUND(AVERAGE(G10:G12),2),"")</f>
        <v/>
      </c>
      <c r="I10" s="496" t="str">
        <f>IF(H10="","",IF(H10&gt;0.69,"Functioning",IF(H10&gt;0.29,"Functioning At Risk",IF(H10&gt;-1,"Not Functioning"))))</f>
        <v/>
      </c>
      <c r="L10" s="2"/>
      <c r="M10" s="2"/>
    </row>
    <row r="11" spans="1:13" ht="15.75" x14ac:dyDescent="0.25">
      <c r="A11" s="510"/>
      <c r="B11" s="534"/>
      <c r="C11" s="226" t="s">
        <v>225</v>
      </c>
      <c r="D11" s="61"/>
      <c r="E11" s="198"/>
      <c r="F11" s="231" t="str">
        <f>IF(E11="","",IF(LEFT('Quantification Tool'!$B$10,1)="B",IF(E11&lt;=1,0,IF(E11&gt;=2.2,1,ROUND(IF(E11&lt;1.4,E11*'Reference Curves'!$K$117+'Reference Curves'!$K$118,E11*'Reference Curves'!$L$117+'Reference Curves'!$L$118),2))),
IF(LEFT('Quantification Tool'!$B$10,1)="C",IF(E11&lt;1.7,0,IF(E11&gt;=4.4,1,ROUND(IF(E11&lt;2.4,E11*'Reference Curves'!$K$47+'Reference Curves'!$K$48,E11*'Reference Curves'!$L$47+'Reference Curves'!$L$48),2))),
IF(LEFT('Quantification Tool'!$B$10,1)="E",IF(E11&lt;1.7,0,IF(E11&gt;=6.5,1,ROUND(IF(E11&lt;2.4,E11*'Reference Curves'!$K$82+'Reference Curves'!$K$83,E11*'Reference Curves'!$L$82+'Reference Curves'!$L$83),2)))) )     ))</f>
        <v/>
      </c>
      <c r="G11" s="527"/>
      <c r="H11" s="494"/>
      <c r="I11" s="497"/>
      <c r="L11" s="2"/>
      <c r="M11" s="2"/>
    </row>
    <row r="12" spans="1:13" ht="15.75" x14ac:dyDescent="0.25">
      <c r="A12" s="511"/>
      <c r="B12" s="211" t="s">
        <v>210</v>
      </c>
      <c r="C12" s="225" t="s">
        <v>270</v>
      </c>
      <c r="D12" s="203"/>
      <c r="E12" s="140"/>
      <c r="F12" s="232" t="str">
        <f>IF(E12="","", IF(E12&gt;=180,0, IF(E12=100,1, ROUND(IF(E12&gt;100, E12*'Reference Curves'!$L$151+'Reference Curves'!$L$152, IF(E10&gt;1.2,IF(E12&lt;=20,0,E12*'Reference Curves'!$K$151+'Reference Curves'!$K$152),1) ),2))))</f>
        <v/>
      </c>
      <c r="G12" s="253" t="str">
        <f>IFERROR(AVERAGE(F12:F12),"")</f>
        <v/>
      </c>
      <c r="H12" s="495"/>
      <c r="I12" s="498"/>
      <c r="L12" s="2"/>
      <c r="M12" s="2"/>
    </row>
    <row r="13" spans="1:13" ht="15.75" x14ac:dyDescent="0.25">
      <c r="A13" s="507" t="s">
        <v>17</v>
      </c>
      <c r="B13" s="200" t="s">
        <v>231</v>
      </c>
      <c r="C13" s="212" t="s">
        <v>228</v>
      </c>
      <c r="D13" s="213"/>
      <c r="E13" s="370"/>
      <c r="F13" s="237" t="str">
        <f>IF(E13="","",IF('Quantification Tool'!$B$17="Alaska Range",ROUND(IF(E13&lt;=0.05,0, IF(E13&gt;=6.3,1,IF(E13&lt;=1.5,'Reference Curves'!$S$16*E13+'Reference Curves'!$S$17, 'Reference Curves'!$T$16*E13+'Reference Curves'!$T$17))),2),
IF('Quantification Tool'!$B$17="Brooks Range",ROUND(IF(E13&gt;=4.2,1,IF(E13&lt;0.03,0, IF(E13&lt;=1.2,'Reference Curves'!$U$16*E13+'Reference Curves'!$U$17, 'Reference Curves'!$V$16*E13+'Reference Curves'!$V$17))),2),
IF(OR('Quantification Tool'!$B$17="Interior Bottomlands",'Quantification Tool'!$B$17="Yukon Flats"),ROUND(IF(E13&gt;=54.5,1,IF(E13&lt;=3.7,'Reference Curves'!$S$51*E13+'Reference Curves'!$S$52, IF(E13&lt;4.7, 'Reference Curves'!$T$51*E13+'Reference Curves'!$T$52, 'Reference Curves'!$U$51*E13+'Reference Curves'!$U$52))),2),
IF(OR('Quantification Tool'!$B$17="Interior Forested Lowlands/Uplands",'Quantification Tool'!$B$17="Interior Highlands"),ROUND(IF(E13=0,0,IF(E13&gt;=24.1,1,IF(E13&lt;=1.3,'Reference Curves'!$V$51*E13+'Reference Curves'!$V$52, 'Reference Curves'!$W$51*E13+'Reference Curves'!$W$52))),2))))))</f>
        <v/>
      </c>
      <c r="G13" s="214" t="str">
        <f>IFERROR(AVERAGE(F13:F13),"")</f>
        <v/>
      </c>
      <c r="H13" s="521" t="str">
        <f>IFERROR(ROUND(AVERAGE(G13:G23),2),"")</f>
        <v/>
      </c>
      <c r="I13" s="523" t="str">
        <f>IF(H13="","",IF(H13&gt;0.69,"Functioning",IF(H13&gt;0.29,"Functioning At Risk",IF(H13&gt;-1,"Not Functioning"))))</f>
        <v/>
      </c>
      <c r="L13" s="2"/>
      <c r="M13" s="2"/>
    </row>
    <row r="14" spans="1:13" ht="15.75" x14ac:dyDescent="0.25">
      <c r="A14" s="508"/>
      <c r="B14" s="508" t="s">
        <v>157</v>
      </c>
      <c r="C14" s="130" t="s">
        <v>40</v>
      </c>
      <c r="D14" s="63"/>
      <c r="E14" s="238"/>
      <c r="F14" s="115" t="str">
        <f>IF(E14="","",IF(OR(E14="Ex/Ex",E14="Ex/VH",E14="Ex/H",E14="Ex/M",E14="VH/Ex",E14="VH/VH", E14="H/Ex",E14="H/VH"),0, IF(OR(E14="M/Ex"),0.1,IF(OR(E14="VH/H",E14="VH/M",E14="H/H",E14="H/M", E14="M/VH"),0.2, IF(OR(E14="Ex/VL",E14="Ex/L", E14="M/H"),0.3, IF(OR(E14="VH/L",E14="H/L"),0.4, IF(OR(E14="VH/VL",E14="H/VL",E14="M/M"),0.5, IF(OR(E14="M/L",E14="L/Ex"),0.6, IF(OR(E14="M/VL",E14="L/VH", E14="L/H",E14="L/M",E14="L/L",E14="L/VL",LEFT(E14)="V"),1)))))))))</f>
        <v/>
      </c>
      <c r="G14" s="522" t="str">
        <f>IFERROR(IF(E16&gt;50,0,AVERAGE(F14:F16)),"")</f>
        <v/>
      </c>
      <c r="H14" s="522"/>
      <c r="I14" s="524"/>
      <c r="L14" s="2"/>
      <c r="M14" s="2"/>
    </row>
    <row r="15" spans="1:13" ht="15.75" x14ac:dyDescent="0.25">
      <c r="A15" s="508"/>
      <c r="B15" s="508"/>
      <c r="C15" s="131" t="s">
        <v>65</v>
      </c>
      <c r="D15" s="125"/>
      <c r="E15" s="141"/>
      <c r="F15" s="115" t="str">
        <f>IF(E15="","",ROUND(IF(E15&gt;=75,0,IF(E15&lt;=5,1,IF(E15&gt;10,E15*'Reference Curves'!S$85+'Reference Curves'!S$86,'Reference Curves'!$T$85*E15+'Reference Curves'!$T$86))),2))</f>
        <v/>
      </c>
      <c r="G15" s="522"/>
      <c r="H15" s="522"/>
      <c r="I15" s="524"/>
      <c r="L15" s="2"/>
      <c r="M15" s="2"/>
    </row>
    <row r="16" spans="1:13" ht="15.75" x14ac:dyDescent="0.25">
      <c r="A16" s="508"/>
      <c r="B16" s="520"/>
      <c r="C16" s="132" t="s">
        <v>203</v>
      </c>
      <c r="D16" s="126"/>
      <c r="E16" s="198"/>
      <c r="F16" s="116" t="str">
        <f>IF(E16="","",IF(E16&gt;=30,0,ROUND(E16*'Reference Curves'!$S$116+'Reference Curves'!$S$117,2)))</f>
        <v/>
      </c>
      <c r="G16" s="525"/>
      <c r="H16" s="522"/>
      <c r="I16" s="524"/>
      <c r="L16" s="2"/>
      <c r="M16" s="2"/>
    </row>
    <row r="17" spans="1:13" ht="15.75" x14ac:dyDescent="0.25">
      <c r="A17" s="508"/>
      <c r="B17" s="270" t="s">
        <v>82</v>
      </c>
      <c r="C17" s="9" t="s">
        <v>256</v>
      </c>
      <c r="D17" s="63"/>
      <c r="E17" s="198"/>
      <c r="F17" s="65" t="str">
        <f>IF(E17="","",IF(OR('Quantification Tool'!B$15="Cobble",'Quantification Tool'!B$15="Boulders",'Quantification Tool'!B$15="Bedrock"),ROUND(IF(E17&lt;=0,1,IF(E17&gt;=13.7,0, IF(E17&gt;5,E17*'Reference Curves'!$U$150+'Reference Curves'!$U$151,  E17*'Reference Curves'!$V$150+'Reference Curves'!$V$151))),2),
IF('Quantification Tool'!B$15="Gravel",ROUND(IF(E17&lt;=3,1,IF(E17&gt;=54,0, IF(E17&gt;15,E17*'Reference Curves'!$S$150+'Reference Curves'!$S$151,  E17*'Reference Curves'!$T$150+'Reference Curves'!$T$151))),2))))</f>
        <v/>
      </c>
      <c r="G17" s="65" t="str">
        <f>IFERROR(AVERAGE(F17),"")</f>
        <v/>
      </c>
      <c r="H17" s="522"/>
      <c r="I17" s="524"/>
      <c r="L17" s="2"/>
      <c r="M17" s="2"/>
    </row>
    <row r="18" spans="1:13" ht="15.75" x14ac:dyDescent="0.25">
      <c r="A18" s="508"/>
      <c r="B18" s="507" t="s">
        <v>42</v>
      </c>
      <c r="C18" s="8" t="s">
        <v>229</v>
      </c>
      <c r="D18" s="62"/>
      <c r="E18" s="368"/>
      <c r="F18" s="67" t="str">
        <f>IF(E18="","", IF(LEFT('Quantification Tool'!$B$10,1)="C", IF(OR(E18&lt;=3,E18&gt;=9.3),0,IF(AND(E18&gt;=4,E18&lt;=6),1,IF(E18&lt;4, ROUND(E18*'Reference Curves'!$S$250+'Reference Curves'!$S$251,2), ROUND(E18*'Reference Curves'!$T$250+'Reference Curves'!$T$251,2)))),
IF(LEFT('Quantification Tool'!$B$10,1)="E", IF(OR(E18&lt;=1.8,E18&gt;=8.3),0,IF(AND(E18&gt;=3.5,E18&lt;=5),1,IF(E18&lt;3.5, ROUND(E18*'Reference Curves'!$S$283+'Reference Curves'!$S$284,2), ROUND(E18*'Reference Curves'!$T$283+'Reference Curves'!$T$284,2)))),
IF(OR('Quantification Tool'!$B$10="B",'Quantification Tool'!$B$10="Ba"), IF(E18&gt;=6,0, IF(E18&lt;=2, 1, IF(E18&gt;3.9, ROUND(E18*'Reference Curves'!$S$185+'Reference Curves'!$S$186,2), ROUND(E18*'Reference Curves'!$T$185+'Reference Curves'!$T$186,2)))),
IF('Quantification Tool'!$B$10="Bc",  IF(E18&gt;12,0, IF(E18&lt;=3.4, 1, ROUND(E18*'Reference Curves'!$S$217+'Reference Curves'!$S$218,2))))))))</f>
        <v/>
      </c>
      <c r="G18" s="518" t="str">
        <f>IFERROR(AVERAGE(F18:F20),"")</f>
        <v/>
      </c>
      <c r="H18" s="522"/>
      <c r="I18" s="524"/>
      <c r="L18" s="2"/>
      <c r="M18" s="2"/>
    </row>
    <row r="19" spans="1:13" ht="15.75" x14ac:dyDescent="0.25">
      <c r="A19" s="508"/>
      <c r="B19" s="508"/>
      <c r="C19" s="105" t="s">
        <v>230</v>
      </c>
      <c r="D19" s="63"/>
      <c r="E19" s="369"/>
      <c r="F19" s="68" t="str">
        <f>IF(E19="","",IF(OR('Quantification Tool'!$B$10="B",'Quantification Tool'!$B$10="Ba"),ROUND(IF(E19&lt;=1,0,IF(E19&gt;=2.8,1,IF(E19&lt;1.8,E19*'Reference Curves'!$S$318+'Reference Curves'!$S$319,E19*'Reference Curves'!$T$318+'Reference Curves'!$T$319))),2),
ROUND(IF(E19&lt;=1,0,IF(E19&gt;=3.2,1,IF(E19&lt;2.2,E19*'Reference Curves'!$U$318+'Reference Curves'!$U$319,E19*'Reference Curves'!$V$318+'Reference Curves'!$V$319))),2)))</f>
        <v/>
      </c>
      <c r="G19" s="519"/>
      <c r="H19" s="522"/>
      <c r="I19" s="524"/>
      <c r="L19" s="2"/>
      <c r="M19" s="2"/>
    </row>
    <row r="20" spans="1:13" ht="15.75" x14ac:dyDescent="0.25">
      <c r="A20" s="508"/>
      <c r="B20" s="508"/>
      <c r="C20" s="105" t="s">
        <v>142</v>
      </c>
      <c r="D20" s="63"/>
      <c r="E20" s="369"/>
      <c r="F20" s="301" t="str">
        <f>IF(E20="","",IF('Quantification Tool'!$B$16&gt;=3,IF(OR(E20&lt;=0,E20&gt;=100),0,IF(AND(E20&gt;=68,E20&lt;=85),1,IF(E20&lt;68,IF(E20&lt;62,ROUND(E20*'Reference Curves'!$S$352+'Reference Curves'!$S$353,2),ROUND(E20*'Reference Curves'!$T$352+'Reference Curves'!$T$353,2)),
IF(E20&gt;87,ROUND(E20*'Reference Curves'!$U$352+'Reference Curves'!$U$353,2),ROUND(E20*'Reference Curves'!$V$352+'Reference Curves'!$V$353,2))))),
IF('Quantification Tool'!$B$16&lt;&gt;0,IF(OR(E20&lt;=0,E20&gt;=100),0,IF(AND(E20&lt;=60,E20&gt;=50),1,IF(E20&lt;50,IF(E20&lt;39,ROUND(E20*'Reference Curves'!$S$386+'Reference Curves'!$S$387,2),ROUND(E20*'Reference Curves'!$T$386+'Reference Curves'!$T$387,2)),
IF(E20&gt;69,ROUND(E20*'Reference Curves'!$U$386+'Reference Curves'!$U$387,2),ROUND(E20*'Reference Curves'!$V$386+'Reference Curves'!$V$387,2))))))))</f>
        <v/>
      </c>
      <c r="G20" s="519"/>
      <c r="H20" s="522"/>
      <c r="I20" s="524"/>
      <c r="L20" s="2"/>
      <c r="M20" s="2"/>
    </row>
    <row r="21" spans="1:13" ht="15.75" x14ac:dyDescent="0.25">
      <c r="A21" s="508"/>
      <c r="B21" s="507" t="s">
        <v>41</v>
      </c>
      <c r="C21" s="8" t="s">
        <v>332</v>
      </c>
      <c r="D21" s="128"/>
      <c r="E21" s="129"/>
      <c r="F21" s="124" t="str">
        <f>IF(E21="","",IF('Quantification Tool'!$B$11="Unconfined Alluvial",IF(E21&gt;=100,1,IF(E21&lt;0,0,ROUND('Reference Curves'!$S$420*E21+'Reference Curves'!$S$421,2))),IF(OR('Quantification Tool'!$B$11="Confined Alluvial",'Quantification Tool'!$B$11="Colluvial/V-Shaped"),(IF(E21&gt;=100,1,IF(E21&lt;0,0,IF(E21&lt;60,ROUND('Reference Curves'!$T$420*E21+'Reference Curves'!$T$421,2), ROUND('Reference Curves'!$U$420*E21+'Reference Curves'!$U$421,2))))))))</f>
        <v/>
      </c>
      <c r="G21" s="518" t="str">
        <f>IFERROR(AVERAGE(F21:F23),"")</f>
        <v/>
      </c>
      <c r="H21" s="522"/>
      <c r="I21" s="524"/>
      <c r="L21" s="2"/>
      <c r="M21" s="2"/>
    </row>
    <row r="22" spans="1:13" ht="15.75" x14ac:dyDescent="0.25">
      <c r="A22" s="508"/>
      <c r="B22" s="508"/>
      <c r="C22" s="105" t="s">
        <v>251</v>
      </c>
      <c r="D22" s="123"/>
      <c r="E22" s="127"/>
      <c r="F22" s="68" t="str">
        <f>IF(E22="","",IF(OR('Quantification Tool'!$B$17="Alaska Range",'Quantification Tool'!$B$17="Brooks Range"),ROUND(IF(E22&gt;=1.57,1,IF(E22&lt;=0.06,'Reference Curves'!$S$455*E22+'Reference Curves'!$S$456, IF(E22&lt;0.83, 'Reference Curves'!$T$455*E22+'Reference Curves'!$T$456, 'Reference Curves'!$U$455*E22+'Reference Curves'!$U$456))),2),
IF('Quantification Tool'!$B$17="Interior Highlands",ROUND(IF(E22&gt;=1.67,1,IF(E22&lt;=0.94,'Reference Curves'!$V$455*E22+'Reference Curves'!$V$456, IF(E22&lt;1.21, 'Reference Curves'!$W$455*E22+'Reference Curves'!$W$456, 'Reference Curves'!$X$455*E22+'Reference Curves'!$X$456))),2),
IF(OR('Quantification Tool'!$B$17="Interior Bottomlands",'Quantification Tool'!$B$17="Yukon Flats"),ROUND(IF(E22&gt;=1.82,1,IF(E22&lt;=1.19,'Reference Curves'!$S$490*E22+'Reference Curves'!$S$491, IF(E22&lt;1.37, 'Reference Curves'!$T$490*E22+'Reference Curves'!$T$491, 'Reference Curves'!$U$490*E22+'Reference Curves'!$U$491))),2),
IF('Quantification Tool'!$B$17="Interior Forested Lowlands/Uplands",ROUND(IF(E22&gt;=1.87,1,IF(E22&lt;=1.24,'Reference Curves'!$V$490*E22+'Reference Curves'!$V$491, IF(E22&lt;1.45, 'Reference Curves'!$W$490*E22+'Reference Curves'!$W$491, 'Reference Curves'!$X$490*E22+'Reference Curves'!$X$491))),2))))))</f>
        <v/>
      </c>
      <c r="G22" s="519"/>
      <c r="H22" s="522"/>
      <c r="I22" s="524"/>
      <c r="L22" s="2"/>
      <c r="M22" s="2"/>
    </row>
    <row r="23" spans="1:13" ht="15.75" x14ac:dyDescent="0.25">
      <c r="A23" s="508"/>
      <c r="B23" s="508"/>
      <c r="C23" s="105" t="s">
        <v>325</v>
      </c>
      <c r="D23" s="123"/>
      <c r="E23" s="127"/>
      <c r="F23" s="68" t="str">
        <f>IF(E23="","",IF(E23&lt;83.5,0,IF(E23&gt;=100,1, ROUND(E23*'Reference Curves'!$S$521+'Reference Curves'!$S$522,2))))</f>
        <v/>
      </c>
      <c r="G23" s="519"/>
      <c r="H23" s="522"/>
      <c r="I23" s="524"/>
      <c r="L23" s="2"/>
      <c r="M23" s="2"/>
    </row>
    <row r="24" spans="1:13" ht="15.75" x14ac:dyDescent="0.25">
      <c r="A24" s="513" t="s">
        <v>47</v>
      </c>
      <c r="B24" s="268" t="s">
        <v>60</v>
      </c>
      <c r="C24" s="274" t="s">
        <v>341</v>
      </c>
      <c r="D24" s="275"/>
      <c r="E24" s="367"/>
      <c r="F24" s="171" t="str">
        <f>IF(E24="","",IF(E24&lt;=1.1,1,IF(E24&gt;1.315,0,ROUND(E24*'Reference Curves'!$AA$13+'Reference Curves'!$AA$14,2))))</f>
        <v/>
      </c>
      <c r="G24" s="269" t="str">
        <f>IFERROR(AVERAGE(F24:F24),"")</f>
        <v/>
      </c>
      <c r="H24" s="530" t="str">
        <f>IFERROR(ROUND(AVERAGE(G24:G26),2),"")</f>
        <v/>
      </c>
      <c r="I24" s="487" t="str">
        <f>IF(H24="","",IF(H24&gt;0.69,"Functioning",IF(H24&gt;0.29,"Functioning At Risk",IF(H24&gt;-1,"Not Functioning"))))</f>
        <v/>
      </c>
      <c r="L24" s="2"/>
      <c r="M24" s="2"/>
    </row>
    <row r="25" spans="1:13" ht="15.75" x14ac:dyDescent="0.25">
      <c r="A25" s="514"/>
      <c r="B25" s="172" t="s">
        <v>259</v>
      </c>
      <c r="C25" s="274" t="s">
        <v>342</v>
      </c>
      <c r="D25" s="275"/>
      <c r="E25" s="370"/>
      <c r="F25" s="171" t="str">
        <f>IF(E25="","",IF(E25&lt;=3.2,1,IF(E25&gt;=100,0,ROUND(IF(E25&gt;10,E25*'Reference Curves'!$AA$46+'Reference Curves'!$AA$47,E25*'Reference Curves'!$AB$46+'Reference Curves'!$AB$47),2))))</f>
        <v/>
      </c>
      <c r="G25" s="171" t="str">
        <f>IFERROR(AVERAGE(F25),"")</f>
        <v/>
      </c>
      <c r="H25" s="531"/>
      <c r="I25" s="487"/>
      <c r="L25" s="2"/>
      <c r="M25" s="2"/>
    </row>
    <row r="26" spans="1:13" ht="15.75" x14ac:dyDescent="0.25">
      <c r="A26" s="515"/>
      <c r="B26" s="172" t="s">
        <v>260</v>
      </c>
      <c r="C26" s="169" t="s">
        <v>359</v>
      </c>
      <c r="D26" s="170"/>
      <c r="E26" s="370"/>
      <c r="F26" s="171" t="str">
        <f>IF(E26="","",IF(E26&gt;=75,1,IF(E26&lt;19,0,ROUND(E26*'Reference Curves'!$AA$79+'Reference Curves'!$AA$80,2))))</f>
        <v/>
      </c>
      <c r="G26" s="171" t="str">
        <f>IFERROR(AVERAGE(F26),"")</f>
        <v/>
      </c>
      <c r="H26" s="532"/>
      <c r="I26" s="487"/>
      <c r="L26" s="2"/>
      <c r="M26" s="2"/>
    </row>
    <row r="27" spans="1:13" ht="15.75" x14ac:dyDescent="0.25">
      <c r="A27" s="499" t="s">
        <v>48</v>
      </c>
      <c r="B27" s="145" t="s">
        <v>109</v>
      </c>
      <c r="C27" s="144" t="s">
        <v>370</v>
      </c>
      <c r="D27" s="70"/>
      <c r="E27" s="367"/>
      <c r="F27" s="239" t="str">
        <f>IF(E27="","", ROUND(IF(E27&gt;=81,0,IF(E27&lt;=36,1,IF(E27&gt;62,E27*'Reference Curves'!$AJ$14+'Reference Curves'!$AJ$15,IF(E27&gt;43,E27*'Reference Curves'!$AK$14+'Reference Curves'!$AK$15,E27*'Reference Curves'!$AL$14+'Reference Curves'!$AL$15)))),2))</f>
        <v/>
      </c>
      <c r="G27" s="146" t="str">
        <f>IFERROR(AVERAGE(F27),"")</f>
        <v/>
      </c>
      <c r="H27" s="505" t="str">
        <f>IFERROR(ROUND(AVERAGE(G27:G30),2),"")</f>
        <v/>
      </c>
      <c r="I27" s="487" t="str">
        <f>IF(H27="","",IF(H27&gt;0.69,"Functioning",IF(H27&gt;0.29,"Functioning At Risk",IF(H27&gt;-1,"Not Functioning"))))</f>
        <v/>
      </c>
      <c r="L27" s="2"/>
      <c r="M27" s="2"/>
    </row>
    <row r="28" spans="1:13" ht="15.75" x14ac:dyDescent="0.25">
      <c r="A28" s="500"/>
      <c r="B28" s="502" t="s">
        <v>56</v>
      </c>
      <c r="C28" s="144" t="s">
        <v>333</v>
      </c>
      <c r="D28" s="70"/>
      <c r="E28" s="368"/>
      <c r="F28" s="229" t="str">
        <f>IF(E28="","", IF('Quantification Tool'!$B$18="Anadromous",ROUND(IF(E28&lt;=0,0,IF(E28&gt;=100,1,IF(E28&lt;80,E28*'Reference Curves'!$AJ$48+'Reference Curves'!$AJ$49,E28*'Reference Curves'!$AK$48+'Reference Curves'!$AK$49))),2),
IF('Quantification Tool'!$B$18="Non-anadromous",ROUND(IF(E28&lt;=0,0,IF(E28&gt;=100,1,IF(E28&lt;60,E28*'Reference Curves'!$AL$48+'Reference Curves'!$AL$49,E28*'Reference Curves'!$AM$48+'Reference Curves'!$AM$49))),2))))</f>
        <v/>
      </c>
      <c r="G28" s="488" t="str">
        <f>IFERROR(AVERAGE(F28:F30),"")</f>
        <v/>
      </c>
      <c r="H28" s="506"/>
      <c r="I28" s="487"/>
      <c r="L28" s="2"/>
      <c r="M28" s="2"/>
    </row>
    <row r="29" spans="1:13" ht="15.75" x14ac:dyDescent="0.25">
      <c r="A29" s="500"/>
      <c r="B29" s="503"/>
      <c r="C29" s="362" t="s">
        <v>343</v>
      </c>
      <c r="D29" s="363"/>
      <c r="E29" s="369"/>
      <c r="F29" s="239" t="str">
        <f>IF(E29="","",IF(E29&lt;0,0,IF(E29&gt;=0.9,1,ROUND(E29*'Reference Curves'!$AJ$81+'Reference Curves'!$AJ$82,2))))</f>
        <v/>
      </c>
      <c r="G29" s="528"/>
      <c r="H29" s="506"/>
      <c r="I29" s="487"/>
      <c r="L29" s="2"/>
      <c r="M29" s="2"/>
    </row>
    <row r="30" spans="1:13" ht="15.75" x14ac:dyDescent="0.25">
      <c r="A30" s="501"/>
      <c r="B30" s="504"/>
      <c r="C30" s="228" t="s">
        <v>233</v>
      </c>
      <c r="D30" s="230"/>
      <c r="E30" s="277"/>
      <c r="F30" s="71" t="str">
        <f>IF(E30="","",IF(E30&lt;0,0,IF(E30&gt;=0.9,1,ROUND(E30*'Reference Curves'!$AJ$81+'Reference Curves'!$AJ$82,2))))</f>
        <v/>
      </c>
      <c r="G30" s="489"/>
      <c r="H30" s="506"/>
      <c r="I30" s="487"/>
      <c r="L30" s="2"/>
      <c r="M30" s="2"/>
    </row>
    <row r="32" spans="1:13" ht="20.25" customHeight="1" x14ac:dyDescent="0.35">
      <c r="A32" s="19" t="s">
        <v>101</v>
      </c>
      <c r="B32" s="121"/>
      <c r="C32" s="122" t="s">
        <v>152</v>
      </c>
      <c r="D32" s="584"/>
      <c r="E32" s="584"/>
      <c r="F32" s="585"/>
      <c r="G32" s="512" t="s">
        <v>12</v>
      </c>
      <c r="H32" s="582"/>
      <c r="I32" s="583"/>
    </row>
    <row r="33" spans="1:9" ht="15.75" x14ac:dyDescent="0.25">
      <c r="A33" s="25" t="s">
        <v>1</v>
      </c>
      <c r="B33" s="25" t="s">
        <v>2</v>
      </c>
      <c r="C33" s="112" t="s">
        <v>3</v>
      </c>
      <c r="D33" s="113"/>
      <c r="E33" s="25" t="s">
        <v>10</v>
      </c>
      <c r="F33" s="25" t="s">
        <v>11</v>
      </c>
      <c r="G33" s="25" t="s">
        <v>13</v>
      </c>
      <c r="H33" s="25" t="s">
        <v>14</v>
      </c>
      <c r="I33" s="25" t="s">
        <v>14</v>
      </c>
    </row>
    <row r="34" spans="1:9" ht="15.75" x14ac:dyDescent="0.25">
      <c r="A34" s="480" t="s">
        <v>161</v>
      </c>
      <c r="B34" s="448" t="s">
        <v>258</v>
      </c>
      <c r="C34" s="137" t="s">
        <v>138</v>
      </c>
      <c r="D34" s="138"/>
      <c r="E34" s="66"/>
      <c r="F34" s="264" t="str">
        <f>IF(E34="","",ROUND(IF(E34&gt;=86,0,IF(E34&lt;=9,1,IF(E34&gt;22,E34*'Reference Curves'!$C$14+'Reference Curves'!$C$15,IF(E34&gt;16,E34*'Reference Curves'!$D$14+'Reference Curves'!$D$15,E34*'Reference Curves'!$E$14+'Reference Curves'!$E$15)))),2))</f>
        <v/>
      </c>
      <c r="G34" s="457" t="str">
        <f>IFERROR(AVERAGE(F34:F36),"")</f>
        <v/>
      </c>
      <c r="H34" s="457" t="str">
        <f>IFERROR(ROUND(AVERAGE(G34:G40),2),"")</f>
        <v/>
      </c>
      <c r="I34" s="496" t="str">
        <f>IF(H34="","",IF(H34:H40&gt;0.69,"Functioning",IF(H34&gt;0.29,"Functioning At Risk",IF(H34&gt;-1,"Not Functioning"))))</f>
        <v/>
      </c>
    </row>
    <row r="35" spans="1:9" ht="15.75" x14ac:dyDescent="0.25">
      <c r="A35" s="481"/>
      <c r="B35" s="449"/>
      <c r="C35" s="156" t="s">
        <v>257</v>
      </c>
      <c r="D35" s="254"/>
      <c r="E35" s="64"/>
      <c r="F35" s="265" t="str">
        <f>IF(E35="","",ROUND(IF(E35&gt;33.5,0,IF(E35&lt;=0,1,E35*'Reference Curves'!$C$44+'Reference Curves'!$C$45)),2))</f>
        <v/>
      </c>
      <c r="G35" s="458"/>
      <c r="H35" s="458"/>
      <c r="I35" s="497"/>
    </row>
    <row r="36" spans="1:9" ht="15.75" x14ac:dyDescent="0.25">
      <c r="A36" s="481"/>
      <c r="B36" s="450"/>
      <c r="C36" s="178" t="s">
        <v>324</v>
      </c>
      <c r="D36" s="255"/>
      <c r="E36" s="69"/>
      <c r="F36" s="265" t="str">
        <f>IF(E36="","",ROUND(IF(E36&gt;=61,0,IF(E36&lt;=0,1,IF(E36&gt;35,E36*'Reference Curves'!$C$75+'Reference Curves'!$C$76,E36*'Reference Curves'!$D$75+'Reference Curves'!$D$76))),2))</f>
        <v/>
      </c>
      <c r="G36" s="459"/>
      <c r="H36" s="458"/>
      <c r="I36" s="497"/>
    </row>
    <row r="37" spans="1:9" ht="15.75" x14ac:dyDescent="0.25">
      <c r="A37" s="481"/>
      <c r="B37" s="451" t="s">
        <v>95</v>
      </c>
      <c r="C37" s="137" t="s">
        <v>138</v>
      </c>
      <c r="D37" s="280"/>
      <c r="E37" s="57"/>
      <c r="F37" s="139" t="str">
        <f>IF(E37="","",ROUND(IF(E37&gt;=86,0,IF(E37&lt;=9,1,IF(E37&gt;22,E37*'Reference Curves'!$C$14+'Reference Curves'!$C$15,IF(E37&gt;16,E37*'Reference Curves'!$D$14+'Reference Curves'!$D$15,E37*'Reference Curves'!$E$14+'Reference Curves'!$E$15)))),2))</f>
        <v/>
      </c>
      <c r="G37" s="457" t="str">
        <f>IFERROR(AVERAGE(F37:F40),"")</f>
        <v/>
      </c>
      <c r="H37" s="458"/>
      <c r="I37" s="497"/>
    </row>
    <row r="38" spans="1:9" ht="15.75" x14ac:dyDescent="0.25">
      <c r="A38" s="481"/>
      <c r="B38" s="452"/>
      <c r="C38" s="156" t="s">
        <v>257</v>
      </c>
      <c r="D38" s="281"/>
      <c r="E38" s="57"/>
      <c r="F38" s="265" t="str">
        <f>IF(E38="","",ROUND(IF(E38&gt;33.5,0,IF(E38&lt;=0,1,E38*'Reference Curves'!$C$44+'Reference Curves'!$C$45)),2))</f>
        <v/>
      </c>
      <c r="G38" s="458"/>
      <c r="H38" s="458"/>
      <c r="I38" s="497"/>
    </row>
    <row r="39" spans="1:9" ht="15.75" x14ac:dyDescent="0.25">
      <c r="A39" s="481"/>
      <c r="B39" s="452"/>
      <c r="C39" s="156" t="s">
        <v>324</v>
      </c>
      <c r="D39" s="281"/>
      <c r="E39" s="57"/>
      <c r="F39" s="265" t="str">
        <f>IF(E39="","",ROUND(IF(E39&gt;=61,0,IF(E39&lt;=0,1,IF(E39&gt;35,E39*'Reference Curves'!$C$75+'Reference Curves'!$C$76,E39*'Reference Curves'!$D$75+'Reference Curves'!$D$76))),2))</f>
        <v/>
      </c>
      <c r="G39" s="458"/>
      <c r="H39" s="458"/>
      <c r="I39" s="497"/>
    </row>
    <row r="40" spans="1:9" ht="15.6" customHeight="1" x14ac:dyDescent="0.25">
      <c r="A40" s="482"/>
      <c r="B40" s="453"/>
      <c r="C40" s="178" t="s">
        <v>227</v>
      </c>
      <c r="D40" s="179"/>
      <c r="E40" s="57"/>
      <c r="F40" s="157" t="str">
        <f>IF(E40="","",   IF(E40&gt;3.35,0, IF(E40&lt;0, "", ROUND('Reference Curves'!$C$105*E40+'Reference Curves'!$C$106,2))))</f>
        <v/>
      </c>
      <c r="G40" s="459"/>
      <c r="H40" s="458"/>
      <c r="I40" s="498"/>
    </row>
    <row r="41" spans="1:9" ht="15.75" x14ac:dyDescent="0.25">
      <c r="A41" s="509" t="s">
        <v>160</v>
      </c>
      <c r="B41" s="533" t="s">
        <v>5</v>
      </c>
      <c r="C41" s="227" t="s">
        <v>226</v>
      </c>
      <c r="D41" s="204"/>
      <c r="E41" s="59"/>
      <c r="F41" s="205" t="str">
        <f>IF(E41="","",ROUND(IF(OR(E41&gt;1.71, E41&lt;0.34),0,IF(E41&lt;=1,1,E41*'Reference Curves'!K$13+'Reference Curves'!K$14)),2))</f>
        <v/>
      </c>
      <c r="G41" s="526" t="str">
        <f>IFERROR(AVERAGE(F41:F42),"")</f>
        <v/>
      </c>
      <c r="H41" s="493" t="str">
        <f>IFERROR(ROUND(AVERAGE(G41:G43),2),"")</f>
        <v/>
      </c>
      <c r="I41" s="496" t="str">
        <f>IF(H41="","",IF(H41&gt;0.69,"Functioning",IF(H41&gt;0.29,"Functioning At Risk",IF(H41&gt;-1,"Not Functioning"))))</f>
        <v/>
      </c>
    </row>
    <row r="42" spans="1:9" ht="15.6" customHeight="1" x14ac:dyDescent="0.25">
      <c r="A42" s="510"/>
      <c r="B42" s="534"/>
      <c r="C42" s="226" t="s">
        <v>225</v>
      </c>
      <c r="D42" s="61"/>
      <c r="E42" s="198"/>
      <c r="F42" s="231" t="str">
        <f>IF(E42="","",IF(LEFT('Quantification Tool'!$B$10,1)="B",IF(E42&lt;=1,0,IF(E42&gt;=2.2,1,ROUND(IF(E42&lt;1.4,E42*'Reference Curves'!$K$117+'Reference Curves'!$K$118,E42*'Reference Curves'!$L$117+'Reference Curves'!$L$118),2))),
IF(LEFT('Quantification Tool'!$B$10,1)="C",IF(E42&lt;1.7,0,IF(E42&gt;=4.4,1,ROUND(IF(E42&lt;2.4,E42*'Reference Curves'!$K$47+'Reference Curves'!$K$48,E42*'Reference Curves'!$L$47+'Reference Curves'!$L$48),2))),
IF(LEFT('Quantification Tool'!$B$10,1)="E",IF(E42&lt;1.7,0,IF(E42&gt;=6.5,1,ROUND(IF(E42&lt;2.4,E42*'Reference Curves'!$K$82+'Reference Curves'!$K$83,E42*'Reference Curves'!$L$82+'Reference Curves'!$L$83),2)))) )     ))</f>
        <v/>
      </c>
      <c r="G42" s="527"/>
      <c r="H42" s="494"/>
      <c r="I42" s="497"/>
    </row>
    <row r="43" spans="1:9" ht="15.6" customHeight="1" x14ac:dyDescent="0.25">
      <c r="A43" s="511"/>
      <c r="B43" s="211" t="s">
        <v>210</v>
      </c>
      <c r="C43" s="225" t="s">
        <v>270</v>
      </c>
      <c r="D43" s="203"/>
      <c r="E43" s="140"/>
      <c r="F43" s="232" t="str">
        <f>IF(E43="","", IF(E43&gt;=180,0, IF(E43=100,1, ROUND(IF(E43&gt;100, E43*'Reference Curves'!$L$151+'Reference Curves'!$L$152, IF(E41&gt;1.2,IF(E43&lt;=20,0,E43*'Reference Curves'!$K$151+'Reference Curves'!$K$152),1) ),2))))</f>
        <v/>
      </c>
      <c r="G43" s="253" t="str">
        <f>IFERROR(AVERAGE(F43:F43),"")</f>
        <v/>
      </c>
      <c r="H43" s="495"/>
      <c r="I43" s="498"/>
    </row>
    <row r="44" spans="1:9" ht="15.75" x14ac:dyDescent="0.25">
      <c r="A44" s="507" t="s">
        <v>17</v>
      </c>
      <c r="B44" s="200" t="s">
        <v>231</v>
      </c>
      <c r="C44" s="212" t="s">
        <v>228</v>
      </c>
      <c r="D44" s="213"/>
      <c r="E44" s="34"/>
      <c r="F44" s="237" t="str">
        <f>IF(E44="","",IF('Quantification Tool'!$B$17="Alaska Range",ROUND(IF(E44&lt;=0.05,0, IF(E44&gt;=6.3,1,IF(E44&lt;=1.5,'Reference Curves'!$S$16*E44+'Reference Curves'!$S$17, 'Reference Curves'!$T$16*E44+'Reference Curves'!$T$17))),2),
IF('Quantification Tool'!$B$17="Brooks Range",ROUND(IF(E44&gt;=4.2,1,IF(E44&lt;0.03,0, IF(E44&lt;=1.2,'Reference Curves'!$U$16*E44+'Reference Curves'!$U$17, 'Reference Curves'!$V$16*E44+'Reference Curves'!$V$17))),2),
IF(OR('Quantification Tool'!$B$17="Interior Bottomlands",'Quantification Tool'!$B$17="Yukon Flats"),ROUND(IF(E44&gt;=54.5,1,IF(E44&lt;=3.7,'Reference Curves'!$S$51*E44+'Reference Curves'!$S$52, IF(E44&lt;4.7, 'Reference Curves'!$T$51*E44+'Reference Curves'!$T$52, 'Reference Curves'!$U$51*E44+'Reference Curves'!$U$52))),2),
IF(OR('Quantification Tool'!$B$17="Interior Forested Lowlands/Uplands",'Quantification Tool'!$B$17="Interior Highlands"),ROUND(IF(E44=0,0,IF(E44&gt;=24.1,1,IF(E44&lt;=1.3,'Reference Curves'!$V$51*E44+'Reference Curves'!$V$52, 'Reference Curves'!$W$51*E44+'Reference Curves'!$W$52))),2))))))</f>
        <v/>
      </c>
      <c r="G44" s="214" t="str">
        <f>IFERROR(AVERAGE(F44:F44),"")</f>
        <v/>
      </c>
      <c r="H44" s="521" t="str">
        <f>IFERROR(ROUND(AVERAGE(G44:G54),2),"")</f>
        <v/>
      </c>
      <c r="I44" s="523" t="str">
        <f>IF(H44="","",IF(H44&gt;0.69,"Functioning",IF(H44&gt;0.29,"Functioning At Risk",IF(H44&gt;-1,"Not Functioning"))))</f>
        <v/>
      </c>
    </row>
    <row r="45" spans="1:9" ht="15.75" x14ac:dyDescent="0.25">
      <c r="A45" s="508"/>
      <c r="B45" s="508" t="s">
        <v>157</v>
      </c>
      <c r="C45" s="130" t="s">
        <v>40</v>
      </c>
      <c r="D45" s="63"/>
      <c r="E45" s="238"/>
      <c r="F45" s="115" t="str">
        <f>IF(E45="","",IF(OR(E45="Ex/Ex",E45="Ex/VH",E45="Ex/H",E45="Ex/M",E45="VH/Ex",E45="VH/VH", E45="H/Ex",E45="H/VH"),0, IF(OR(E45="M/Ex"),0.1,IF(OR(E45="VH/H",E45="VH/M",E45="H/H",E45="H/M", E45="M/VH"),0.2, IF(OR(E45="Ex/VL",E45="Ex/L", E45="M/H"),0.3, IF(OR(E45="VH/L",E45="H/L"),0.4, IF(OR(E45="VH/VL",E45="H/VL",E45="M/M"),0.5, IF(OR(E45="M/L",E45="L/Ex"),0.6, IF(OR(E45="M/VL",E45="L/VH", E45="L/H",E45="L/M",E45="L/L",E45="L/VL",LEFT(E45)="V"),1)))))))))</f>
        <v/>
      </c>
      <c r="G45" s="522" t="str">
        <f>IFERROR(IF(E47&gt;50,0,AVERAGE(F45:F47)),"")</f>
        <v/>
      </c>
      <c r="H45" s="522"/>
      <c r="I45" s="524"/>
    </row>
    <row r="46" spans="1:9" ht="15.75" x14ac:dyDescent="0.25">
      <c r="A46" s="508"/>
      <c r="B46" s="508"/>
      <c r="C46" s="131" t="s">
        <v>65</v>
      </c>
      <c r="D46" s="125"/>
      <c r="E46" s="141"/>
      <c r="F46" s="115" t="str">
        <f>IF(E46="","",ROUND(IF(E46&gt;=75,0,IF(E46&lt;=5,1,IF(E46&gt;10,E46*'Reference Curves'!S$85+'Reference Curves'!S$86,'Reference Curves'!$T$85*E46+'Reference Curves'!$T$86))),2))</f>
        <v/>
      </c>
      <c r="G46" s="522"/>
      <c r="H46" s="522"/>
      <c r="I46" s="524"/>
    </row>
    <row r="47" spans="1:9" ht="15.75" x14ac:dyDescent="0.25">
      <c r="A47" s="508"/>
      <c r="B47" s="520"/>
      <c r="C47" s="132" t="s">
        <v>203</v>
      </c>
      <c r="D47" s="126"/>
      <c r="E47" s="60"/>
      <c r="F47" s="116" t="str">
        <f>IF(E47="","",IF(E47&gt;=30,0,ROUND(E47*'Reference Curves'!$S$116+'Reference Curves'!$S$117,2)))</f>
        <v/>
      </c>
      <c r="G47" s="525"/>
      <c r="H47" s="522"/>
      <c r="I47" s="524"/>
    </row>
    <row r="48" spans="1:9" ht="15.75" x14ac:dyDescent="0.25">
      <c r="A48" s="508"/>
      <c r="B48" s="270" t="s">
        <v>82</v>
      </c>
      <c r="C48" s="9" t="s">
        <v>256</v>
      </c>
      <c r="D48" s="63"/>
      <c r="E48" s="60"/>
      <c r="F48" s="65" t="str">
        <f>IF(E48="","",IF(OR('Quantification Tool'!B$15="Cobble",'Quantification Tool'!B$15="Boulders",'Quantification Tool'!B$15="Bedrock"),ROUND(IF(E48&lt;=0,1,IF(E48&gt;=13.7,0, IF(E48&gt;5,E48*'Reference Curves'!$U$150+'Reference Curves'!$U$151,  E48*'Reference Curves'!$V$150+'Reference Curves'!$V$151))),2),
IF('Quantification Tool'!B$15="Gravel",ROUND(IF(E48&lt;=3,1,IF(E48&gt;=54,0, IF(E48&gt;15,E48*'Reference Curves'!$S$150+'Reference Curves'!$S$151,  E48*'Reference Curves'!$T$150+'Reference Curves'!$T$151))),2))))</f>
        <v/>
      </c>
      <c r="G48" s="65" t="str">
        <f>IFERROR(AVERAGE(F48),"")</f>
        <v/>
      </c>
      <c r="H48" s="522"/>
      <c r="I48" s="524"/>
    </row>
    <row r="49" spans="1:9" ht="15.75" x14ac:dyDescent="0.25">
      <c r="A49" s="508"/>
      <c r="B49" s="507" t="s">
        <v>42</v>
      </c>
      <c r="C49" s="8" t="s">
        <v>229</v>
      </c>
      <c r="D49" s="62"/>
      <c r="E49" s="66"/>
      <c r="F49" s="67" t="str">
        <f>IF(E49="","", IF(LEFT('Quantification Tool'!$B$10,1)="C", IF(OR(E49&lt;=3,E49&gt;=9.3),0,IF(AND(E49&gt;=4,E49&lt;=6),1,IF(E49&lt;4, ROUND(E49*'Reference Curves'!$S$250+'Reference Curves'!$S$251,2), ROUND(E49*'Reference Curves'!$T$250+'Reference Curves'!$T$251,2)))),
IF(LEFT('Quantification Tool'!$B$10,1)="E", IF(OR(E49&lt;=1.8,E49&gt;=8.3),0,IF(AND(E49&gt;=3.5,E49&lt;=5),1,IF(E49&lt;3.5, ROUND(E49*'Reference Curves'!$S$283+'Reference Curves'!$S$284,2), ROUND(E49*'Reference Curves'!$T$283+'Reference Curves'!$T$284,2)))),
IF(OR('Quantification Tool'!$B$10="B",'Quantification Tool'!$B$10="Ba"), IF(E49&gt;=6,0, IF(E49&lt;=2, 1, IF(E49&gt;3.9, ROUND(E49*'Reference Curves'!$S$185+'Reference Curves'!$S$186,2), ROUND(E49*'Reference Curves'!$T$185+'Reference Curves'!$T$186,2)))),
IF('Quantification Tool'!$B$10="Bc",  IF(E49&gt;12,0, IF(E49&lt;=3.4, 1, ROUND(E49*'Reference Curves'!$S$217+'Reference Curves'!$S$218,2))))))))</f>
        <v/>
      </c>
      <c r="G49" s="518" t="str">
        <f>IFERROR(AVERAGE(F49:F51),"")</f>
        <v/>
      </c>
      <c r="H49" s="522"/>
      <c r="I49" s="524"/>
    </row>
    <row r="50" spans="1:9" ht="15.75" x14ac:dyDescent="0.25">
      <c r="A50" s="508"/>
      <c r="B50" s="508"/>
      <c r="C50" s="105" t="s">
        <v>230</v>
      </c>
      <c r="D50" s="63"/>
      <c r="E50" s="64"/>
      <c r="F50" s="68" t="str">
        <f>IF(E50="","",IF(OR('Quantification Tool'!$B$10="B",'Quantification Tool'!$B$10="Ba"),ROUND(IF(E50&lt;=1,0,IF(E50&gt;=2.8,1,IF(E50&lt;1.8,E50*'Reference Curves'!$S$318+'Reference Curves'!$S$319,E50*'Reference Curves'!$T$318+'Reference Curves'!$T$319))),2),
ROUND(IF(E50&lt;=1,0,IF(E50&gt;=3.2,1,IF(E50&lt;2.2,E50*'Reference Curves'!$U$318+'Reference Curves'!$U$319,E50*'Reference Curves'!$V$318+'Reference Curves'!$V$319))),2)))</f>
        <v/>
      </c>
      <c r="G50" s="519"/>
      <c r="H50" s="522"/>
      <c r="I50" s="524"/>
    </row>
    <row r="51" spans="1:9" ht="15.75" x14ac:dyDescent="0.25">
      <c r="A51" s="508"/>
      <c r="B51" s="508"/>
      <c r="C51" s="105" t="s">
        <v>142</v>
      </c>
      <c r="D51" s="63"/>
      <c r="E51" s="64"/>
      <c r="F51" s="302" t="str">
        <f>IF(E51="","",IF('Quantification Tool'!$B$16&gt;=3,IF(OR(E51&lt;=0,E51&gt;=100),0,IF(AND(E51&gt;=68,E51&lt;=85),1,IF(E51&lt;68,IF(E51&lt;62,ROUND(E51*'Reference Curves'!$S$352+'Reference Curves'!$S$353,2),ROUND(E51*'Reference Curves'!$T$352+'Reference Curves'!$T$353,2)),
IF(E51&gt;87,ROUND(E51*'Reference Curves'!$U$352+'Reference Curves'!$U$353,2),ROUND(E51*'Reference Curves'!$V$352+'Reference Curves'!$V$353,2))))),
IF('Quantification Tool'!$B$16&lt;&gt;0,IF(OR(E51&lt;=0,E51&gt;=100),0,IF(AND(E51&lt;=60,E51&gt;=50),1,IF(E51&lt;50,IF(E51&lt;39,ROUND(E51*'Reference Curves'!$S$386+'Reference Curves'!$S$387,2),ROUND(E51*'Reference Curves'!$T$386+'Reference Curves'!$T$387,2)),
IF(E51&gt;69,ROUND(E51*'Reference Curves'!$U$386+'Reference Curves'!$U$387,2),ROUND(E51*'Reference Curves'!$V$386+'Reference Curves'!$V$387,2))))))))</f>
        <v/>
      </c>
      <c r="G51" s="519"/>
      <c r="H51" s="522"/>
      <c r="I51" s="524"/>
    </row>
    <row r="52" spans="1:9" ht="15.75" x14ac:dyDescent="0.25">
      <c r="A52" s="508"/>
      <c r="B52" s="507" t="s">
        <v>41</v>
      </c>
      <c r="C52" s="8" t="s">
        <v>332</v>
      </c>
      <c r="D52" s="128"/>
      <c r="E52" s="129"/>
      <c r="F52" s="124" t="str">
        <f>IF(E52="","",IF('Quantification Tool'!$B$11="Unconfined Alluvial",IF(E52&gt;=100,1,IF(E52&lt;0,0,ROUND('Reference Curves'!$S$420*E52+'Reference Curves'!$S$421,2))),IF(OR('Quantification Tool'!$B$11="Confined Alluvial",'Quantification Tool'!$B$11="Colluvial/V-Shaped"),(IF(E52&gt;=100,1,IF(E52&lt;0,0,IF(E52&lt;60,ROUND('Reference Curves'!$T$420*E52+'Reference Curves'!$T$421,2), ROUND('Reference Curves'!$U$420*E52+'Reference Curves'!$U$421,2))))))))</f>
        <v/>
      </c>
      <c r="G52" s="518" t="str">
        <f>IFERROR(AVERAGE(F52:F54),"")</f>
        <v/>
      </c>
      <c r="H52" s="522"/>
      <c r="I52" s="524"/>
    </row>
    <row r="53" spans="1:9" ht="15.75" x14ac:dyDescent="0.25">
      <c r="A53" s="508"/>
      <c r="B53" s="508"/>
      <c r="C53" s="105" t="s">
        <v>251</v>
      </c>
      <c r="D53" s="123"/>
      <c r="E53" s="127"/>
      <c r="F53" s="68" t="str">
        <f>IF(E53="","",IF(OR('Quantification Tool'!$B$17="Alaska Range",'Quantification Tool'!$B$17="Brooks Range"),ROUND(IF(E53&gt;=1.57,1,IF(E53&lt;=0.06,'Reference Curves'!$S$455*E53+'Reference Curves'!$S$456, IF(E53&lt;0.83, 'Reference Curves'!$T$455*E53+'Reference Curves'!$T$456, 'Reference Curves'!$U$455*E53+'Reference Curves'!$U$456))),2),
IF('Quantification Tool'!$B$17="Interior Highlands",ROUND(IF(E53&gt;=1.67,1,IF(E53&lt;=0.94,'Reference Curves'!$V$455*E53+'Reference Curves'!$V$456, IF(E53&lt;1.21, 'Reference Curves'!$W$455*E53+'Reference Curves'!$W$456, 'Reference Curves'!$X$455*E53+'Reference Curves'!$X$456))),2),
IF(OR('Quantification Tool'!$B$17="Interior Bottomlands",'Quantification Tool'!$B$17="Yukon Flats"),ROUND(IF(E53&gt;=1.82,1,IF(E53&lt;=1.19,'Reference Curves'!$S$490*E53+'Reference Curves'!$S$491, IF(E53&lt;1.37, 'Reference Curves'!$T$490*E53+'Reference Curves'!$T$491, 'Reference Curves'!$U$490*E53+'Reference Curves'!$U$491))),2),
IF('Quantification Tool'!$B$17="Interior Forested Lowlands/Uplands",ROUND(IF(E53&gt;=1.87,1,IF(E53&lt;=1.24,'Reference Curves'!$V$490*E53+'Reference Curves'!$V$491, IF(E53&lt;1.45, 'Reference Curves'!$W$490*E53+'Reference Curves'!$W$491, 'Reference Curves'!$X$490*E53+'Reference Curves'!$X$491))),2))))))</f>
        <v/>
      </c>
      <c r="G53" s="519"/>
      <c r="H53" s="522"/>
      <c r="I53" s="524"/>
    </row>
    <row r="54" spans="1:9" ht="15.75" x14ac:dyDescent="0.25">
      <c r="A54" s="508"/>
      <c r="B54" s="508"/>
      <c r="C54" s="105" t="s">
        <v>325</v>
      </c>
      <c r="D54" s="123"/>
      <c r="E54" s="127"/>
      <c r="F54" s="68" t="str">
        <f>IF(E54="","",IF(E54&lt;83.5,0,IF(E54&gt;=100,1, ROUND(E54*'Reference Curves'!$S$521+'Reference Curves'!$S$522,2))))</f>
        <v/>
      </c>
      <c r="G54" s="519"/>
      <c r="H54" s="522"/>
      <c r="I54" s="524"/>
    </row>
    <row r="55" spans="1:9" ht="15.75" x14ac:dyDescent="0.25">
      <c r="A55" s="513" t="s">
        <v>47</v>
      </c>
      <c r="B55" s="268" t="s">
        <v>60</v>
      </c>
      <c r="C55" s="274" t="s">
        <v>341</v>
      </c>
      <c r="D55" s="275"/>
      <c r="E55" s="59"/>
      <c r="F55" s="171" t="str">
        <f>IF(E55="","",IF(E55&lt;=1.1,1,IF(E55&gt;1.315,0,ROUND(E55*'Reference Curves'!$AA$13+'Reference Curves'!$AA$14,2))))</f>
        <v/>
      </c>
      <c r="G55" s="269" t="str">
        <f>IFERROR(AVERAGE(F55:F55),"")</f>
        <v/>
      </c>
      <c r="H55" s="530" t="str">
        <f>IFERROR(ROUND(AVERAGE(G55:G57),2),"")</f>
        <v/>
      </c>
      <c r="I55" s="487" t="str">
        <f>IF(H55="","",IF(H55&gt;0.69,"Functioning",IF(H55&gt;0.29,"Functioning At Risk",IF(H55&gt;-1,"Not Functioning"))))</f>
        <v/>
      </c>
    </row>
    <row r="56" spans="1:9" ht="15.75" x14ac:dyDescent="0.25">
      <c r="A56" s="514"/>
      <c r="B56" s="172" t="s">
        <v>259</v>
      </c>
      <c r="C56" s="274" t="s">
        <v>342</v>
      </c>
      <c r="D56" s="275"/>
      <c r="E56" s="34"/>
      <c r="F56" s="171" t="str">
        <f>IF(E56="","",IF(E56&lt;=3.2,1,IF(E56&gt;=100,0,ROUND(IF(E56&gt;10,E56*'Reference Curves'!$AA$46+'Reference Curves'!$AA$47,E56*'Reference Curves'!$AB$46+'Reference Curves'!$AB$47),2))))</f>
        <v/>
      </c>
      <c r="G56" s="171" t="str">
        <f>IFERROR(AVERAGE(F56),"")</f>
        <v/>
      </c>
      <c r="H56" s="531"/>
      <c r="I56" s="487"/>
    </row>
    <row r="57" spans="1:9" ht="15.75" x14ac:dyDescent="0.25">
      <c r="A57" s="515"/>
      <c r="B57" s="172" t="s">
        <v>260</v>
      </c>
      <c r="C57" s="169" t="s">
        <v>359</v>
      </c>
      <c r="D57" s="170"/>
      <c r="E57" s="34"/>
      <c r="F57" s="171" t="str">
        <f>IF(E57="","",IF(E57&gt;=75,1,IF(E57&lt;19,0,ROUND(E57*'Reference Curves'!$AA$79+'Reference Curves'!$AA$80,2))))</f>
        <v/>
      </c>
      <c r="G57" s="171" t="str">
        <f>IFERROR(AVERAGE(F57),"")</f>
        <v/>
      </c>
      <c r="H57" s="532"/>
      <c r="I57" s="487"/>
    </row>
    <row r="58" spans="1:9" ht="15.75" x14ac:dyDescent="0.25">
      <c r="A58" s="499" t="s">
        <v>48</v>
      </c>
      <c r="B58" s="145" t="s">
        <v>109</v>
      </c>
      <c r="C58" s="144" t="s">
        <v>370</v>
      </c>
      <c r="D58" s="70"/>
      <c r="E58" s="59"/>
      <c r="F58" s="239" t="str">
        <f>IF(E58="","", ROUND(IF(E58&gt;=81,0,IF(E58&lt;=36,1,IF(E58&gt;62,E58*'Reference Curves'!$AJ$14+'Reference Curves'!$AJ$15,IF(E58&gt;43,E58*'Reference Curves'!$AK$14+'Reference Curves'!$AK$15,E58*'Reference Curves'!$AL$14+'Reference Curves'!$AL$15)))),2))</f>
        <v/>
      </c>
      <c r="G58" s="146" t="str">
        <f>IFERROR(AVERAGE(F58),"")</f>
        <v/>
      </c>
      <c r="H58" s="505" t="str">
        <f>IFERROR(ROUND(AVERAGE(G58:G61),2),"")</f>
        <v/>
      </c>
      <c r="I58" s="487" t="str">
        <f>IF(H58="","",IF(H58&gt;0.69,"Functioning",IF(H58&gt;0.29,"Functioning At Risk",IF(H58&gt;-1,"Not Functioning"))))</f>
        <v/>
      </c>
    </row>
    <row r="59" spans="1:9" ht="15.75" x14ac:dyDescent="0.25">
      <c r="A59" s="500"/>
      <c r="B59" s="502" t="s">
        <v>56</v>
      </c>
      <c r="C59" s="144" t="s">
        <v>333</v>
      </c>
      <c r="D59" s="70"/>
      <c r="E59" s="66"/>
      <c r="F59" s="229" t="str">
        <f>IF(E59="","", IF('Quantification Tool'!$B$18="Anadromous",ROUND(IF(E59&lt;=0,0,IF(E59&gt;=100,1,IF(E59&lt;80,E59*'Reference Curves'!$AJ$48+'Reference Curves'!$AJ$49,E59*'Reference Curves'!$AK$48+'Reference Curves'!$AK$49))),2),
IF('Quantification Tool'!$B$18="Non-anadromous",ROUND(IF(E59&lt;=0,0,IF(E59&gt;=100,1,IF(E59&lt;60,E59*'Reference Curves'!$AL$48+'Reference Curves'!$AL$49,E59*'Reference Curves'!$AM$48+'Reference Curves'!$AM$49))),2))))</f>
        <v/>
      </c>
      <c r="G59" s="488" t="str">
        <f>IFERROR(AVERAGE(F59:F61),"")</f>
        <v/>
      </c>
      <c r="H59" s="506"/>
      <c r="I59" s="487"/>
    </row>
    <row r="60" spans="1:9" ht="15.75" x14ac:dyDescent="0.25">
      <c r="A60" s="500"/>
      <c r="B60" s="503"/>
      <c r="C60" s="362" t="s">
        <v>343</v>
      </c>
      <c r="D60" s="363"/>
      <c r="E60" s="64"/>
      <c r="F60" s="239" t="str">
        <f>IF(E60="","",IF(E60&lt;0,0,IF(E60&gt;=0.9,1,ROUND(E60*'Reference Curves'!$AJ$81+'Reference Curves'!$AJ$82,2))))</f>
        <v/>
      </c>
      <c r="G60" s="488"/>
      <c r="H60" s="506"/>
      <c r="I60" s="487"/>
    </row>
    <row r="61" spans="1:9" ht="15.75" x14ac:dyDescent="0.25">
      <c r="A61" s="501"/>
      <c r="B61" s="504"/>
      <c r="C61" s="228" t="s">
        <v>233</v>
      </c>
      <c r="D61" s="230"/>
      <c r="E61" s="277"/>
      <c r="F61" s="71" t="str">
        <f>IF(E61="","",IF(E61&lt;0,0,IF(E61&gt;=0.9,1,ROUND(E61*'Reference Curves'!$AJ$81+'Reference Curves'!$AJ$82,2))))</f>
        <v/>
      </c>
      <c r="G61" s="489"/>
      <c r="H61" s="506"/>
      <c r="I61" s="487"/>
    </row>
    <row r="63" spans="1:9" ht="20.25" customHeight="1" x14ac:dyDescent="0.35">
      <c r="A63" s="19" t="s">
        <v>101</v>
      </c>
      <c r="B63" s="121"/>
      <c r="C63" s="122" t="s">
        <v>152</v>
      </c>
      <c r="D63" s="584"/>
      <c r="E63" s="584"/>
      <c r="F63" s="585"/>
      <c r="G63" s="512" t="s">
        <v>12</v>
      </c>
      <c r="H63" s="582"/>
      <c r="I63" s="583"/>
    </row>
    <row r="64" spans="1:9" ht="15.75" x14ac:dyDescent="0.25">
      <c r="A64" s="25" t="s">
        <v>1</v>
      </c>
      <c r="B64" s="25" t="s">
        <v>2</v>
      </c>
      <c r="C64" s="112" t="s">
        <v>3</v>
      </c>
      <c r="D64" s="113"/>
      <c r="E64" s="25" t="s">
        <v>10</v>
      </c>
      <c r="F64" s="25" t="s">
        <v>11</v>
      </c>
      <c r="G64" s="25" t="s">
        <v>13</v>
      </c>
      <c r="H64" s="25" t="s">
        <v>14</v>
      </c>
      <c r="I64" s="25" t="s">
        <v>14</v>
      </c>
    </row>
    <row r="65" spans="1:9" ht="15.75" x14ac:dyDescent="0.25">
      <c r="A65" s="480" t="s">
        <v>161</v>
      </c>
      <c r="B65" s="448" t="s">
        <v>258</v>
      </c>
      <c r="C65" s="137" t="s">
        <v>138</v>
      </c>
      <c r="D65" s="138"/>
      <c r="E65" s="66"/>
      <c r="F65" s="264" t="str">
        <f>IF(E65="","",ROUND(IF(E65&gt;=86,0,IF(E65&lt;=9,1,IF(E65&gt;22,E65*'Reference Curves'!$C$14+'Reference Curves'!$C$15,IF(E65&gt;16,E65*'Reference Curves'!$D$14+'Reference Curves'!$D$15,E65*'Reference Curves'!$E$14+'Reference Curves'!$E$15)))),2))</f>
        <v/>
      </c>
      <c r="G65" s="457" t="str">
        <f>IFERROR(AVERAGE(F65:F67),"")</f>
        <v/>
      </c>
      <c r="H65" s="457" t="str">
        <f>IFERROR(ROUND(AVERAGE(G65:G71),2),"")</f>
        <v/>
      </c>
      <c r="I65" s="496" t="str">
        <f>IF(H65="","",IF(H65:H71&gt;0.69,"Functioning",IF(H65&gt;0.29,"Functioning At Risk",IF(H65&gt;-1,"Not Functioning"))))</f>
        <v/>
      </c>
    </row>
    <row r="66" spans="1:9" ht="15.75" x14ac:dyDescent="0.25">
      <c r="A66" s="481"/>
      <c r="B66" s="449"/>
      <c r="C66" s="156" t="s">
        <v>257</v>
      </c>
      <c r="D66" s="254"/>
      <c r="E66" s="64"/>
      <c r="F66" s="265" t="str">
        <f>IF(E66="","",ROUND(IF(E66&gt;33.5,0,IF(E66&lt;=0,1,E66*'Reference Curves'!$C$44+'Reference Curves'!$C$45)),2))</f>
        <v/>
      </c>
      <c r="G66" s="458"/>
      <c r="H66" s="458"/>
      <c r="I66" s="497"/>
    </row>
    <row r="67" spans="1:9" ht="15.75" x14ac:dyDescent="0.25">
      <c r="A67" s="481"/>
      <c r="B67" s="450"/>
      <c r="C67" s="178" t="s">
        <v>324</v>
      </c>
      <c r="D67" s="255"/>
      <c r="E67" s="69"/>
      <c r="F67" s="265" t="str">
        <f>IF(E67="","",ROUND(IF(E67&gt;=61,0,IF(E67&lt;=0,1,IF(E67&gt;35,E67*'Reference Curves'!$C$75+'Reference Curves'!$C$76,E67*'Reference Curves'!$D$75+'Reference Curves'!$D$76))),2))</f>
        <v/>
      </c>
      <c r="G67" s="459"/>
      <c r="H67" s="458"/>
      <c r="I67" s="497"/>
    </row>
    <row r="68" spans="1:9" ht="15.75" x14ac:dyDescent="0.25">
      <c r="A68" s="481"/>
      <c r="B68" s="451" t="s">
        <v>95</v>
      </c>
      <c r="C68" s="137" t="s">
        <v>138</v>
      </c>
      <c r="D68" s="280"/>
      <c r="E68" s="57"/>
      <c r="F68" s="139" t="str">
        <f>IF(E68="","",ROUND(IF(E68&gt;=86,0,IF(E68&lt;=9,1,IF(E68&gt;22,E68*'Reference Curves'!$C$14+'Reference Curves'!$C$15,IF(E68&gt;16,E68*'Reference Curves'!$D$14+'Reference Curves'!$D$15,E68*'Reference Curves'!$E$14+'Reference Curves'!$E$15)))),2))</f>
        <v/>
      </c>
      <c r="G68" s="457" t="str">
        <f>IFERROR(AVERAGE(F68:F71),"")</f>
        <v/>
      </c>
      <c r="H68" s="458"/>
      <c r="I68" s="497"/>
    </row>
    <row r="69" spans="1:9" ht="15.75" x14ac:dyDescent="0.25">
      <c r="A69" s="481"/>
      <c r="B69" s="452"/>
      <c r="C69" s="156" t="s">
        <v>257</v>
      </c>
      <c r="D69" s="281"/>
      <c r="E69" s="57"/>
      <c r="F69" s="265" t="str">
        <f>IF(E69="","",ROUND(IF(E69&gt;33.5,0,IF(E69&lt;=0,1,E69*'Reference Curves'!$C$44+'Reference Curves'!$C$45)),2))</f>
        <v/>
      </c>
      <c r="G69" s="458"/>
      <c r="H69" s="458"/>
      <c r="I69" s="497"/>
    </row>
    <row r="70" spans="1:9" ht="15.75" x14ac:dyDescent="0.25">
      <c r="A70" s="481"/>
      <c r="B70" s="452"/>
      <c r="C70" s="156" t="s">
        <v>324</v>
      </c>
      <c r="D70" s="281"/>
      <c r="E70" s="57"/>
      <c r="F70" s="265" t="str">
        <f>IF(E70="","",ROUND(IF(E70&gt;=61,0,IF(E70&lt;=0,1,IF(E70&gt;35,E70*'Reference Curves'!$C$75+'Reference Curves'!$C$76,E70*'Reference Curves'!$D$75+'Reference Curves'!$D$76))),2))</f>
        <v/>
      </c>
      <c r="G70" s="458"/>
      <c r="H70" s="458"/>
      <c r="I70" s="497"/>
    </row>
    <row r="71" spans="1:9" ht="15.6" customHeight="1" x14ac:dyDescent="0.25">
      <c r="A71" s="482"/>
      <c r="B71" s="453"/>
      <c r="C71" s="178" t="s">
        <v>227</v>
      </c>
      <c r="D71" s="179"/>
      <c r="E71" s="57"/>
      <c r="F71" s="157" t="str">
        <f>IF(E71="","",   IF(E71&gt;3.35,0, IF(E71&lt;0, "", ROUND('Reference Curves'!$C$105*E71+'Reference Curves'!$C$106,2))))</f>
        <v/>
      </c>
      <c r="G71" s="459"/>
      <c r="H71" s="458"/>
      <c r="I71" s="498"/>
    </row>
    <row r="72" spans="1:9" ht="15.75" x14ac:dyDescent="0.25">
      <c r="A72" s="509" t="s">
        <v>160</v>
      </c>
      <c r="B72" s="533" t="s">
        <v>5</v>
      </c>
      <c r="C72" s="227" t="s">
        <v>226</v>
      </c>
      <c r="D72" s="204"/>
      <c r="E72" s="59"/>
      <c r="F72" s="205" t="str">
        <f>IF(E72="","",ROUND(IF(OR(E72&gt;1.71, E72&lt;0.34),0,IF(E72&lt;=1,1,E72*'Reference Curves'!K$13+'Reference Curves'!K$14)),2))</f>
        <v/>
      </c>
      <c r="G72" s="526" t="str">
        <f>IFERROR(AVERAGE(F72:F73),"")</f>
        <v/>
      </c>
      <c r="H72" s="493" t="str">
        <f>IFERROR(ROUND(AVERAGE(G72:G74),2),"")</f>
        <v/>
      </c>
      <c r="I72" s="496" t="str">
        <f>IF(H72="","",IF(H72&gt;0.69,"Functioning",IF(H72&gt;0.29,"Functioning At Risk",IF(H72&gt;-1,"Not Functioning"))))</f>
        <v/>
      </c>
    </row>
    <row r="73" spans="1:9" ht="15.6" customHeight="1" x14ac:dyDescent="0.25">
      <c r="A73" s="510"/>
      <c r="B73" s="534"/>
      <c r="C73" s="226" t="s">
        <v>225</v>
      </c>
      <c r="D73" s="61"/>
      <c r="E73" s="198"/>
      <c r="F73" s="231" t="str">
        <f>IF(E73="","",IF(LEFT('Quantification Tool'!$B$10,1)="B",IF(E73&lt;=1,0,IF(E73&gt;=2.2,1,ROUND(IF(E73&lt;1.4,E73*'Reference Curves'!$K$117+'Reference Curves'!$K$118,E73*'Reference Curves'!$L$117+'Reference Curves'!$L$118),2))),
IF(LEFT('Quantification Tool'!$B$10,1)="C",IF(E73&lt;1.7,0,IF(E73&gt;=4.4,1,ROUND(IF(E73&lt;2.4,E73*'Reference Curves'!$K$47+'Reference Curves'!$K$48,E73*'Reference Curves'!$L$47+'Reference Curves'!$L$48),2))),
IF(LEFT('Quantification Tool'!$B$10,1)="E",IF(E73&lt;1.7,0,IF(E73&gt;=6.5,1,ROUND(IF(E73&lt;2.4,E73*'Reference Curves'!$K$82+'Reference Curves'!$K$83,E73*'Reference Curves'!$L$82+'Reference Curves'!$L$83),2)))) )     ))</f>
        <v/>
      </c>
      <c r="G73" s="527"/>
      <c r="H73" s="494"/>
      <c r="I73" s="497"/>
    </row>
    <row r="74" spans="1:9" ht="15.6" customHeight="1" x14ac:dyDescent="0.25">
      <c r="A74" s="511"/>
      <c r="B74" s="211" t="s">
        <v>210</v>
      </c>
      <c r="C74" s="225" t="s">
        <v>270</v>
      </c>
      <c r="D74" s="203"/>
      <c r="E74" s="140"/>
      <c r="F74" s="232" t="str">
        <f>IF(E74="","", IF(E74&gt;=180,0, IF(E74=100,1, ROUND(IF(E74&gt;100, E74*'Reference Curves'!$L$151+'Reference Curves'!$L$152, IF(E72&gt;1.2,IF(E74&lt;=20,0,E74*'Reference Curves'!$K$151+'Reference Curves'!$K$152),1) ),2))))</f>
        <v/>
      </c>
      <c r="G74" s="253" t="str">
        <f>IFERROR(AVERAGE(F74:F74),"")</f>
        <v/>
      </c>
      <c r="H74" s="495"/>
      <c r="I74" s="498"/>
    </row>
    <row r="75" spans="1:9" ht="15.75" x14ac:dyDescent="0.25">
      <c r="A75" s="507" t="s">
        <v>17</v>
      </c>
      <c r="B75" s="200" t="s">
        <v>231</v>
      </c>
      <c r="C75" s="212" t="s">
        <v>228</v>
      </c>
      <c r="D75" s="213"/>
      <c r="E75" s="34"/>
      <c r="F75" s="237" t="str">
        <f>IF(E75="","",IF('Quantification Tool'!$B$17="Alaska Range",ROUND(IF(E75&lt;=0.05,0, IF(E75&gt;=6.3,1,IF(E75&lt;=1.5,'Reference Curves'!$S$16*E75+'Reference Curves'!$S$17, 'Reference Curves'!$T$16*E75+'Reference Curves'!$T$17))),2),
IF('Quantification Tool'!$B$17="Brooks Range",ROUND(IF(E75&gt;=4.2,1,IF(E75&lt;0.03,0, IF(E75&lt;=1.2,'Reference Curves'!$U$16*E75+'Reference Curves'!$U$17, 'Reference Curves'!$V$16*E75+'Reference Curves'!$V$17))),2),
IF(OR('Quantification Tool'!$B$17="Interior Bottomlands",'Quantification Tool'!$B$17="Yukon Flats"),ROUND(IF(E75&gt;=54.5,1,IF(E75&lt;=3.7,'Reference Curves'!$S$51*E75+'Reference Curves'!$S$52, IF(E75&lt;4.7, 'Reference Curves'!$T$51*E75+'Reference Curves'!$T$52, 'Reference Curves'!$U$51*E75+'Reference Curves'!$U$52))),2),
IF(OR('Quantification Tool'!$B$17="Interior Forested Lowlands/Uplands",'Quantification Tool'!$B$17="Interior Highlands"),ROUND(IF(E75=0,0,IF(E75&gt;=24.1,1,IF(E75&lt;=1.3,'Reference Curves'!$V$51*E75+'Reference Curves'!$V$52, 'Reference Curves'!$W$51*E75+'Reference Curves'!$W$52))),2))))))</f>
        <v/>
      </c>
      <c r="G75" s="214" t="str">
        <f>IFERROR(AVERAGE(F75:F75),"")</f>
        <v/>
      </c>
      <c r="H75" s="521" t="str">
        <f>IFERROR(ROUND(AVERAGE(G75:G85),2),"")</f>
        <v/>
      </c>
      <c r="I75" s="523" t="str">
        <f>IF(H75="","",IF(H75&gt;0.69,"Functioning",IF(H75&gt;0.29,"Functioning At Risk",IF(H75&gt;-1,"Not Functioning"))))</f>
        <v/>
      </c>
    </row>
    <row r="76" spans="1:9" ht="15.75" x14ac:dyDescent="0.25">
      <c r="A76" s="508"/>
      <c r="B76" s="508" t="s">
        <v>157</v>
      </c>
      <c r="C76" s="130" t="s">
        <v>40</v>
      </c>
      <c r="D76" s="63"/>
      <c r="E76" s="238"/>
      <c r="F76" s="115" t="str">
        <f>IF(E76="","",IF(OR(E76="Ex/Ex",E76="Ex/VH",E76="Ex/H",E76="Ex/M",E76="VH/Ex",E76="VH/VH", E76="H/Ex",E76="H/VH"),0, IF(OR(E76="M/Ex"),0.1,IF(OR(E76="VH/H",E76="VH/M",E76="H/H",E76="H/M", E76="M/VH"),0.2, IF(OR(E76="Ex/VL",E76="Ex/L", E76="M/H"),0.3, IF(OR(E76="VH/L",E76="H/L"),0.4, IF(OR(E76="VH/VL",E76="H/VL",E76="M/M"),0.5, IF(OR(E76="M/L",E76="L/Ex"),0.6, IF(OR(E76="M/VL",E76="L/VH", E76="L/H",E76="L/M",E76="L/L",E76="L/VL",LEFT(E76)="V"),1)))))))))</f>
        <v/>
      </c>
      <c r="G76" s="522" t="str">
        <f>IFERROR(IF(E78&gt;50,0,AVERAGE(F76:F78)),"")</f>
        <v/>
      </c>
      <c r="H76" s="522"/>
      <c r="I76" s="524"/>
    </row>
    <row r="77" spans="1:9" ht="15.75" x14ac:dyDescent="0.25">
      <c r="A77" s="508"/>
      <c r="B77" s="508"/>
      <c r="C77" s="131" t="s">
        <v>65</v>
      </c>
      <c r="D77" s="125"/>
      <c r="E77" s="141"/>
      <c r="F77" s="115" t="str">
        <f>IF(E77="","",ROUND(IF(E77&gt;=75,0,IF(E77&lt;=5,1,IF(E77&gt;10,E77*'Reference Curves'!S$85+'Reference Curves'!S$86,'Reference Curves'!$T$85*E77+'Reference Curves'!$T$86))),2))</f>
        <v/>
      </c>
      <c r="G77" s="522"/>
      <c r="H77" s="522"/>
      <c r="I77" s="524"/>
    </row>
    <row r="78" spans="1:9" ht="15.75" x14ac:dyDescent="0.25">
      <c r="A78" s="508"/>
      <c r="B78" s="520"/>
      <c r="C78" s="132" t="s">
        <v>203</v>
      </c>
      <c r="D78" s="126"/>
      <c r="E78" s="60"/>
      <c r="F78" s="116" t="str">
        <f>IF(E78="","",IF(E78&gt;=30,0,ROUND(E78*'Reference Curves'!$S$116+'Reference Curves'!$S$117,2)))</f>
        <v/>
      </c>
      <c r="G78" s="525"/>
      <c r="H78" s="522"/>
      <c r="I78" s="524"/>
    </row>
    <row r="79" spans="1:9" ht="15.75" x14ac:dyDescent="0.25">
      <c r="A79" s="508"/>
      <c r="B79" s="270" t="s">
        <v>82</v>
      </c>
      <c r="C79" s="9" t="s">
        <v>256</v>
      </c>
      <c r="D79" s="63"/>
      <c r="E79" s="60"/>
      <c r="F79" s="65" t="str">
        <f>IF(E79="","",IF(OR('Quantification Tool'!B$15="Cobble",'Quantification Tool'!B$15="Boulders",'Quantification Tool'!B$15="Bedrock"),ROUND(IF(E79&lt;=0,1,IF(E79&gt;=13.7,0, IF(E79&gt;5,E79*'Reference Curves'!$U$150+'Reference Curves'!$U$151,  E79*'Reference Curves'!$V$150+'Reference Curves'!$V$151))),2),
IF('Quantification Tool'!B$15="Gravel",ROUND(IF(E79&lt;=3,1,IF(E79&gt;=54,0, IF(E79&gt;15,E79*'Reference Curves'!$S$150+'Reference Curves'!$S$151,  E79*'Reference Curves'!$T$150+'Reference Curves'!$T$151))),2))))</f>
        <v/>
      </c>
      <c r="G79" s="65" t="str">
        <f>IFERROR(AVERAGE(F79),"")</f>
        <v/>
      </c>
      <c r="H79" s="522"/>
      <c r="I79" s="524"/>
    </row>
    <row r="80" spans="1:9" ht="15.75" x14ac:dyDescent="0.25">
      <c r="A80" s="508"/>
      <c r="B80" s="507" t="s">
        <v>42</v>
      </c>
      <c r="C80" s="8" t="s">
        <v>229</v>
      </c>
      <c r="D80" s="62"/>
      <c r="E80" s="66"/>
      <c r="F80" s="67" t="str">
        <f>IF(E80="","", IF(LEFT('Quantification Tool'!$B$10,1)="C", IF(OR(E80&lt;=3,E80&gt;=9.3),0,IF(AND(E80&gt;=4,E80&lt;=6),1,IF(E80&lt;4, ROUND(E80*'Reference Curves'!$S$250+'Reference Curves'!$S$251,2), ROUND(E80*'Reference Curves'!$T$250+'Reference Curves'!$T$251,2)))),
IF(LEFT('Quantification Tool'!$B$10,1)="E", IF(OR(E80&lt;=1.8,E80&gt;=8.3),0,IF(AND(E80&gt;=3.5,E80&lt;=5),1,IF(E80&lt;3.5, ROUND(E80*'Reference Curves'!$S$283+'Reference Curves'!$S$284,2), ROUND(E80*'Reference Curves'!$T$283+'Reference Curves'!$T$284,2)))),
IF(OR('Quantification Tool'!$B$10="B",'Quantification Tool'!$B$10="Ba"), IF(E80&gt;=6,0, IF(E80&lt;=2, 1, IF(E80&gt;3.9, ROUND(E80*'Reference Curves'!$S$185+'Reference Curves'!$S$186,2), ROUND(E80*'Reference Curves'!$T$185+'Reference Curves'!$T$186,2)))),
IF('Quantification Tool'!$B$10="Bc",  IF(E80&gt;12,0, IF(E80&lt;=3.4, 1, ROUND(E80*'Reference Curves'!$S$217+'Reference Curves'!$S$218,2))))))))</f>
        <v/>
      </c>
      <c r="G80" s="518" t="str">
        <f>IFERROR(AVERAGE(F80:F82),"")</f>
        <v/>
      </c>
      <c r="H80" s="522"/>
      <c r="I80" s="524"/>
    </row>
    <row r="81" spans="1:9" ht="15.75" x14ac:dyDescent="0.25">
      <c r="A81" s="508"/>
      <c r="B81" s="508"/>
      <c r="C81" s="105" t="s">
        <v>230</v>
      </c>
      <c r="D81" s="63"/>
      <c r="E81" s="64"/>
      <c r="F81" s="68" t="str">
        <f>IF(E81="","",IF(OR('Quantification Tool'!$B$10="B",'Quantification Tool'!$B$10="Ba"),ROUND(IF(E81&lt;=1,0,IF(E81&gt;=2.8,1,IF(E81&lt;1.8,E81*'Reference Curves'!$S$318+'Reference Curves'!$S$319,E81*'Reference Curves'!$T$318+'Reference Curves'!$T$319))),2),
ROUND(IF(E81&lt;=1,0,IF(E81&gt;=3.2,1,IF(E81&lt;2.2,E81*'Reference Curves'!$U$318+'Reference Curves'!$U$319,E81*'Reference Curves'!$V$318+'Reference Curves'!$V$319))),2)))</f>
        <v/>
      </c>
      <c r="G81" s="519"/>
      <c r="H81" s="522"/>
      <c r="I81" s="524"/>
    </row>
    <row r="82" spans="1:9" ht="15.75" x14ac:dyDescent="0.25">
      <c r="A82" s="508"/>
      <c r="B82" s="508"/>
      <c r="C82" s="105" t="s">
        <v>142</v>
      </c>
      <c r="D82" s="63"/>
      <c r="E82" s="64"/>
      <c r="F82" s="302" t="str">
        <f>IF(E82="","",IF('Quantification Tool'!$B$16&gt;=3,IF(OR(E82&lt;=0,E82&gt;=100),0,IF(AND(E82&gt;=68,E82&lt;=85),1,IF(E82&lt;68,IF(E82&lt;62,ROUND(E82*'Reference Curves'!$S$352+'Reference Curves'!$S$353,2),ROUND(E82*'Reference Curves'!$T$352+'Reference Curves'!$T$353,2)),
IF(E82&gt;87,ROUND(E82*'Reference Curves'!$U$352+'Reference Curves'!$U$353,2),ROUND(E82*'Reference Curves'!$V$352+'Reference Curves'!$V$353,2))))),
IF('Quantification Tool'!$B$16&lt;&gt;0,IF(OR(E82&lt;=0,E82&gt;=100),0,IF(AND(E82&lt;=60,E82&gt;=50),1,IF(E82&lt;50,IF(E82&lt;39,ROUND(E82*'Reference Curves'!$S$386+'Reference Curves'!$S$387,2),ROUND(E82*'Reference Curves'!$T$386+'Reference Curves'!$T$387,2)),
IF(E82&gt;69,ROUND(E82*'Reference Curves'!$U$386+'Reference Curves'!$U$387,2),ROUND(E82*'Reference Curves'!$V$386+'Reference Curves'!$V$387,2))))))))</f>
        <v/>
      </c>
      <c r="G82" s="519"/>
      <c r="H82" s="522"/>
      <c r="I82" s="524"/>
    </row>
    <row r="83" spans="1:9" ht="15.75" x14ac:dyDescent="0.25">
      <c r="A83" s="508"/>
      <c r="B83" s="507" t="s">
        <v>41</v>
      </c>
      <c r="C83" s="8" t="s">
        <v>332</v>
      </c>
      <c r="D83" s="128"/>
      <c r="E83" s="129"/>
      <c r="F83" s="124" t="str">
        <f>IF(E83="","",IF('Quantification Tool'!$B$11="Unconfined Alluvial",IF(E83&gt;=100,1,IF(E83&lt;0,0,ROUND('Reference Curves'!$S$420*E83+'Reference Curves'!$S$421,2))),IF(OR('Quantification Tool'!$B$11="Confined Alluvial",'Quantification Tool'!$B$11="Colluvial/V-Shaped"),(IF(E83&gt;=100,1,IF(E83&lt;0,0,IF(E83&lt;60,ROUND('Reference Curves'!$T$420*E83+'Reference Curves'!$T$421,2), ROUND('Reference Curves'!$U$420*E83+'Reference Curves'!$U$421,2))))))))</f>
        <v/>
      </c>
      <c r="G83" s="518" t="str">
        <f>IFERROR(AVERAGE(F83:F85),"")</f>
        <v/>
      </c>
      <c r="H83" s="522"/>
      <c r="I83" s="524"/>
    </row>
    <row r="84" spans="1:9" ht="15.75" x14ac:dyDescent="0.25">
      <c r="A84" s="508"/>
      <c r="B84" s="508"/>
      <c r="C84" s="105" t="s">
        <v>251</v>
      </c>
      <c r="D84" s="123"/>
      <c r="E84" s="127"/>
      <c r="F84" s="68" t="str">
        <f>IF(E84="","",IF(OR('Quantification Tool'!$B$17="Alaska Range",'Quantification Tool'!$B$17="Brooks Range"),ROUND(IF(E84&gt;=1.57,1,IF(E84&lt;=0.06,'Reference Curves'!$S$455*E84+'Reference Curves'!$S$456, IF(E84&lt;0.83, 'Reference Curves'!$T$455*E84+'Reference Curves'!$T$456, 'Reference Curves'!$U$455*E84+'Reference Curves'!$U$456))),2),
IF('Quantification Tool'!$B$17="Interior Highlands",ROUND(IF(E84&gt;=1.67,1,IF(E84&lt;=0.94,'Reference Curves'!$V$455*E84+'Reference Curves'!$V$456, IF(E84&lt;1.21, 'Reference Curves'!$W$455*E84+'Reference Curves'!$W$456, 'Reference Curves'!$X$455*E84+'Reference Curves'!$X$456))),2),
IF(OR('Quantification Tool'!$B$17="Interior Bottomlands",'Quantification Tool'!$B$17="Yukon Flats"),ROUND(IF(E84&gt;=1.82,1,IF(E84&lt;=1.19,'Reference Curves'!$S$490*E84+'Reference Curves'!$S$491, IF(E84&lt;1.37, 'Reference Curves'!$T$490*E84+'Reference Curves'!$T$491, 'Reference Curves'!$U$490*E84+'Reference Curves'!$U$491))),2),
IF('Quantification Tool'!$B$17="Interior Forested Lowlands/Uplands",ROUND(IF(E84&gt;=1.87,1,IF(E84&lt;=1.24,'Reference Curves'!$V$490*E84+'Reference Curves'!$V$491, IF(E84&lt;1.45, 'Reference Curves'!$W$490*E84+'Reference Curves'!$W$491, 'Reference Curves'!$X$490*E84+'Reference Curves'!$X$491))),2))))))</f>
        <v/>
      </c>
      <c r="G84" s="519"/>
      <c r="H84" s="522"/>
      <c r="I84" s="524"/>
    </row>
    <row r="85" spans="1:9" ht="15.75" x14ac:dyDescent="0.25">
      <c r="A85" s="508"/>
      <c r="B85" s="508"/>
      <c r="C85" s="105" t="s">
        <v>325</v>
      </c>
      <c r="D85" s="123"/>
      <c r="E85" s="127"/>
      <c r="F85" s="68" t="str">
        <f>IF(E85="","",IF(E85&lt;83.5,0,IF(E85&gt;=100,1, ROUND(E85*'Reference Curves'!$S$521+'Reference Curves'!$S$522,2))))</f>
        <v/>
      </c>
      <c r="G85" s="519"/>
      <c r="H85" s="522"/>
      <c r="I85" s="524"/>
    </row>
    <row r="86" spans="1:9" ht="15.75" x14ac:dyDescent="0.25">
      <c r="A86" s="513" t="s">
        <v>47</v>
      </c>
      <c r="B86" s="268" t="s">
        <v>60</v>
      </c>
      <c r="C86" s="274" t="s">
        <v>341</v>
      </c>
      <c r="D86" s="275"/>
      <c r="E86" s="59"/>
      <c r="F86" s="171" t="str">
        <f>IF(E86="","",IF(E86&lt;=1.1,1,IF(E86&gt;1.315,0,ROUND(E86*'Reference Curves'!$AA$13+'Reference Curves'!$AA$14,2))))</f>
        <v/>
      </c>
      <c r="G86" s="269" t="str">
        <f>IFERROR(AVERAGE(F86:F86),"")</f>
        <v/>
      </c>
      <c r="H86" s="530" t="str">
        <f>IFERROR(ROUND(AVERAGE(G86:G88),2),"")</f>
        <v/>
      </c>
      <c r="I86" s="487" t="str">
        <f>IF(H86="","",IF(H86&gt;0.69,"Functioning",IF(H86&gt;0.29,"Functioning At Risk",IF(H86&gt;-1,"Not Functioning"))))</f>
        <v/>
      </c>
    </row>
    <row r="87" spans="1:9" ht="15.75" x14ac:dyDescent="0.25">
      <c r="A87" s="514"/>
      <c r="B87" s="172" t="s">
        <v>259</v>
      </c>
      <c r="C87" s="274" t="s">
        <v>342</v>
      </c>
      <c r="D87" s="275"/>
      <c r="E87" s="34"/>
      <c r="F87" s="171" t="str">
        <f>IF(E87="","",IF(E87&lt;=3.2,1,IF(E87&gt;=100,0,ROUND(IF(E87&gt;10,E87*'Reference Curves'!$AA$46+'Reference Curves'!$AA$47,E87*'Reference Curves'!$AB$46+'Reference Curves'!$AB$47),2))))</f>
        <v/>
      </c>
      <c r="G87" s="171" t="str">
        <f>IFERROR(AVERAGE(F87),"")</f>
        <v/>
      </c>
      <c r="H87" s="531"/>
      <c r="I87" s="487"/>
    </row>
    <row r="88" spans="1:9" ht="15.75" x14ac:dyDescent="0.25">
      <c r="A88" s="515"/>
      <c r="B88" s="172" t="s">
        <v>260</v>
      </c>
      <c r="C88" s="169" t="s">
        <v>359</v>
      </c>
      <c r="D88" s="170"/>
      <c r="E88" s="34"/>
      <c r="F88" s="171" t="str">
        <f>IF(E88="","",IF(E88&gt;=75,1,IF(E88&lt;19,0,ROUND(E88*'Reference Curves'!$AA$79+'Reference Curves'!$AA$80,2))))</f>
        <v/>
      </c>
      <c r="G88" s="171" t="str">
        <f>IFERROR(AVERAGE(F88),"")</f>
        <v/>
      </c>
      <c r="H88" s="532"/>
      <c r="I88" s="487"/>
    </row>
    <row r="89" spans="1:9" ht="15.75" x14ac:dyDescent="0.25">
      <c r="A89" s="499" t="s">
        <v>48</v>
      </c>
      <c r="B89" s="145" t="s">
        <v>109</v>
      </c>
      <c r="C89" s="144" t="s">
        <v>370</v>
      </c>
      <c r="D89" s="70"/>
      <c r="E89" s="59"/>
      <c r="F89" s="239" t="str">
        <f>IF(E89="","", ROUND(IF(E89&gt;=81,0,IF(E89&lt;=36,1,IF(E89&gt;62,E89*'Reference Curves'!$AJ$14+'Reference Curves'!$AJ$15,IF(E89&gt;43,E89*'Reference Curves'!$AK$14+'Reference Curves'!$AK$15,E89*'Reference Curves'!$AL$14+'Reference Curves'!$AL$15)))),2))</f>
        <v/>
      </c>
      <c r="G89" s="146" t="str">
        <f>IFERROR(AVERAGE(F89),"")</f>
        <v/>
      </c>
      <c r="H89" s="505" t="str">
        <f>IFERROR(ROUND(AVERAGE(G89:G92),2),"")</f>
        <v/>
      </c>
      <c r="I89" s="487" t="str">
        <f>IF(H89="","",IF(H89&gt;0.69,"Functioning",IF(H89&gt;0.29,"Functioning At Risk",IF(H89&gt;-1,"Not Functioning"))))</f>
        <v/>
      </c>
    </row>
    <row r="90" spans="1:9" ht="15.75" x14ac:dyDescent="0.25">
      <c r="A90" s="500"/>
      <c r="B90" s="502" t="s">
        <v>56</v>
      </c>
      <c r="C90" s="144" t="s">
        <v>333</v>
      </c>
      <c r="D90" s="70"/>
      <c r="E90" s="66"/>
      <c r="F90" s="229" t="str">
        <f>IF(E90="","", IF('Quantification Tool'!$B$18="Anadromous",ROUND(IF(E90&lt;=0,0,IF(E90&gt;=100,1,IF(E90&lt;80,E90*'Reference Curves'!$AJ$48+'Reference Curves'!$AJ$49,E90*'Reference Curves'!$AK$48+'Reference Curves'!$AK$49))),2),
IF('Quantification Tool'!$B$18="Non-anadromous",ROUND(IF(E90&lt;=0,0,IF(E90&gt;=100,1,IF(E90&lt;60,E90*'Reference Curves'!$AL$48+'Reference Curves'!$AL$49,E90*'Reference Curves'!$AM$48+'Reference Curves'!$AM$49))),2))))</f>
        <v/>
      </c>
      <c r="G90" s="488" t="str">
        <f>IFERROR(AVERAGE(F90:F92),"")</f>
        <v/>
      </c>
      <c r="H90" s="506"/>
      <c r="I90" s="487"/>
    </row>
    <row r="91" spans="1:9" ht="15.75" x14ac:dyDescent="0.25">
      <c r="A91" s="500"/>
      <c r="B91" s="503"/>
      <c r="C91" s="362" t="s">
        <v>343</v>
      </c>
      <c r="D91" s="363"/>
      <c r="E91" s="64"/>
      <c r="F91" s="239" t="str">
        <f>IF(E91="","",IF(E91&lt;0,0,IF(E91&gt;=0.9,1,ROUND(E91*'Reference Curves'!$AJ$81+'Reference Curves'!$AJ$82,2))))</f>
        <v/>
      </c>
      <c r="G91" s="488"/>
      <c r="H91" s="506"/>
      <c r="I91" s="487"/>
    </row>
    <row r="92" spans="1:9" ht="15.75" x14ac:dyDescent="0.25">
      <c r="A92" s="501"/>
      <c r="B92" s="504"/>
      <c r="C92" s="228" t="s">
        <v>233</v>
      </c>
      <c r="D92" s="230"/>
      <c r="E92" s="277"/>
      <c r="F92" s="71" t="str">
        <f>IF(E92="","",IF(E92&lt;0,0,IF(E92&gt;=0.9,1,ROUND(E92*'Reference Curves'!$AJ$81+'Reference Curves'!$AJ$82,2))))</f>
        <v/>
      </c>
      <c r="G92" s="489"/>
      <c r="H92" s="506"/>
      <c r="I92" s="487"/>
    </row>
    <row r="95" spans="1:9" ht="20.25" customHeight="1" x14ac:dyDescent="0.35">
      <c r="A95" s="19" t="s">
        <v>101</v>
      </c>
      <c r="B95" s="121"/>
      <c r="C95" s="122" t="s">
        <v>152</v>
      </c>
      <c r="D95" s="584"/>
      <c r="E95" s="584"/>
      <c r="F95" s="585"/>
      <c r="G95" s="512" t="s">
        <v>12</v>
      </c>
      <c r="H95" s="582"/>
      <c r="I95" s="583"/>
    </row>
    <row r="96" spans="1:9" ht="15.75" x14ac:dyDescent="0.25">
      <c r="A96" s="25" t="s">
        <v>1</v>
      </c>
      <c r="B96" s="25" t="s">
        <v>2</v>
      </c>
      <c r="C96" s="112" t="s">
        <v>3</v>
      </c>
      <c r="D96" s="113"/>
      <c r="E96" s="25" t="s">
        <v>10</v>
      </c>
      <c r="F96" s="25" t="s">
        <v>11</v>
      </c>
      <c r="G96" s="25" t="s">
        <v>13</v>
      </c>
      <c r="H96" s="25" t="s">
        <v>14</v>
      </c>
      <c r="I96" s="25" t="s">
        <v>14</v>
      </c>
    </row>
    <row r="97" spans="1:9" ht="15.75" x14ac:dyDescent="0.25">
      <c r="A97" s="480" t="s">
        <v>161</v>
      </c>
      <c r="B97" s="448" t="s">
        <v>258</v>
      </c>
      <c r="C97" s="137" t="s">
        <v>138</v>
      </c>
      <c r="D97" s="138"/>
      <c r="E97" s="66"/>
      <c r="F97" s="264" t="str">
        <f>IF(E97="","",ROUND(IF(E97&gt;=86,0,IF(E97&lt;=9,1,IF(E97&gt;22,E97*'Reference Curves'!$C$14+'Reference Curves'!$C$15,IF(E97&gt;16,E97*'Reference Curves'!$D$14+'Reference Curves'!$D$15,E97*'Reference Curves'!$E$14+'Reference Curves'!$E$15)))),2))</f>
        <v/>
      </c>
      <c r="G97" s="457" t="str">
        <f>IFERROR(AVERAGE(F97:F99),"")</f>
        <v/>
      </c>
      <c r="H97" s="457" t="str">
        <f>IFERROR(ROUND(AVERAGE(G97:G103),2),"")</f>
        <v/>
      </c>
      <c r="I97" s="496" t="str">
        <f>IF(H97="","",IF(H97:H103&gt;0.69,"Functioning",IF(H97&gt;0.29,"Functioning At Risk",IF(H97&gt;-1,"Not Functioning"))))</f>
        <v/>
      </c>
    </row>
    <row r="98" spans="1:9" ht="15.75" x14ac:dyDescent="0.25">
      <c r="A98" s="481"/>
      <c r="B98" s="449"/>
      <c r="C98" s="156" t="s">
        <v>257</v>
      </c>
      <c r="D98" s="254"/>
      <c r="E98" s="64"/>
      <c r="F98" s="265" t="str">
        <f>IF(E98="","",ROUND(IF(E98&gt;33.5,0,IF(E98&lt;=0,1,E98*'Reference Curves'!$C$44+'Reference Curves'!$C$45)),2))</f>
        <v/>
      </c>
      <c r="G98" s="458"/>
      <c r="H98" s="458"/>
      <c r="I98" s="497"/>
    </row>
    <row r="99" spans="1:9" ht="15.75" x14ac:dyDescent="0.25">
      <c r="A99" s="481"/>
      <c r="B99" s="450"/>
      <c r="C99" s="178" t="s">
        <v>324</v>
      </c>
      <c r="D99" s="255"/>
      <c r="E99" s="69"/>
      <c r="F99" s="265" t="str">
        <f>IF(E99="","",ROUND(IF(E99&gt;=61,0,IF(E99&lt;=0,1,IF(E99&gt;35,E99*'Reference Curves'!$C$75+'Reference Curves'!$C$76,E99*'Reference Curves'!$D$75+'Reference Curves'!$D$76))),2))</f>
        <v/>
      </c>
      <c r="G99" s="459"/>
      <c r="H99" s="458"/>
      <c r="I99" s="497"/>
    </row>
    <row r="100" spans="1:9" ht="15.75" x14ac:dyDescent="0.25">
      <c r="A100" s="481"/>
      <c r="B100" s="451" t="s">
        <v>95</v>
      </c>
      <c r="C100" s="137" t="s">
        <v>138</v>
      </c>
      <c r="D100" s="280"/>
      <c r="E100" s="57"/>
      <c r="F100" s="139" t="str">
        <f>IF(E100="","",ROUND(IF(E100&gt;=86,0,IF(E100&lt;=9,1,IF(E100&gt;22,E100*'Reference Curves'!$C$14+'Reference Curves'!$C$15,IF(E100&gt;16,E100*'Reference Curves'!$D$14+'Reference Curves'!$D$15,E100*'Reference Curves'!$E$14+'Reference Curves'!$E$15)))),2))</f>
        <v/>
      </c>
      <c r="G100" s="457" t="str">
        <f>IFERROR(AVERAGE(F100:F103),"")</f>
        <v/>
      </c>
      <c r="H100" s="458"/>
      <c r="I100" s="497"/>
    </row>
    <row r="101" spans="1:9" ht="15.75" x14ac:dyDescent="0.25">
      <c r="A101" s="481"/>
      <c r="B101" s="452"/>
      <c r="C101" s="156" t="s">
        <v>257</v>
      </c>
      <c r="D101" s="281"/>
      <c r="E101" s="57"/>
      <c r="F101" s="265" t="str">
        <f>IF(E101="","",ROUND(IF(E101&gt;33.5,0,IF(E101&lt;=0,1,E101*'Reference Curves'!$C$44+'Reference Curves'!$C$45)),2))</f>
        <v/>
      </c>
      <c r="G101" s="458"/>
      <c r="H101" s="458"/>
      <c r="I101" s="497"/>
    </row>
    <row r="102" spans="1:9" ht="15.75" x14ac:dyDescent="0.25">
      <c r="A102" s="481"/>
      <c r="B102" s="452"/>
      <c r="C102" s="156" t="s">
        <v>324</v>
      </c>
      <c r="D102" s="281"/>
      <c r="E102" s="57"/>
      <c r="F102" s="265" t="str">
        <f>IF(E102="","",ROUND(IF(E102&gt;=61,0,IF(E102&lt;=0,1,IF(E102&gt;35,E102*'Reference Curves'!$C$75+'Reference Curves'!$C$76,E102*'Reference Curves'!$D$75+'Reference Curves'!$D$76))),2))</f>
        <v/>
      </c>
      <c r="G102" s="458"/>
      <c r="H102" s="458"/>
      <c r="I102" s="497"/>
    </row>
    <row r="103" spans="1:9" ht="15.6" customHeight="1" x14ac:dyDescent="0.25">
      <c r="A103" s="482"/>
      <c r="B103" s="453"/>
      <c r="C103" s="178" t="s">
        <v>227</v>
      </c>
      <c r="D103" s="179"/>
      <c r="E103" s="57"/>
      <c r="F103" s="157" t="str">
        <f>IF(E103="","",   IF(E103&gt;3.35,0, IF(E103&lt;0, "", ROUND('Reference Curves'!$C$105*E103+'Reference Curves'!$C$106,2))))</f>
        <v/>
      </c>
      <c r="G103" s="459"/>
      <c r="H103" s="458"/>
      <c r="I103" s="498"/>
    </row>
    <row r="104" spans="1:9" ht="15.75" x14ac:dyDescent="0.25">
      <c r="A104" s="509" t="s">
        <v>160</v>
      </c>
      <c r="B104" s="533" t="s">
        <v>5</v>
      </c>
      <c r="C104" s="227" t="s">
        <v>226</v>
      </c>
      <c r="D104" s="204"/>
      <c r="E104" s="59"/>
      <c r="F104" s="205" t="str">
        <f>IF(E104="","",ROUND(IF(OR(E104&gt;1.71, E104&lt;0.34),0,IF(E104&lt;=1,1,E104*'Reference Curves'!K$13+'Reference Curves'!K$14)),2))</f>
        <v/>
      </c>
      <c r="G104" s="526" t="str">
        <f>IFERROR(AVERAGE(F104:F105),"")</f>
        <v/>
      </c>
      <c r="H104" s="493" t="str">
        <f>IFERROR(ROUND(AVERAGE(G104:G106),2),"")</f>
        <v/>
      </c>
      <c r="I104" s="496" t="str">
        <f>IF(H104="","",IF(H104&gt;0.69,"Functioning",IF(H104&gt;0.29,"Functioning At Risk",IF(H104&gt;-1,"Not Functioning"))))</f>
        <v/>
      </c>
    </row>
    <row r="105" spans="1:9" ht="15.6" customHeight="1" x14ac:dyDescent="0.25">
      <c r="A105" s="510"/>
      <c r="B105" s="534"/>
      <c r="C105" s="226" t="s">
        <v>225</v>
      </c>
      <c r="D105" s="61"/>
      <c r="E105" s="198"/>
      <c r="F105" s="231" t="str">
        <f>IF(E105="","",IF(LEFT('Quantification Tool'!$B$10,1)="B",IF(E105&lt;=1,0,IF(E105&gt;=2.2,1,ROUND(IF(E105&lt;1.4,E105*'Reference Curves'!$K$117+'Reference Curves'!$K$118,E105*'Reference Curves'!$L$117+'Reference Curves'!$L$118),2))),
IF(LEFT('Quantification Tool'!$B$10,1)="C",IF(E105&lt;1.7,0,IF(E105&gt;=4.4,1,ROUND(IF(E105&lt;2.4,E105*'Reference Curves'!$K$47+'Reference Curves'!$K$48,E105*'Reference Curves'!$L$47+'Reference Curves'!$L$48),2))),
IF(LEFT('Quantification Tool'!$B$10,1)="E",IF(E105&lt;1.7,0,IF(E105&gt;=6.5,1,ROUND(IF(E105&lt;2.4,E105*'Reference Curves'!$K$82+'Reference Curves'!$K$83,E105*'Reference Curves'!$L$82+'Reference Curves'!$L$83),2)))) )     ))</f>
        <v/>
      </c>
      <c r="G105" s="527"/>
      <c r="H105" s="494"/>
      <c r="I105" s="497"/>
    </row>
    <row r="106" spans="1:9" ht="15.6" customHeight="1" x14ac:dyDescent="0.25">
      <c r="A106" s="511"/>
      <c r="B106" s="211" t="s">
        <v>210</v>
      </c>
      <c r="C106" s="225" t="s">
        <v>270</v>
      </c>
      <c r="D106" s="203"/>
      <c r="E106" s="140"/>
      <c r="F106" s="232" t="str">
        <f>IF(E106="","", IF(E106&gt;=180,0, IF(E106=100,1, ROUND(IF(E106&gt;100, E106*'Reference Curves'!$L$151+'Reference Curves'!$L$152, IF(E104&gt;1.2,IF(E106&lt;=20,0,E106*'Reference Curves'!$K$151+'Reference Curves'!$K$152),1) ),2))))</f>
        <v/>
      </c>
      <c r="G106" s="253" t="str">
        <f>IFERROR(AVERAGE(F106:F106),"")</f>
        <v/>
      </c>
      <c r="H106" s="495"/>
      <c r="I106" s="498"/>
    </row>
    <row r="107" spans="1:9" ht="15.75" x14ac:dyDescent="0.25">
      <c r="A107" s="507" t="s">
        <v>17</v>
      </c>
      <c r="B107" s="200" t="s">
        <v>231</v>
      </c>
      <c r="C107" s="212" t="s">
        <v>228</v>
      </c>
      <c r="D107" s="213"/>
      <c r="E107" s="34"/>
      <c r="F107" s="237" t="str">
        <f>IF(E107="","",IF('Quantification Tool'!$B$17="Alaska Range",ROUND(IF(E107&lt;=0.05,0, IF(E107&gt;=6.3,1,IF(E107&lt;=1.5,'Reference Curves'!$S$16*E107+'Reference Curves'!$S$17, 'Reference Curves'!$T$16*E107+'Reference Curves'!$T$17))),2),
IF('Quantification Tool'!$B$17="Brooks Range",ROUND(IF(E107&gt;=4.2,1,IF(E107&lt;0.03,0, IF(E107&lt;=1.2,'Reference Curves'!$U$16*E107+'Reference Curves'!$U$17, 'Reference Curves'!$V$16*E107+'Reference Curves'!$V$17))),2),
IF(OR('Quantification Tool'!$B$17="Interior Bottomlands",'Quantification Tool'!$B$17="Yukon Flats"),ROUND(IF(E107&gt;=54.5,1,IF(E107&lt;=3.7,'Reference Curves'!$S$51*E107+'Reference Curves'!$S$52, IF(E107&lt;4.7, 'Reference Curves'!$T$51*E107+'Reference Curves'!$T$52, 'Reference Curves'!$U$51*E107+'Reference Curves'!$U$52))),2),
IF(OR('Quantification Tool'!$B$17="Interior Forested Lowlands/Uplands",'Quantification Tool'!$B$17="Interior Highlands"),ROUND(IF(E107=0,0,IF(E107&gt;=24.1,1,IF(E107&lt;=1.3,'Reference Curves'!$V$51*E107+'Reference Curves'!$V$52, 'Reference Curves'!$W$51*E107+'Reference Curves'!$W$52))),2))))))</f>
        <v/>
      </c>
      <c r="G107" s="214" t="str">
        <f>IFERROR(AVERAGE(F107:F107),"")</f>
        <v/>
      </c>
      <c r="H107" s="521" t="str">
        <f>IFERROR(ROUND(AVERAGE(G107:G117),2),"")</f>
        <v/>
      </c>
      <c r="I107" s="523" t="str">
        <f>IF(H107="","",IF(H107&gt;0.69,"Functioning",IF(H107&gt;0.29,"Functioning At Risk",IF(H107&gt;-1,"Not Functioning"))))</f>
        <v/>
      </c>
    </row>
    <row r="108" spans="1:9" ht="15.75" x14ac:dyDescent="0.25">
      <c r="A108" s="508"/>
      <c r="B108" s="508" t="s">
        <v>157</v>
      </c>
      <c r="C108" s="130" t="s">
        <v>40</v>
      </c>
      <c r="D108" s="63"/>
      <c r="E108" s="238"/>
      <c r="F108" s="115" t="str">
        <f>IF(E108="","",IF(OR(E108="Ex/Ex",E108="Ex/VH",E108="Ex/H",E108="Ex/M",E108="VH/Ex",E108="VH/VH", E108="H/Ex",E108="H/VH"),0, IF(OR(E108="M/Ex"),0.1,IF(OR(E108="VH/H",E108="VH/M",E108="H/H",E108="H/M", E108="M/VH"),0.2, IF(OR(E108="Ex/VL",E108="Ex/L", E108="M/H"),0.3, IF(OR(E108="VH/L",E108="H/L"),0.4, IF(OR(E108="VH/VL",E108="H/VL",E108="M/M"),0.5, IF(OR(E108="M/L",E108="L/Ex"),0.6, IF(OR(E108="M/VL",E108="L/VH", E108="L/H",E108="L/M",E108="L/L",E108="L/VL",LEFT(E108)="V"),1)))))))))</f>
        <v/>
      </c>
      <c r="G108" s="522" t="str">
        <f>IFERROR(IF(E110&gt;50,0,AVERAGE(F108:F110)),"")</f>
        <v/>
      </c>
      <c r="H108" s="522"/>
      <c r="I108" s="524"/>
    </row>
    <row r="109" spans="1:9" ht="15.75" x14ac:dyDescent="0.25">
      <c r="A109" s="508"/>
      <c r="B109" s="508"/>
      <c r="C109" s="131" t="s">
        <v>65</v>
      </c>
      <c r="D109" s="125"/>
      <c r="E109" s="141"/>
      <c r="F109" s="115" t="str">
        <f>IF(E109="","",ROUND(IF(E109&gt;=75,0,IF(E109&lt;=5,1,IF(E109&gt;10,E109*'Reference Curves'!S$85+'Reference Curves'!S$86,'Reference Curves'!$T$85*E109+'Reference Curves'!$T$86))),2))</f>
        <v/>
      </c>
      <c r="G109" s="522"/>
      <c r="H109" s="522"/>
      <c r="I109" s="524"/>
    </row>
    <row r="110" spans="1:9" ht="15.75" x14ac:dyDescent="0.25">
      <c r="A110" s="508"/>
      <c r="B110" s="520"/>
      <c r="C110" s="132" t="s">
        <v>203</v>
      </c>
      <c r="D110" s="126"/>
      <c r="E110" s="60"/>
      <c r="F110" s="116" t="str">
        <f>IF(E110="","",IF(E110&gt;=30,0,ROUND(E110*'Reference Curves'!$S$116+'Reference Curves'!$S$117,2)))</f>
        <v/>
      </c>
      <c r="G110" s="525"/>
      <c r="H110" s="522"/>
      <c r="I110" s="524"/>
    </row>
    <row r="111" spans="1:9" ht="15.75" x14ac:dyDescent="0.25">
      <c r="A111" s="508"/>
      <c r="B111" s="270" t="s">
        <v>82</v>
      </c>
      <c r="C111" s="9" t="s">
        <v>256</v>
      </c>
      <c r="D111" s="63"/>
      <c r="E111" s="60"/>
      <c r="F111" s="65" t="str">
        <f>IF(E111="","",IF(OR('Quantification Tool'!B$15="Cobble",'Quantification Tool'!B$15="Boulders",'Quantification Tool'!B$15="Bedrock"),ROUND(IF(E111&lt;=0,1,IF(E111&gt;=13.7,0, IF(E111&gt;5,E111*'Reference Curves'!$U$150+'Reference Curves'!$U$151,  E111*'Reference Curves'!$V$150+'Reference Curves'!$V$151))),2),
IF('Quantification Tool'!B$15="Gravel",ROUND(IF(E111&lt;=3,1,IF(E111&gt;=54,0, IF(E111&gt;15,E111*'Reference Curves'!$S$150+'Reference Curves'!$S$151,  E111*'Reference Curves'!$T$150+'Reference Curves'!$T$151))),2))))</f>
        <v/>
      </c>
      <c r="G111" s="65" t="str">
        <f>IFERROR(AVERAGE(F111),"")</f>
        <v/>
      </c>
      <c r="H111" s="522"/>
      <c r="I111" s="524"/>
    </row>
    <row r="112" spans="1:9" ht="15.75" x14ac:dyDescent="0.25">
      <c r="A112" s="508"/>
      <c r="B112" s="507" t="s">
        <v>42</v>
      </c>
      <c r="C112" s="8" t="s">
        <v>229</v>
      </c>
      <c r="D112" s="62"/>
      <c r="E112" s="66"/>
      <c r="F112" s="67" t="str">
        <f>IF(E112="","", IF(LEFT('Quantification Tool'!$B$10,1)="C", IF(OR(E112&lt;=3,E112&gt;=9.3),0,IF(AND(E112&gt;=4,E112&lt;=6),1,IF(E112&lt;4, ROUND(E112*'Reference Curves'!$S$250+'Reference Curves'!$S$251,2), ROUND(E112*'Reference Curves'!$T$250+'Reference Curves'!$T$251,2)))),
IF(LEFT('Quantification Tool'!$B$10,1)="E", IF(OR(E112&lt;=1.8,E112&gt;=8.3),0,IF(AND(E112&gt;=3.5,E112&lt;=5),1,IF(E112&lt;3.5, ROUND(E112*'Reference Curves'!$S$283+'Reference Curves'!$S$284,2), ROUND(E112*'Reference Curves'!$T$283+'Reference Curves'!$T$284,2)))),
IF(OR('Quantification Tool'!$B$10="B",'Quantification Tool'!$B$10="Ba"), IF(E112&gt;=6,0, IF(E112&lt;=2, 1, IF(E112&gt;3.9, ROUND(E112*'Reference Curves'!$S$185+'Reference Curves'!$S$186,2), ROUND(E112*'Reference Curves'!$T$185+'Reference Curves'!$T$186,2)))),
IF('Quantification Tool'!$B$10="Bc",  IF(E112&gt;12,0, IF(E112&lt;=3.4, 1, ROUND(E112*'Reference Curves'!$S$217+'Reference Curves'!$S$218,2))))))))</f>
        <v/>
      </c>
      <c r="G112" s="518" t="str">
        <f>IFERROR(AVERAGE(F112:F114),"")</f>
        <v/>
      </c>
      <c r="H112" s="522"/>
      <c r="I112" s="524"/>
    </row>
    <row r="113" spans="1:9" ht="15.75" x14ac:dyDescent="0.25">
      <c r="A113" s="508"/>
      <c r="B113" s="508"/>
      <c r="C113" s="105" t="s">
        <v>230</v>
      </c>
      <c r="D113" s="63"/>
      <c r="E113" s="64"/>
      <c r="F113" s="68" t="str">
        <f>IF(E113="","",IF(OR('Quantification Tool'!$B$10="B",'Quantification Tool'!$B$10="Ba"),ROUND(IF(E113&lt;=1,0,IF(E113&gt;=2.8,1,IF(E113&lt;1.8,E113*'Reference Curves'!$S$318+'Reference Curves'!$S$319,E113*'Reference Curves'!$T$318+'Reference Curves'!$T$319))),2),
ROUND(IF(E113&lt;=1,0,IF(E113&gt;=3.2,1,IF(E113&lt;2.2,E113*'Reference Curves'!$U$318+'Reference Curves'!$U$319,E113*'Reference Curves'!$V$318+'Reference Curves'!$V$319))),2)))</f>
        <v/>
      </c>
      <c r="G113" s="519"/>
      <c r="H113" s="522"/>
      <c r="I113" s="524"/>
    </row>
    <row r="114" spans="1:9" ht="15.75" x14ac:dyDescent="0.25">
      <c r="A114" s="508"/>
      <c r="B114" s="508"/>
      <c r="C114" s="105" t="s">
        <v>142</v>
      </c>
      <c r="D114" s="63"/>
      <c r="E114" s="64"/>
      <c r="F114" s="302" t="str">
        <f>IF(E114="","",IF('Quantification Tool'!$B$16&gt;=3,IF(OR(E114&lt;=0,E114&gt;=100),0,IF(AND(E114&gt;=68,E114&lt;=85),1,IF(E114&lt;68,IF(E114&lt;62,ROUND(E114*'Reference Curves'!$S$352+'Reference Curves'!$S$353,2),ROUND(E114*'Reference Curves'!$T$352+'Reference Curves'!$T$353,2)),
IF(E114&gt;87,ROUND(E114*'Reference Curves'!$U$352+'Reference Curves'!$U$353,2),ROUND(E114*'Reference Curves'!$V$352+'Reference Curves'!$V$353,2))))),
IF('Quantification Tool'!$B$16&lt;&gt;0,IF(OR(E114&lt;=0,E114&gt;=100),0,IF(AND(E114&lt;=60,E114&gt;=50),1,IF(E114&lt;50,IF(E114&lt;39,ROUND(E114*'Reference Curves'!$S$386+'Reference Curves'!$S$387,2),ROUND(E114*'Reference Curves'!$T$386+'Reference Curves'!$T$387,2)),
IF(E114&gt;69,ROUND(E114*'Reference Curves'!$U$386+'Reference Curves'!$U$387,2),ROUND(E114*'Reference Curves'!$V$386+'Reference Curves'!$V$387,2))))))))</f>
        <v/>
      </c>
      <c r="G114" s="519"/>
      <c r="H114" s="522"/>
      <c r="I114" s="524"/>
    </row>
    <row r="115" spans="1:9" ht="15.75" x14ac:dyDescent="0.25">
      <c r="A115" s="508"/>
      <c r="B115" s="507" t="s">
        <v>41</v>
      </c>
      <c r="C115" s="8" t="s">
        <v>332</v>
      </c>
      <c r="D115" s="128"/>
      <c r="E115" s="129"/>
      <c r="F115" s="124" t="str">
        <f>IF(E115="","",IF('Quantification Tool'!$B$11="Unconfined Alluvial",IF(E115&gt;=100,1,IF(E115&lt;0,0,ROUND('Reference Curves'!$S$420*E115+'Reference Curves'!$S$421,2))),IF(OR('Quantification Tool'!$B$11="Confined Alluvial",'Quantification Tool'!$B$11="Colluvial/V-Shaped"),(IF(E115&gt;=100,1,IF(E115&lt;0,0,IF(E115&lt;60,ROUND('Reference Curves'!$T$420*E115+'Reference Curves'!$T$421,2), ROUND('Reference Curves'!$U$420*E115+'Reference Curves'!$U$421,2))))))))</f>
        <v/>
      </c>
      <c r="G115" s="518" t="str">
        <f>IFERROR(AVERAGE(F115:F117),"")</f>
        <v/>
      </c>
      <c r="H115" s="522"/>
      <c r="I115" s="524"/>
    </row>
    <row r="116" spans="1:9" ht="15.75" x14ac:dyDescent="0.25">
      <c r="A116" s="508"/>
      <c r="B116" s="508"/>
      <c r="C116" s="105" t="s">
        <v>251</v>
      </c>
      <c r="D116" s="123"/>
      <c r="E116" s="127"/>
      <c r="F116" s="68" t="str">
        <f>IF(E116="","",IF(OR('Quantification Tool'!$B$17="Alaska Range",'Quantification Tool'!$B$17="Brooks Range"),ROUND(IF(E116&gt;=1.57,1,IF(E116&lt;=0.06,'Reference Curves'!$S$455*E116+'Reference Curves'!$S$456, IF(E116&lt;0.83, 'Reference Curves'!$T$455*E116+'Reference Curves'!$T$456, 'Reference Curves'!$U$455*E116+'Reference Curves'!$U$456))),2),
IF('Quantification Tool'!$B$17="Interior Highlands",ROUND(IF(E116&gt;=1.67,1,IF(E116&lt;=0.94,'Reference Curves'!$V$455*E116+'Reference Curves'!$V$456, IF(E116&lt;1.21, 'Reference Curves'!$W$455*E116+'Reference Curves'!$W$456, 'Reference Curves'!$X$455*E116+'Reference Curves'!$X$456))),2),
IF(OR('Quantification Tool'!$B$17="Interior Bottomlands",'Quantification Tool'!$B$17="Yukon Flats"),ROUND(IF(E116&gt;=1.82,1,IF(E116&lt;=1.19,'Reference Curves'!$S$490*E116+'Reference Curves'!$S$491, IF(E116&lt;1.37, 'Reference Curves'!$T$490*E116+'Reference Curves'!$T$491, 'Reference Curves'!$U$490*E116+'Reference Curves'!$U$491))),2),
IF('Quantification Tool'!$B$17="Interior Forested Lowlands/Uplands",ROUND(IF(E116&gt;=1.87,1,IF(E116&lt;=1.24,'Reference Curves'!$V$490*E116+'Reference Curves'!$V$491, IF(E116&lt;1.45, 'Reference Curves'!$W$490*E116+'Reference Curves'!$W$491, 'Reference Curves'!$X$490*E116+'Reference Curves'!$X$491))),2))))))</f>
        <v/>
      </c>
      <c r="G116" s="519"/>
      <c r="H116" s="522"/>
      <c r="I116" s="524"/>
    </row>
    <row r="117" spans="1:9" ht="15.75" x14ac:dyDescent="0.25">
      <c r="A117" s="508"/>
      <c r="B117" s="508"/>
      <c r="C117" s="105" t="s">
        <v>325</v>
      </c>
      <c r="D117" s="123"/>
      <c r="E117" s="127"/>
      <c r="F117" s="68" t="str">
        <f>IF(E117="","",IF(E117&lt;83.5,0,IF(E117&gt;=100,1, ROUND(E117*'Reference Curves'!$S$521+'Reference Curves'!$S$522,2))))</f>
        <v/>
      </c>
      <c r="G117" s="519"/>
      <c r="H117" s="522"/>
      <c r="I117" s="524"/>
    </row>
    <row r="118" spans="1:9" ht="15.75" x14ac:dyDescent="0.25">
      <c r="A118" s="513" t="s">
        <v>47</v>
      </c>
      <c r="B118" s="268" t="s">
        <v>60</v>
      </c>
      <c r="C118" s="274" t="s">
        <v>341</v>
      </c>
      <c r="D118" s="275"/>
      <c r="E118" s="59"/>
      <c r="F118" s="171" t="str">
        <f>IF(E118="","",IF(E118&lt;=1.1,1,IF(E118&gt;1.315,0,ROUND(E118*'Reference Curves'!$AA$13+'Reference Curves'!$AA$14,2))))</f>
        <v/>
      </c>
      <c r="G118" s="269" t="str">
        <f>IFERROR(AVERAGE(F118:F118),"")</f>
        <v/>
      </c>
      <c r="H118" s="530" t="str">
        <f>IFERROR(ROUND(AVERAGE(G118:G120),2),"")</f>
        <v/>
      </c>
      <c r="I118" s="487" t="str">
        <f>IF(H118="","",IF(H118&gt;0.69,"Functioning",IF(H118&gt;0.29,"Functioning At Risk",IF(H118&gt;-1,"Not Functioning"))))</f>
        <v/>
      </c>
    </row>
    <row r="119" spans="1:9" ht="15.75" x14ac:dyDescent="0.25">
      <c r="A119" s="514"/>
      <c r="B119" s="172" t="s">
        <v>259</v>
      </c>
      <c r="C119" s="274" t="s">
        <v>342</v>
      </c>
      <c r="D119" s="275"/>
      <c r="E119" s="34"/>
      <c r="F119" s="171" t="str">
        <f>IF(E119="","",IF(E119&lt;=3.2,1,IF(E119&gt;=100,0,ROUND(IF(E119&gt;10,E119*'Reference Curves'!$AA$46+'Reference Curves'!$AA$47,E119*'Reference Curves'!$AB$46+'Reference Curves'!$AB$47),2))))</f>
        <v/>
      </c>
      <c r="G119" s="171" t="str">
        <f>IFERROR(AVERAGE(F119),"")</f>
        <v/>
      </c>
      <c r="H119" s="531"/>
      <c r="I119" s="487"/>
    </row>
    <row r="120" spans="1:9" ht="15.75" x14ac:dyDescent="0.25">
      <c r="A120" s="515"/>
      <c r="B120" s="172" t="s">
        <v>260</v>
      </c>
      <c r="C120" s="169" t="s">
        <v>359</v>
      </c>
      <c r="D120" s="170"/>
      <c r="E120" s="34"/>
      <c r="F120" s="171" t="str">
        <f>IF(E120="","",IF(E120&gt;=75,1,IF(E120&lt;19,0,ROUND(E120*'Reference Curves'!$AA$79+'Reference Curves'!$AA$80,2))))</f>
        <v/>
      </c>
      <c r="G120" s="171" t="str">
        <f>IFERROR(AVERAGE(F120),"")</f>
        <v/>
      </c>
      <c r="H120" s="532"/>
      <c r="I120" s="487"/>
    </row>
    <row r="121" spans="1:9" ht="15.75" x14ac:dyDescent="0.25">
      <c r="A121" s="499" t="s">
        <v>48</v>
      </c>
      <c r="B121" s="145" t="s">
        <v>109</v>
      </c>
      <c r="C121" s="144" t="s">
        <v>370</v>
      </c>
      <c r="D121" s="70"/>
      <c r="E121" s="59"/>
      <c r="F121" s="239" t="str">
        <f>IF(E121="","", ROUND(IF(E121&gt;=81,0,IF(E121&lt;=36,1,IF(E121&gt;62,E121*'Reference Curves'!$AJ$14+'Reference Curves'!$AJ$15,IF(E121&gt;43,E121*'Reference Curves'!$AK$14+'Reference Curves'!$AK$15,E121*'Reference Curves'!$AL$14+'Reference Curves'!$AL$15)))),2))</f>
        <v/>
      </c>
      <c r="G121" s="146" t="str">
        <f>IFERROR(AVERAGE(F121),"")</f>
        <v/>
      </c>
      <c r="H121" s="505" t="str">
        <f>IFERROR(ROUND(AVERAGE(G121:G124),2),"")</f>
        <v/>
      </c>
      <c r="I121" s="487" t="str">
        <f>IF(H121="","",IF(H121&gt;0.69,"Functioning",IF(H121&gt;0.29,"Functioning At Risk",IF(H121&gt;-1,"Not Functioning"))))</f>
        <v/>
      </c>
    </row>
    <row r="122" spans="1:9" ht="15.75" x14ac:dyDescent="0.25">
      <c r="A122" s="500"/>
      <c r="B122" s="502" t="s">
        <v>56</v>
      </c>
      <c r="C122" s="144" t="s">
        <v>333</v>
      </c>
      <c r="D122" s="70"/>
      <c r="E122" s="66"/>
      <c r="F122" s="229" t="str">
        <f>IF(E122="","", IF('Quantification Tool'!$B$18="Anadromous",ROUND(IF(E122&lt;=0,0,IF(E122&gt;=100,1,IF(E122&lt;80,E122*'Reference Curves'!$AJ$48+'Reference Curves'!$AJ$49,E122*'Reference Curves'!$AK$48+'Reference Curves'!$AK$49))),2),
IF('Quantification Tool'!$B$18="Non-anadromous",ROUND(IF(E122&lt;=0,0,IF(E122&gt;=100,1,IF(E122&lt;60,E122*'Reference Curves'!$AL$48+'Reference Curves'!$AL$49,E122*'Reference Curves'!$AM$48+'Reference Curves'!$AM$49))),2))))</f>
        <v/>
      </c>
      <c r="G122" s="488" t="str">
        <f>IFERROR(AVERAGE(F122:F124),"")</f>
        <v/>
      </c>
      <c r="H122" s="506"/>
      <c r="I122" s="487"/>
    </row>
    <row r="123" spans="1:9" ht="15.75" x14ac:dyDescent="0.25">
      <c r="A123" s="500"/>
      <c r="B123" s="503"/>
      <c r="C123" s="362" t="s">
        <v>343</v>
      </c>
      <c r="D123" s="363"/>
      <c r="E123" s="64"/>
      <c r="F123" s="239" t="str">
        <f>IF(E123="","",IF(E123&lt;0,0,IF(E123&gt;=0.9,1,ROUND(E123*'Reference Curves'!$AJ$81+'Reference Curves'!$AJ$82,2))))</f>
        <v/>
      </c>
      <c r="G123" s="488"/>
      <c r="H123" s="506"/>
      <c r="I123" s="487"/>
    </row>
    <row r="124" spans="1:9" ht="15.75" x14ac:dyDescent="0.25">
      <c r="A124" s="501"/>
      <c r="B124" s="504"/>
      <c r="C124" s="228" t="s">
        <v>233</v>
      </c>
      <c r="D124" s="230"/>
      <c r="E124" s="277"/>
      <c r="F124" s="71" t="str">
        <f>IF(E124="","",IF(E124&lt;0,0,IF(E124&gt;=0.9,1,ROUND(E124*'Reference Curves'!$AJ$81+'Reference Curves'!$AJ$82,2))))</f>
        <v/>
      </c>
      <c r="G124" s="489"/>
      <c r="H124" s="506"/>
      <c r="I124" s="487"/>
    </row>
    <row r="126" spans="1:9" ht="20.25" customHeight="1" x14ac:dyDescent="0.35">
      <c r="A126" s="19" t="s">
        <v>101</v>
      </c>
      <c r="B126" s="121"/>
      <c r="C126" s="122" t="s">
        <v>152</v>
      </c>
      <c r="D126" s="584"/>
      <c r="E126" s="584"/>
      <c r="F126" s="585"/>
      <c r="G126" s="512" t="s">
        <v>12</v>
      </c>
      <c r="H126" s="582"/>
      <c r="I126" s="583"/>
    </row>
    <row r="127" spans="1:9" ht="15.75" x14ac:dyDescent="0.25">
      <c r="A127" s="25" t="s">
        <v>1</v>
      </c>
      <c r="B127" s="25" t="s">
        <v>2</v>
      </c>
      <c r="C127" s="112" t="s">
        <v>3</v>
      </c>
      <c r="D127" s="113"/>
      <c r="E127" s="25" t="s">
        <v>10</v>
      </c>
      <c r="F127" s="25" t="s">
        <v>11</v>
      </c>
      <c r="G127" s="25" t="s">
        <v>13</v>
      </c>
      <c r="H127" s="25" t="s">
        <v>14</v>
      </c>
      <c r="I127" s="25" t="s">
        <v>14</v>
      </c>
    </row>
    <row r="128" spans="1:9" ht="15.75" x14ac:dyDescent="0.25">
      <c r="A128" s="480" t="s">
        <v>161</v>
      </c>
      <c r="B128" s="448" t="s">
        <v>258</v>
      </c>
      <c r="C128" s="137" t="s">
        <v>138</v>
      </c>
      <c r="D128" s="138"/>
      <c r="E128" s="66"/>
      <c r="F128" s="264" t="str">
        <f>IF(E128="","",ROUND(IF(E128&gt;=86,0,IF(E128&lt;=9,1,IF(E128&gt;22,E128*'Reference Curves'!$C$14+'Reference Curves'!$C$15,IF(E128&gt;16,E128*'Reference Curves'!$D$14+'Reference Curves'!$D$15,E128*'Reference Curves'!$E$14+'Reference Curves'!$E$15)))),2))</f>
        <v/>
      </c>
      <c r="G128" s="457" t="str">
        <f>IFERROR(AVERAGE(F128:F130),"")</f>
        <v/>
      </c>
      <c r="H128" s="457" t="str">
        <f>IFERROR(ROUND(AVERAGE(G128:G134),2),"")</f>
        <v/>
      </c>
      <c r="I128" s="496" t="str">
        <f>IF(H128="","",IF(H128:H134&gt;0.69,"Functioning",IF(H128&gt;0.29,"Functioning At Risk",IF(H128&gt;-1,"Not Functioning"))))</f>
        <v/>
      </c>
    </row>
    <row r="129" spans="1:9" ht="15.75" x14ac:dyDescent="0.25">
      <c r="A129" s="481"/>
      <c r="B129" s="449"/>
      <c r="C129" s="156" t="s">
        <v>257</v>
      </c>
      <c r="D129" s="254"/>
      <c r="E129" s="64"/>
      <c r="F129" s="265" t="str">
        <f>IF(E129="","",ROUND(IF(E129&gt;33.5,0,IF(E129&lt;=0,1,E129*'Reference Curves'!$C$44+'Reference Curves'!$C$45)),2))</f>
        <v/>
      </c>
      <c r="G129" s="458"/>
      <c r="H129" s="458"/>
      <c r="I129" s="497"/>
    </row>
    <row r="130" spans="1:9" ht="15.75" x14ac:dyDescent="0.25">
      <c r="A130" s="481"/>
      <c r="B130" s="450"/>
      <c r="C130" s="178" t="s">
        <v>324</v>
      </c>
      <c r="D130" s="255"/>
      <c r="E130" s="69"/>
      <c r="F130" s="265" t="str">
        <f>IF(E130="","",ROUND(IF(E130&gt;=61,0,IF(E130&lt;=0,1,IF(E130&gt;35,E130*'Reference Curves'!$C$75+'Reference Curves'!$C$76,E130*'Reference Curves'!$D$75+'Reference Curves'!$D$76))),2))</f>
        <v/>
      </c>
      <c r="G130" s="459"/>
      <c r="H130" s="458"/>
      <c r="I130" s="497"/>
    </row>
    <row r="131" spans="1:9" ht="15.75" x14ac:dyDescent="0.25">
      <c r="A131" s="481"/>
      <c r="B131" s="451" t="s">
        <v>95</v>
      </c>
      <c r="C131" s="137" t="s">
        <v>138</v>
      </c>
      <c r="D131" s="280"/>
      <c r="E131" s="57"/>
      <c r="F131" s="139" t="str">
        <f>IF(E131="","",ROUND(IF(E131&gt;=86,0,IF(E131&lt;=9,1,IF(E131&gt;22,E131*'Reference Curves'!$C$14+'Reference Curves'!$C$15,IF(E131&gt;16,E131*'Reference Curves'!$D$14+'Reference Curves'!$D$15,E131*'Reference Curves'!$E$14+'Reference Curves'!$E$15)))),2))</f>
        <v/>
      </c>
      <c r="G131" s="457" t="str">
        <f>IFERROR(AVERAGE(F131:F134),"")</f>
        <v/>
      </c>
      <c r="H131" s="458"/>
      <c r="I131" s="497"/>
    </row>
    <row r="132" spans="1:9" ht="15.75" x14ac:dyDescent="0.25">
      <c r="A132" s="481"/>
      <c r="B132" s="452"/>
      <c r="C132" s="156" t="s">
        <v>257</v>
      </c>
      <c r="D132" s="281"/>
      <c r="E132" s="57"/>
      <c r="F132" s="265" t="str">
        <f>IF(E132="","",ROUND(IF(E132&gt;33.5,0,IF(E132&lt;=0,1,E132*'Reference Curves'!$C$44+'Reference Curves'!$C$45)),2))</f>
        <v/>
      </c>
      <c r="G132" s="458"/>
      <c r="H132" s="458"/>
      <c r="I132" s="497"/>
    </row>
    <row r="133" spans="1:9" ht="15.75" x14ac:dyDescent="0.25">
      <c r="A133" s="481"/>
      <c r="B133" s="452"/>
      <c r="C133" s="156" t="s">
        <v>324</v>
      </c>
      <c r="D133" s="281"/>
      <c r="E133" s="57"/>
      <c r="F133" s="265" t="str">
        <f>IF(E133="","",ROUND(IF(E133&gt;=61,0,IF(E133&lt;=0,1,IF(E133&gt;35,E133*'Reference Curves'!$C$75+'Reference Curves'!$C$76,E133*'Reference Curves'!$D$75+'Reference Curves'!$D$76))),2))</f>
        <v/>
      </c>
      <c r="G133" s="458"/>
      <c r="H133" s="458"/>
      <c r="I133" s="497"/>
    </row>
    <row r="134" spans="1:9" ht="15.6" customHeight="1" x14ac:dyDescent="0.25">
      <c r="A134" s="482"/>
      <c r="B134" s="453"/>
      <c r="C134" s="178" t="s">
        <v>227</v>
      </c>
      <c r="D134" s="179"/>
      <c r="E134" s="57"/>
      <c r="F134" s="157" t="str">
        <f>IF(E134="","",   IF(E134&gt;3.35,0, IF(E134&lt;0, "", ROUND('Reference Curves'!$C$105*E134+'Reference Curves'!$C$106,2))))</f>
        <v/>
      </c>
      <c r="G134" s="459"/>
      <c r="H134" s="458"/>
      <c r="I134" s="498"/>
    </row>
    <row r="135" spans="1:9" ht="15.75" x14ac:dyDescent="0.25">
      <c r="A135" s="509" t="s">
        <v>160</v>
      </c>
      <c r="B135" s="533" t="s">
        <v>5</v>
      </c>
      <c r="C135" s="227" t="s">
        <v>226</v>
      </c>
      <c r="D135" s="204"/>
      <c r="E135" s="59"/>
      <c r="F135" s="205" t="str">
        <f>IF(E135="","",ROUND(IF(OR(E135&gt;1.71, E135&lt;0.34),0,IF(E135&lt;=1,1,E135*'Reference Curves'!K$13+'Reference Curves'!K$14)),2))</f>
        <v/>
      </c>
      <c r="G135" s="526" t="str">
        <f>IFERROR(AVERAGE(F135:F136),"")</f>
        <v/>
      </c>
      <c r="H135" s="493" t="str">
        <f>IFERROR(ROUND(AVERAGE(G135:G137),2),"")</f>
        <v/>
      </c>
      <c r="I135" s="496" t="str">
        <f>IF(H135="","",IF(H135&gt;0.69,"Functioning",IF(H135&gt;0.29,"Functioning At Risk",IF(H135&gt;-1,"Not Functioning"))))</f>
        <v/>
      </c>
    </row>
    <row r="136" spans="1:9" ht="15.6" customHeight="1" x14ac:dyDescent="0.25">
      <c r="A136" s="510"/>
      <c r="B136" s="534"/>
      <c r="C136" s="226" t="s">
        <v>225</v>
      </c>
      <c r="D136" s="61"/>
      <c r="E136" s="198"/>
      <c r="F136" s="231" t="str">
        <f>IF(E136="","",IF(LEFT('Quantification Tool'!$B$10,1)="B",IF(E136&lt;=1,0,IF(E136&gt;=2.2,1,ROUND(IF(E136&lt;1.4,E136*'Reference Curves'!$K$117+'Reference Curves'!$K$118,E136*'Reference Curves'!$L$117+'Reference Curves'!$L$118),2))),
IF(LEFT('Quantification Tool'!$B$10,1)="C",IF(E136&lt;1.7,0,IF(E136&gt;=4.4,1,ROUND(IF(E136&lt;2.4,E136*'Reference Curves'!$K$47+'Reference Curves'!$K$48,E136*'Reference Curves'!$L$47+'Reference Curves'!$L$48),2))),
IF(LEFT('Quantification Tool'!$B$10,1)="E",IF(E136&lt;1.7,0,IF(E136&gt;=6.5,1,ROUND(IF(E136&lt;2.4,E136*'Reference Curves'!$K$82+'Reference Curves'!$K$83,E136*'Reference Curves'!$L$82+'Reference Curves'!$L$83),2)))) )     ))</f>
        <v/>
      </c>
      <c r="G136" s="527"/>
      <c r="H136" s="494"/>
      <c r="I136" s="497"/>
    </row>
    <row r="137" spans="1:9" ht="15.6" customHeight="1" x14ac:dyDescent="0.25">
      <c r="A137" s="511"/>
      <c r="B137" s="211" t="s">
        <v>210</v>
      </c>
      <c r="C137" s="225" t="s">
        <v>270</v>
      </c>
      <c r="D137" s="203"/>
      <c r="E137" s="140"/>
      <c r="F137" s="232" t="str">
        <f>IF(E137="","", IF(E137&gt;=180,0, IF(E137=100,1, ROUND(IF(E137&gt;100, E137*'Reference Curves'!$L$151+'Reference Curves'!$L$152, IF(E135&gt;1.2,IF(E137&lt;=20,0,E137*'Reference Curves'!$K$151+'Reference Curves'!$K$152),1) ),2))))</f>
        <v/>
      </c>
      <c r="G137" s="253" t="str">
        <f>IFERROR(AVERAGE(F137:F137),"")</f>
        <v/>
      </c>
      <c r="H137" s="495"/>
      <c r="I137" s="498"/>
    </row>
    <row r="138" spans="1:9" ht="15.75" x14ac:dyDescent="0.25">
      <c r="A138" s="507" t="s">
        <v>17</v>
      </c>
      <c r="B138" s="200" t="s">
        <v>231</v>
      </c>
      <c r="C138" s="212" t="s">
        <v>228</v>
      </c>
      <c r="D138" s="213"/>
      <c r="E138" s="34"/>
      <c r="F138" s="237" t="str">
        <f>IF(E138="","",IF('Quantification Tool'!$B$17="Alaska Range",ROUND(IF(E138&lt;=0.05,0, IF(E138&gt;=6.3,1,IF(E138&lt;=1.5,'Reference Curves'!$S$16*E138+'Reference Curves'!$S$17, 'Reference Curves'!$T$16*E138+'Reference Curves'!$T$17))),2),
IF('Quantification Tool'!$B$17="Brooks Range",ROUND(IF(E138&gt;=4.2,1,IF(E138&lt;0.03,0, IF(E138&lt;=1.2,'Reference Curves'!$U$16*E138+'Reference Curves'!$U$17, 'Reference Curves'!$V$16*E138+'Reference Curves'!$V$17))),2),
IF(OR('Quantification Tool'!$B$17="Interior Bottomlands",'Quantification Tool'!$B$17="Yukon Flats"),ROUND(IF(E138&gt;=54.5,1,IF(E138&lt;=3.7,'Reference Curves'!$S$51*E138+'Reference Curves'!$S$52, IF(E138&lt;4.7, 'Reference Curves'!$T$51*E138+'Reference Curves'!$T$52, 'Reference Curves'!$U$51*E138+'Reference Curves'!$U$52))),2),
IF(OR('Quantification Tool'!$B$17="Interior Forested Lowlands/Uplands",'Quantification Tool'!$B$17="Interior Highlands"),ROUND(IF(E138=0,0,IF(E138&gt;=24.1,1,IF(E138&lt;=1.3,'Reference Curves'!$V$51*E138+'Reference Curves'!$V$52, 'Reference Curves'!$W$51*E138+'Reference Curves'!$W$52))),2))))))</f>
        <v/>
      </c>
      <c r="G138" s="214" t="str">
        <f>IFERROR(AVERAGE(F138:F138),"")</f>
        <v/>
      </c>
      <c r="H138" s="521" t="str">
        <f>IFERROR(ROUND(AVERAGE(G138:G148),2),"")</f>
        <v/>
      </c>
      <c r="I138" s="523" t="str">
        <f>IF(H138="","",IF(H138&gt;0.69,"Functioning",IF(H138&gt;0.29,"Functioning At Risk",IF(H138&gt;-1,"Not Functioning"))))</f>
        <v/>
      </c>
    </row>
    <row r="139" spans="1:9" ht="15.75" x14ac:dyDescent="0.25">
      <c r="A139" s="508"/>
      <c r="B139" s="508" t="s">
        <v>157</v>
      </c>
      <c r="C139" s="130" t="s">
        <v>40</v>
      </c>
      <c r="D139" s="63"/>
      <c r="E139" s="238"/>
      <c r="F139" s="115" t="str">
        <f>IF(E139="","",IF(OR(E139="Ex/Ex",E139="Ex/VH",E139="Ex/H",E139="Ex/M",E139="VH/Ex",E139="VH/VH", E139="H/Ex",E139="H/VH"),0, IF(OR(E139="M/Ex"),0.1,IF(OR(E139="VH/H",E139="VH/M",E139="H/H",E139="H/M", E139="M/VH"),0.2, IF(OR(E139="Ex/VL",E139="Ex/L", E139="M/H"),0.3, IF(OR(E139="VH/L",E139="H/L"),0.4, IF(OR(E139="VH/VL",E139="H/VL",E139="M/M"),0.5, IF(OR(E139="M/L",E139="L/Ex"),0.6, IF(OR(E139="M/VL",E139="L/VH", E139="L/H",E139="L/M",E139="L/L",E139="L/VL",LEFT(E139)="V"),1)))))))))</f>
        <v/>
      </c>
      <c r="G139" s="522" t="str">
        <f>IFERROR(IF(E141&gt;50,0,AVERAGE(F139:F141)),"")</f>
        <v/>
      </c>
      <c r="H139" s="522"/>
      <c r="I139" s="524"/>
    </row>
    <row r="140" spans="1:9" ht="15.75" x14ac:dyDescent="0.25">
      <c r="A140" s="508"/>
      <c r="B140" s="508"/>
      <c r="C140" s="131" t="s">
        <v>65</v>
      </c>
      <c r="D140" s="125"/>
      <c r="E140" s="141"/>
      <c r="F140" s="115" t="str">
        <f>IF(E140="","",ROUND(IF(E140&gt;=75,0,IF(E140&lt;=5,1,IF(E140&gt;10,E140*'Reference Curves'!S$85+'Reference Curves'!S$86,'Reference Curves'!$T$85*E140+'Reference Curves'!$T$86))),2))</f>
        <v/>
      </c>
      <c r="G140" s="522"/>
      <c r="H140" s="522"/>
      <c r="I140" s="524"/>
    </row>
    <row r="141" spans="1:9" ht="15.75" x14ac:dyDescent="0.25">
      <c r="A141" s="508"/>
      <c r="B141" s="520"/>
      <c r="C141" s="132" t="s">
        <v>203</v>
      </c>
      <c r="D141" s="126"/>
      <c r="E141" s="60"/>
      <c r="F141" s="116" t="str">
        <f>IF(E141="","",IF(E141&gt;=30,0,ROUND(E141*'Reference Curves'!$S$116+'Reference Curves'!$S$117,2)))</f>
        <v/>
      </c>
      <c r="G141" s="525"/>
      <c r="H141" s="522"/>
      <c r="I141" s="524"/>
    </row>
    <row r="142" spans="1:9" ht="15.75" x14ac:dyDescent="0.25">
      <c r="A142" s="508"/>
      <c r="B142" s="270" t="s">
        <v>82</v>
      </c>
      <c r="C142" s="9" t="s">
        <v>256</v>
      </c>
      <c r="D142" s="63"/>
      <c r="E142" s="60"/>
      <c r="F142" s="65" t="str">
        <f>IF(E142="","",IF(OR('Quantification Tool'!B$15="Cobble",'Quantification Tool'!B$15="Boulders",'Quantification Tool'!B$15="Bedrock"),ROUND(IF(E142&lt;=0,1,IF(E142&gt;=13.7,0, IF(E142&gt;5,E142*'Reference Curves'!$U$150+'Reference Curves'!$U$151,  E142*'Reference Curves'!$V$150+'Reference Curves'!$V$151))),2),
IF('Quantification Tool'!B$15="Gravel",ROUND(IF(E142&lt;=3,1,IF(E142&gt;=54,0, IF(E142&gt;15,E142*'Reference Curves'!$S$150+'Reference Curves'!$S$151,  E142*'Reference Curves'!$T$150+'Reference Curves'!$T$151))),2))))</f>
        <v/>
      </c>
      <c r="G142" s="65" t="str">
        <f>IFERROR(AVERAGE(F142),"")</f>
        <v/>
      </c>
      <c r="H142" s="522"/>
      <c r="I142" s="524"/>
    </row>
    <row r="143" spans="1:9" ht="15.75" x14ac:dyDescent="0.25">
      <c r="A143" s="508"/>
      <c r="B143" s="507" t="s">
        <v>42</v>
      </c>
      <c r="C143" s="8" t="s">
        <v>229</v>
      </c>
      <c r="D143" s="62"/>
      <c r="E143" s="66"/>
      <c r="F143" s="67" t="str">
        <f>IF(E143="","", IF(LEFT('Quantification Tool'!$B$10,1)="C", IF(OR(E143&lt;=3,E143&gt;=9.3),0,IF(AND(E143&gt;=4,E143&lt;=6),1,IF(E143&lt;4, ROUND(E143*'Reference Curves'!$S$250+'Reference Curves'!$S$251,2), ROUND(E143*'Reference Curves'!$T$250+'Reference Curves'!$T$251,2)))),
IF(LEFT('Quantification Tool'!$B$10,1)="E", IF(OR(E143&lt;=1.8,E143&gt;=8.3),0,IF(AND(E143&gt;=3.5,E143&lt;=5),1,IF(E143&lt;3.5, ROUND(E143*'Reference Curves'!$S$283+'Reference Curves'!$S$284,2), ROUND(E143*'Reference Curves'!$T$283+'Reference Curves'!$T$284,2)))),
IF(OR('Quantification Tool'!$B$10="B",'Quantification Tool'!$B$10="Ba"), IF(E143&gt;=6,0, IF(E143&lt;=2, 1, IF(E143&gt;3.9, ROUND(E143*'Reference Curves'!$S$185+'Reference Curves'!$S$186,2), ROUND(E143*'Reference Curves'!$T$185+'Reference Curves'!$T$186,2)))),
IF('Quantification Tool'!$B$10="Bc",  IF(E143&gt;12,0, IF(E143&lt;=3.4, 1, ROUND(E143*'Reference Curves'!$S$217+'Reference Curves'!$S$218,2))))))))</f>
        <v/>
      </c>
      <c r="G143" s="518" t="str">
        <f>IFERROR(AVERAGE(F143:F145),"")</f>
        <v/>
      </c>
      <c r="H143" s="522"/>
      <c r="I143" s="524"/>
    </row>
    <row r="144" spans="1:9" ht="15.75" x14ac:dyDescent="0.25">
      <c r="A144" s="508"/>
      <c r="B144" s="508"/>
      <c r="C144" s="105" t="s">
        <v>230</v>
      </c>
      <c r="D144" s="63"/>
      <c r="E144" s="64"/>
      <c r="F144" s="68" t="str">
        <f>IF(E144="","",IF(OR('Quantification Tool'!$B$10="B",'Quantification Tool'!$B$10="Ba"),ROUND(IF(E144&lt;=1,0,IF(E144&gt;=2.8,1,IF(E144&lt;1.8,E144*'Reference Curves'!$S$318+'Reference Curves'!$S$319,E144*'Reference Curves'!$T$318+'Reference Curves'!$T$319))),2),
ROUND(IF(E144&lt;=1,0,IF(E144&gt;=3.2,1,IF(E144&lt;2.2,E144*'Reference Curves'!$U$318+'Reference Curves'!$U$319,E144*'Reference Curves'!$V$318+'Reference Curves'!$V$319))),2)))</f>
        <v/>
      </c>
      <c r="G144" s="519"/>
      <c r="H144" s="522"/>
      <c r="I144" s="524"/>
    </row>
    <row r="145" spans="1:9" ht="15.75" x14ac:dyDescent="0.25">
      <c r="A145" s="508"/>
      <c r="B145" s="508"/>
      <c r="C145" s="105" t="s">
        <v>142</v>
      </c>
      <c r="D145" s="63"/>
      <c r="E145" s="64"/>
      <c r="F145" s="302" t="str">
        <f>IF(E145="","",IF('Quantification Tool'!$B$16&gt;=3,IF(OR(E145&lt;=0,E145&gt;=100),0,IF(AND(E145&gt;=68,E145&lt;=85),1,IF(E145&lt;68,IF(E145&lt;62,ROUND(E145*'Reference Curves'!$S$352+'Reference Curves'!$S$353,2),ROUND(E145*'Reference Curves'!$T$352+'Reference Curves'!$T$353,2)),
IF(E145&gt;87,ROUND(E145*'Reference Curves'!$U$352+'Reference Curves'!$U$353,2),ROUND(E145*'Reference Curves'!$V$352+'Reference Curves'!$V$353,2))))),
IF('Quantification Tool'!$B$16&lt;&gt;0,IF(OR(E145&lt;=0,E145&gt;=100),0,IF(AND(E145&lt;=60,E145&gt;=50),1,IF(E145&lt;50,IF(E145&lt;39,ROUND(E145*'Reference Curves'!$S$386+'Reference Curves'!$S$387,2),ROUND(E145*'Reference Curves'!$T$386+'Reference Curves'!$T$387,2)),
IF(E145&gt;69,ROUND(E145*'Reference Curves'!$U$386+'Reference Curves'!$U$387,2),ROUND(E145*'Reference Curves'!$V$386+'Reference Curves'!$V$387,2))))))))</f>
        <v/>
      </c>
      <c r="G145" s="519"/>
      <c r="H145" s="522"/>
      <c r="I145" s="524"/>
    </row>
    <row r="146" spans="1:9" ht="15.75" x14ac:dyDescent="0.25">
      <c r="A146" s="508"/>
      <c r="B146" s="507" t="s">
        <v>41</v>
      </c>
      <c r="C146" s="8" t="s">
        <v>332</v>
      </c>
      <c r="D146" s="128"/>
      <c r="E146" s="129"/>
      <c r="F146" s="124" t="str">
        <f>IF(E146="","",IF('Quantification Tool'!$B$11="Unconfined Alluvial",IF(E146&gt;=100,1,IF(E146&lt;0,0,ROUND('Reference Curves'!$S$420*E146+'Reference Curves'!$S$421,2))),IF(OR('Quantification Tool'!$B$11="Confined Alluvial",'Quantification Tool'!$B$11="Colluvial/V-Shaped"),(IF(E146&gt;=100,1,IF(E146&lt;0,0,IF(E146&lt;60,ROUND('Reference Curves'!$T$420*E146+'Reference Curves'!$T$421,2), ROUND('Reference Curves'!$U$420*E146+'Reference Curves'!$U$421,2))))))))</f>
        <v/>
      </c>
      <c r="G146" s="518" t="str">
        <f>IFERROR(AVERAGE(F146:F148),"")</f>
        <v/>
      </c>
      <c r="H146" s="522"/>
      <c r="I146" s="524"/>
    </row>
    <row r="147" spans="1:9" ht="15.75" x14ac:dyDescent="0.25">
      <c r="A147" s="508"/>
      <c r="B147" s="508"/>
      <c r="C147" s="105" t="s">
        <v>251</v>
      </c>
      <c r="D147" s="123"/>
      <c r="E147" s="127"/>
      <c r="F147" s="68" t="str">
        <f>IF(E147="","",IF(OR('Quantification Tool'!$B$17="Alaska Range",'Quantification Tool'!$B$17="Brooks Range"),ROUND(IF(E147&gt;=1.57,1,IF(E147&lt;=0.06,'Reference Curves'!$S$455*E147+'Reference Curves'!$S$456, IF(E147&lt;0.83, 'Reference Curves'!$T$455*E147+'Reference Curves'!$T$456, 'Reference Curves'!$U$455*E147+'Reference Curves'!$U$456))),2),
IF('Quantification Tool'!$B$17="Interior Highlands",ROUND(IF(E147&gt;=1.67,1,IF(E147&lt;=0.94,'Reference Curves'!$V$455*E147+'Reference Curves'!$V$456, IF(E147&lt;1.21, 'Reference Curves'!$W$455*E147+'Reference Curves'!$W$456, 'Reference Curves'!$X$455*E147+'Reference Curves'!$X$456))),2),
IF(OR('Quantification Tool'!$B$17="Interior Bottomlands",'Quantification Tool'!$B$17="Yukon Flats"),ROUND(IF(E147&gt;=1.82,1,IF(E147&lt;=1.19,'Reference Curves'!$S$490*E147+'Reference Curves'!$S$491, IF(E147&lt;1.37, 'Reference Curves'!$T$490*E147+'Reference Curves'!$T$491, 'Reference Curves'!$U$490*E147+'Reference Curves'!$U$491))),2),
IF('Quantification Tool'!$B$17="Interior Forested Lowlands/Uplands",ROUND(IF(E147&gt;=1.87,1,IF(E147&lt;=1.24,'Reference Curves'!$V$490*E147+'Reference Curves'!$V$491, IF(E147&lt;1.45, 'Reference Curves'!$W$490*E147+'Reference Curves'!$W$491, 'Reference Curves'!$X$490*E147+'Reference Curves'!$X$491))),2))))))</f>
        <v/>
      </c>
      <c r="G147" s="519"/>
      <c r="H147" s="522"/>
      <c r="I147" s="524"/>
    </row>
    <row r="148" spans="1:9" ht="15.75" x14ac:dyDescent="0.25">
      <c r="A148" s="508"/>
      <c r="B148" s="508"/>
      <c r="C148" s="105" t="s">
        <v>325</v>
      </c>
      <c r="D148" s="123"/>
      <c r="E148" s="127"/>
      <c r="F148" s="68" t="str">
        <f>IF(E148="","",IF(E148&lt;83.5,0,IF(E148&gt;=100,1, ROUND(E148*'Reference Curves'!$S$521+'Reference Curves'!$S$522,2))))</f>
        <v/>
      </c>
      <c r="G148" s="519"/>
      <c r="H148" s="522"/>
      <c r="I148" s="524"/>
    </row>
    <row r="149" spans="1:9" ht="15.75" x14ac:dyDescent="0.25">
      <c r="A149" s="513" t="s">
        <v>47</v>
      </c>
      <c r="B149" s="268" t="s">
        <v>60</v>
      </c>
      <c r="C149" s="274" t="s">
        <v>341</v>
      </c>
      <c r="D149" s="275"/>
      <c r="E149" s="59"/>
      <c r="F149" s="171" t="str">
        <f>IF(E149="","",IF(E149&lt;=1.1,1,IF(E149&gt;1.315,0,ROUND(E149*'Reference Curves'!$AA$13+'Reference Curves'!$AA$14,2))))</f>
        <v/>
      </c>
      <c r="G149" s="269" t="str">
        <f>IFERROR(AVERAGE(F149:F149),"")</f>
        <v/>
      </c>
      <c r="H149" s="530" t="str">
        <f>IFERROR(ROUND(AVERAGE(G149:G151),2),"")</f>
        <v/>
      </c>
      <c r="I149" s="487" t="str">
        <f>IF(H149="","",IF(H149&gt;0.69,"Functioning",IF(H149&gt;0.29,"Functioning At Risk",IF(H149&gt;-1,"Not Functioning"))))</f>
        <v/>
      </c>
    </row>
    <row r="150" spans="1:9" ht="15.75" x14ac:dyDescent="0.25">
      <c r="A150" s="514"/>
      <c r="B150" s="172" t="s">
        <v>259</v>
      </c>
      <c r="C150" s="274" t="s">
        <v>342</v>
      </c>
      <c r="D150" s="275"/>
      <c r="E150" s="34"/>
      <c r="F150" s="171" t="str">
        <f>IF(E150="","",IF(E150&lt;=3.2,1,IF(E150&gt;=100,0,ROUND(IF(E150&gt;10,E150*'Reference Curves'!$AA$46+'Reference Curves'!$AA$47,E150*'Reference Curves'!$AB$46+'Reference Curves'!$AB$47),2))))</f>
        <v/>
      </c>
      <c r="G150" s="171" t="str">
        <f>IFERROR(AVERAGE(F150),"")</f>
        <v/>
      </c>
      <c r="H150" s="531"/>
      <c r="I150" s="487"/>
    </row>
    <row r="151" spans="1:9" ht="15.75" x14ac:dyDescent="0.25">
      <c r="A151" s="515"/>
      <c r="B151" s="172" t="s">
        <v>260</v>
      </c>
      <c r="C151" s="169" t="s">
        <v>359</v>
      </c>
      <c r="D151" s="170"/>
      <c r="E151" s="34"/>
      <c r="F151" s="171" t="str">
        <f>IF(E151="","",IF(E151&gt;=75,1,IF(E151&lt;19,0,ROUND(E151*'Reference Curves'!$AA$79+'Reference Curves'!$AA$80,2))))</f>
        <v/>
      </c>
      <c r="G151" s="171" t="str">
        <f>IFERROR(AVERAGE(F151),"")</f>
        <v/>
      </c>
      <c r="H151" s="532"/>
      <c r="I151" s="487"/>
    </row>
    <row r="152" spans="1:9" ht="15.75" x14ac:dyDescent="0.25">
      <c r="A152" s="499" t="s">
        <v>48</v>
      </c>
      <c r="B152" s="145" t="s">
        <v>109</v>
      </c>
      <c r="C152" s="144" t="s">
        <v>370</v>
      </c>
      <c r="D152" s="70"/>
      <c r="E152" s="59"/>
      <c r="F152" s="239" t="str">
        <f>IF(E152="","", ROUND(IF(E152&gt;=81,0,IF(E152&lt;=36,1,IF(E152&gt;62,E152*'Reference Curves'!$AJ$14+'Reference Curves'!$AJ$15,IF(E152&gt;43,E152*'Reference Curves'!$AK$14+'Reference Curves'!$AK$15,E152*'Reference Curves'!$AL$14+'Reference Curves'!$AL$15)))),2))</f>
        <v/>
      </c>
      <c r="G152" s="146" t="str">
        <f>IFERROR(AVERAGE(F152),"")</f>
        <v/>
      </c>
      <c r="H152" s="505" t="str">
        <f>IFERROR(ROUND(AVERAGE(G152:G155),2),"")</f>
        <v/>
      </c>
      <c r="I152" s="487" t="str">
        <f>IF(H152="","",IF(H152&gt;0.69,"Functioning",IF(H152&gt;0.29,"Functioning At Risk",IF(H152&gt;-1,"Not Functioning"))))</f>
        <v/>
      </c>
    </row>
    <row r="153" spans="1:9" ht="15.75" x14ac:dyDescent="0.25">
      <c r="A153" s="500"/>
      <c r="B153" s="502" t="s">
        <v>56</v>
      </c>
      <c r="C153" s="144" t="s">
        <v>333</v>
      </c>
      <c r="D153" s="70"/>
      <c r="E153" s="66"/>
      <c r="F153" s="229" t="str">
        <f>IF(E153="","", IF('Quantification Tool'!$B$18="Anadromous",ROUND(IF(E153&lt;=0,0,IF(E153&gt;=100,1,IF(E153&lt;80,E153*'Reference Curves'!$AJ$48+'Reference Curves'!$AJ$49,E153*'Reference Curves'!$AK$48+'Reference Curves'!$AK$49))),2),
IF('Quantification Tool'!$B$18="Non-anadromous",ROUND(IF(E153&lt;=0,0,IF(E153&gt;=100,1,IF(E153&lt;60,E153*'Reference Curves'!$AL$48+'Reference Curves'!$AL$49,E153*'Reference Curves'!$AM$48+'Reference Curves'!$AM$49))),2))))</f>
        <v/>
      </c>
      <c r="G153" s="488" t="str">
        <f>IFERROR(AVERAGE(F153:F155),"")</f>
        <v/>
      </c>
      <c r="H153" s="506"/>
      <c r="I153" s="487"/>
    </row>
    <row r="154" spans="1:9" ht="15.75" x14ac:dyDescent="0.25">
      <c r="A154" s="500"/>
      <c r="B154" s="503"/>
      <c r="C154" s="362" t="s">
        <v>343</v>
      </c>
      <c r="D154" s="363"/>
      <c r="E154" s="64"/>
      <c r="F154" s="239" t="str">
        <f>IF(E154="","",IF(E154&lt;0,0,IF(E154&gt;=0.9,1,ROUND(E154*'Reference Curves'!$AJ$81+'Reference Curves'!$AJ$82,2))))</f>
        <v/>
      </c>
      <c r="G154" s="488"/>
      <c r="H154" s="506"/>
      <c r="I154" s="487"/>
    </row>
    <row r="155" spans="1:9" ht="15.75" x14ac:dyDescent="0.25">
      <c r="A155" s="501"/>
      <c r="B155" s="504"/>
      <c r="C155" s="228" t="s">
        <v>233</v>
      </c>
      <c r="D155" s="230"/>
      <c r="E155" s="277"/>
      <c r="F155" s="71" t="str">
        <f>IF(E155="","",IF(E155&lt;0,0,IF(E155&gt;=0.9,1,ROUND(E155*'Reference Curves'!$AJ$81+'Reference Curves'!$AJ$82,2))))</f>
        <v/>
      </c>
      <c r="G155" s="489"/>
      <c r="H155" s="506"/>
      <c r="I155" s="487"/>
    </row>
    <row r="156" spans="1:9" ht="14.1" customHeight="1" x14ac:dyDescent="0.25"/>
    <row r="157" spans="1:9" ht="20.25" customHeight="1" x14ac:dyDescent="0.35">
      <c r="A157" s="19" t="s">
        <v>101</v>
      </c>
      <c r="B157" s="121"/>
      <c r="C157" s="122" t="s">
        <v>152</v>
      </c>
      <c r="D157" s="584"/>
      <c r="E157" s="584"/>
      <c r="F157" s="585"/>
      <c r="G157" s="512" t="s">
        <v>12</v>
      </c>
      <c r="H157" s="582"/>
      <c r="I157" s="583"/>
    </row>
    <row r="158" spans="1:9" ht="15.75" x14ac:dyDescent="0.25">
      <c r="A158" s="25" t="s">
        <v>1</v>
      </c>
      <c r="B158" s="25" t="s">
        <v>2</v>
      </c>
      <c r="C158" s="112" t="s">
        <v>3</v>
      </c>
      <c r="D158" s="113"/>
      <c r="E158" s="25" t="s">
        <v>10</v>
      </c>
      <c r="F158" s="25" t="s">
        <v>11</v>
      </c>
      <c r="G158" s="25" t="s">
        <v>13</v>
      </c>
      <c r="H158" s="25" t="s">
        <v>14</v>
      </c>
      <c r="I158" s="25" t="s">
        <v>14</v>
      </c>
    </row>
    <row r="159" spans="1:9" ht="15.75" x14ac:dyDescent="0.25">
      <c r="A159" s="480" t="s">
        <v>161</v>
      </c>
      <c r="B159" s="448" t="s">
        <v>258</v>
      </c>
      <c r="C159" s="137" t="s">
        <v>138</v>
      </c>
      <c r="D159" s="138"/>
      <c r="E159" s="66"/>
      <c r="F159" s="264" t="str">
        <f>IF(E159="","",ROUND(IF(E159&gt;=86,0,IF(E159&lt;=9,1,IF(E159&gt;22,E159*'Reference Curves'!$C$14+'Reference Curves'!$C$15,IF(E159&gt;16,E159*'Reference Curves'!$D$14+'Reference Curves'!$D$15,E159*'Reference Curves'!$E$14+'Reference Curves'!$E$15)))),2))</f>
        <v/>
      </c>
      <c r="G159" s="457" t="str">
        <f>IFERROR(AVERAGE(F159:F161),"")</f>
        <v/>
      </c>
      <c r="H159" s="457" t="str">
        <f>IFERROR(ROUND(AVERAGE(G159:G165),2),"")</f>
        <v/>
      </c>
      <c r="I159" s="496" t="str">
        <f>IF(H159="","",IF(H159:H165&gt;0.69,"Functioning",IF(H159&gt;0.29,"Functioning At Risk",IF(H159&gt;-1,"Not Functioning"))))</f>
        <v/>
      </c>
    </row>
    <row r="160" spans="1:9" ht="15.75" x14ac:dyDescent="0.25">
      <c r="A160" s="481"/>
      <c r="B160" s="449"/>
      <c r="C160" s="156" t="s">
        <v>257</v>
      </c>
      <c r="D160" s="254"/>
      <c r="E160" s="64"/>
      <c r="F160" s="265" t="str">
        <f>IF(E160="","",ROUND(IF(E160&gt;33.5,0,IF(E160&lt;=0,1,E160*'Reference Curves'!$C$44+'Reference Curves'!$C$45)),2))</f>
        <v/>
      </c>
      <c r="G160" s="458"/>
      <c r="H160" s="458"/>
      <c r="I160" s="497"/>
    </row>
    <row r="161" spans="1:9" ht="15.75" x14ac:dyDescent="0.25">
      <c r="A161" s="481"/>
      <c r="B161" s="450"/>
      <c r="C161" s="178" t="s">
        <v>324</v>
      </c>
      <c r="D161" s="255"/>
      <c r="E161" s="69"/>
      <c r="F161" s="265" t="str">
        <f>IF(E161="","",ROUND(IF(E161&gt;=61,0,IF(E161&lt;=0,1,IF(E161&gt;35,E161*'Reference Curves'!$C$75+'Reference Curves'!$C$76,E161*'Reference Curves'!$D$75+'Reference Curves'!$D$76))),2))</f>
        <v/>
      </c>
      <c r="G161" s="459"/>
      <c r="H161" s="458"/>
      <c r="I161" s="497"/>
    </row>
    <row r="162" spans="1:9" ht="15.75" x14ac:dyDescent="0.25">
      <c r="A162" s="481"/>
      <c r="B162" s="451" t="s">
        <v>95</v>
      </c>
      <c r="C162" s="137" t="s">
        <v>138</v>
      </c>
      <c r="D162" s="280"/>
      <c r="E162" s="57"/>
      <c r="F162" s="139" t="str">
        <f>IF(E162="","",ROUND(IF(E162&gt;=86,0,IF(E162&lt;=9,1,IF(E162&gt;22,E162*'Reference Curves'!$C$14+'Reference Curves'!$C$15,IF(E162&gt;16,E162*'Reference Curves'!$D$14+'Reference Curves'!$D$15,E162*'Reference Curves'!$E$14+'Reference Curves'!$E$15)))),2))</f>
        <v/>
      </c>
      <c r="G162" s="457" t="str">
        <f>IFERROR(AVERAGE(F162:F165),"")</f>
        <v/>
      </c>
      <c r="H162" s="458"/>
      <c r="I162" s="497"/>
    </row>
    <row r="163" spans="1:9" ht="15.75" x14ac:dyDescent="0.25">
      <c r="A163" s="481"/>
      <c r="B163" s="452"/>
      <c r="C163" s="156" t="s">
        <v>257</v>
      </c>
      <c r="D163" s="281"/>
      <c r="E163" s="57"/>
      <c r="F163" s="265" t="str">
        <f>IF(E163="","",ROUND(IF(E163&gt;33.5,0,IF(E163&lt;=0,1,E163*'Reference Curves'!$C$44+'Reference Curves'!$C$45)),2))</f>
        <v/>
      </c>
      <c r="G163" s="458"/>
      <c r="H163" s="458"/>
      <c r="I163" s="497"/>
    </row>
    <row r="164" spans="1:9" ht="15.75" x14ac:dyDescent="0.25">
      <c r="A164" s="481"/>
      <c r="B164" s="452"/>
      <c r="C164" s="156" t="s">
        <v>324</v>
      </c>
      <c r="D164" s="281"/>
      <c r="E164" s="57"/>
      <c r="F164" s="265" t="str">
        <f>IF(E164="","",ROUND(IF(E164&gt;=61,0,IF(E164&lt;=0,1,IF(E164&gt;35,E164*'Reference Curves'!$C$75+'Reference Curves'!$C$76,E164*'Reference Curves'!$D$75+'Reference Curves'!$D$76))),2))</f>
        <v/>
      </c>
      <c r="G164" s="458"/>
      <c r="H164" s="458"/>
      <c r="I164" s="497"/>
    </row>
    <row r="165" spans="1:9" ht="15.6" customHeight="1" x14ac:dyDescent="0.25">
      <c r="A165" s="482"/>
      <c r="B165" s="453"/>
      <c r="C165" s="178" t="s">
        <v>227</v>
      </c>
      <c r="D165" s="179"/>
      <c r="E165" s="57"/>
      <c r="F165" s="157" t="str">
        <f>IF(E165="","",   IF(E165&gt;3.35,0, IF(E165&lt;0, "", ROUND('Reference Curves'!$C$105*E165+'Reference Curves'!$C$106,2))))</f>
        <v/>
      </c>
      <c r="G165" s="459"/>
      <c r="H165" s="458"/>
      <c r="I165" s="498"/>
    </row>
    <row r="166" spans="1:9" ht="15.75" x14ac:dyDescent="0.25">
      <c r="A166" s="509" t="s">
        <v>160</v>
      </c>
      <c r="B166" s="533" t="s">
        <v>5</v>
      </c>
      <c r="C166" s="227" t="s">
        <v>226</v>
      </c>
      <c r="D166" s="204"/>
      <c r="E166" s="59"/>
      <c r="F166" s="205" t="str">
        <f>IF(E166="","",ROUND(IF(OR(E166&gt;1.71, E166&lt;0.34),0,IF(E166&lt;=1,1,E166*'Reference Curves'!K$13+'Reference Curves'!K$14)),2))</f>
        <v/>
      </c>
      <c r="G166" s="526" t="str">
        <f>IFERROR(AVERAGE(F166:F167),"")</f>
        <v/>
      </c>
      <c r="H166" s="493" t="str">
        <f>IFERROR(ROUND(AVERAGE(G166:G168),2),"")</f>
        <v/>
      </c>
      <c r="I166" s="496" t="str">
        <f>IF(H166="","",IF(H166&gt;0.69,"Functioning",IF(H166&gt;0.29,"Functioning At Risk",IF(H166&gt;-1,"Not Functioning"))))</f>
        <v/>
      </c>
    </row>
    <row r="167" spans="1:9" ht="15.6" customHeight="1" x14ac:dyDescent="0.25">
      <c r="A167" s="510"/>
      <c r="B167" s="534"/>
      <c r="C167" s="226" t="s">
        <v>225</v>
      </c>
      <c r="D167" s="61"/>
      <c r="E167" s="198"/>
      <c r="F167" s="231" t="str">
        <f>IF(E167="","",IF(LEFT('Quantification Tool'!$B$10,1)="B",IF(E167&lt;=1,0,IF(E167&gt;=2.2,1,ROUND(IF(E167&lt;1.4,E167*'Reference Curves'!$K$117+'Reference Curves'!$K$118,E167*'Reference Curves'!$L$117+'Reference Curves'!$L$118),2))),
IF(LEFT('Quantification Tool'!$B$10,1)="C",IF(E167&lt;1.7,0,IF(E167&gt;=4.4,1,ROUND(IF(E167&lt;2.4,E167*'Reference Curves'!$K$47+'Reference Curves'!$K$48,E167*'Reference Curves'!$L$47+'Reference Curves'!$L$48),2))),
IF(LEFT('Quantification Tool'!$B$10,1)="E",IF(E167&lt;1.7,0,IF(E167&gt;=6.5,1,ROUND(IF(E167&lt;2.4,E167*'Reference Curves'!$K$82+'Reference Curves'!$K$83,E167*'Reference Curves'!$L$82+'Reference Curves'!$L$83),2)))) )     ))</f>
        <v/>
      </c>
      <c r="G167" s="527"/>
      <c r="H167" s="494"/>
      <c r="I167" s="497"/>
    </row>
    <row r="168" spans="1:9" ht="15.6" customHeight="1" x14ac:dyDescent="0.25">
      <c r="A168" s="511"/>
      <c r="B168" s="211" t="s">
        <v>210</v>
      </c>
      <c r="C168" s="225" t="s">
        <v>270</v>
      </c>
      <c r="D168" s="203"/>
      <c r="E168" s="140"/>
      <c r="F168" s="232" t="str">
        <f>IF(E168="","", IF(E168&gt;=180,0, IF(E168=100,1, ROUND(IF(E168&gt;100, E168*'Reference Curves'!$L$151+'Reference Curves'!$L$152, IF(E166&gt;1.2,IF(E168&lt;=20,0,E168*'Reference Curves'!$K$151+'Reference Curves'!$K$152),1) ),2))))</f>
        <v/>
      </c>
      <c r="G168" s="253" t="str">
        <f>IFERROR(AVERAGE(F168:F168),"")</f>
        <v/>
      </c>
      <c r="H168" s="495"/>
      <c r="I168" s="498"/>
    </row>
    <row r="169" spans="1:9" ht="15.75" x14ac:dyDescent="0.25">
      <c r="A169" s="507" t="s">
        <v>17</v>
      </c>
      <c r="B169" s="200" t="s">
        <v>231</v>
      </c>
      <c r="C169" s="212" t="s">
        <v>228</v>
      </c>
      <c r="D169" s="213"/>
      <c r="E169" s="34"/>
      <c r="F169" s="237" t="str">
        <f>IF(E169="","",IF('Quantification Tool'!$B$17="Alaska Range",ROUND(IF(E169&lt;=0.05,0, IF(E169&gt;=6.3,1,IF(E169&lt;=1.5,'Reference Curves'!$S$16*E169+'Reference Curves'!$S$17, 'Reference Curves'!$T$16*E169+'Reference Curves'!$T$17))),2),
IF('Quantification Tool'!$B$17="Brooks Range",ROUND(IF(E169&gt;=4.2,1,IF(E169&lt;0.03,0, IF(E169&lt;=1.2,'Reference Curves'!$U$16*E169+'Reference Curves'!$U$17, 'Reference Curves'!$V$16*E169+'Reference Curves'!$V$17))),2),
IF(OR('Quantification Tool'!$B$17="Interior Bottomlands",'Quantification Tool'!$B$17="Yukon Flats"),ROUND(IF(E169&gt;=54.5,1,IF(E169&lt;=3.7,'Reference Curves'!$S$51*E169+'Reference Curves'!$S$52, IF(E169&lt;4.7, 'Reference Curves'!$T$51*E169+'Reference Curves'!$T$52, 'Reference Curves'!$U$51*E169+'Reference Curves'!$U$52))),2),
IF(OR('Quantification Tool'!$B$17="Interior Forested Lowlands/Uplands",'Quantification Tool'!$B$17="Interior Highlands"),ROUND(IF(E169=0,0,IF(E169&gt;=24.1,1,IF(E169&lt;=1.3,'Reference Curves'!$V$51*E169+'Reference Curves'!$V$52, 'Reference Curves'!$W$51*E169+'Reference Curves'!$W$52))),2))))))</f>
        <v/>
      </c>
      <c r="G169" s="214" t="str">
        <f>IFERROR(AVERAGE(F169:F169),"")</f>
        <v/>
      </c>
      <c r="H169" s="521" t="str">
        <f>IFERROR(ROUND(AVERAGE(G169:G179),2),"")</f>
        <v/>
      </c>
      <c r="I169" s="523" t="str">
        <f>IF(H169="","",IF(H169&gt;0.69,"Functioning",IF(H169&gt;0.29,"Functioning At Risk",IF(H169&gt;-1,"Not Functioning"))))</f>
        <v/>
      </c>
    </row>
    <row r="170" spans="1:9" ht="15.75" x14ac:dyDescent="0.25">
      <c r="A170" s="508"/>
      <c r="B170" s="508" t="s">
        <v>157</v>
      </c>
      <c r="C170" s="130" t="s">
        <v>40</v>
      </c>
      <c r="D170" s="63"/>
      <c r="E170" s="238"/>
      <c r="F170" s="115" t="str">
        <f>IF(E170="","",IF(OR(E170="Ex/Ex",E170="Ex/VH",E170="Ex/H",E170="Ex/M",E170="VH/Ex",E170="VH/VH", E170="H/Ex",E170="H/VH"),0, IF(OR(E170="M/Ex"),0.1,IF(OR(E170="VH/H",E170="VH/M",E170="H/H",E170="H/M", E170="M/VH"),0.2, IF(OR(E170="Ex/VL",E170="Ex/L", E170="M/H"),0.3, IF(OR(E170="VH/L",E170="H/L"),0.4, IF(OR(E170="VH/VL",E170="H/VL",E170="M/M"),0.5, IF(OR(E170="M/L",E170="L/Ex"),0.6, IF(OR(E170="M/VL",E170="L/VH", E170="L/H",E170="L/M",E170="L/L",E170="L/VL",LEFT(E170)="V"),1)))))))))</f>
        <v/>
      </c>
      <c r="G170" s="522" t="str">
        <f>IFERROR(IF(E172&gt;50,0,AVERAGE(F170:F172)),"")</f>
        <v/>
      </c>
      <c r="H170" s="522"/>
      <c r="I170" s="524"/>
    </row>
    <row r="171" spans="1:9" ht="15.75" x14ac:dyDescent="0.25">
      <c r="A171" s="508"/>
      <c r="B171" s="508"/>
      <c r="C171" s="131" t="s">
        <v>65</v>
      </c>
      <c r="D171" s="125"/>
      <c r="E171" s="141"/>
      <c r="F171" s="115" t="str">
        <f>IF(E171="","",ROUND(IF(E171&gt;=75,0,IF(E171&lt;=5,1,IF(E171&gt;10,E171*'Reference Curves'!S$85+'Reference Curves'!S$86,'Reference Curves'!$T$85*E171+'Reference Curves'!$T$86))),2))</f>
        <v/>
      </c>
      <c r="G171" s="522"/>
      <c r="H171" s="522"/>
      <c r="I171" s="524"/>
    </row>
    <row r="172" spans="1:9" ht="15.75" x14ac:dyDescent="0.25">
      <c r="A172" s="508"/>
      <c r="B172" s="520"/>
      <c r="C172" s="132" t="s">
        <v>203</v>
      </c>
      <c r="D172" s="126"/>
      <c r="E172" s="60"/>
      <c r="F172" s="116" t="str">
        <f>IF(E172="","",IF(E172&gt;=30,0,ROUND(E172*'Reference Curves'!$S$116+'Reference Curves'!$S$117,2)))</f>
        <v/>
      </c>
      <c r="G172" s="525"/>
      <c r="H172" s="522"/>
      <c r="I172" s="524"/>
    </row>
    <row r="173" spans="1:9" ht="15.75" x14ac:dyDescent="0.25">
      <c r="A173" s="508"/>
      <c r="B173" s="270" t="s">
        <v>82</v>
      </c>
      <c r="C173" s="9" t="s">
        <v>256</v>
      </c>
      <c r="D173" s="63"/>
      <c r="E173" s="60"/>
      <c r="F173" s="65" t="str">
        <f>IF(E173="","",IF(OR('Quantification Tool'!B$15="Cobble",'Quantification Tool'!B$15="Boulders",'Quantification Tool'!B$15="Bedrock"),ROUND(IF(E173&lt;=0,1,IF(E173&gt;=13.7,0, IF(E173&gt;5,E173*'Reference Curves'!$U$150+'Reference Curves'!$U$151,  E173*'Reference Curves'!$V$150+'Reference Curves'!$V$151))),2),
IF('Quantification Tool'!B$15="Gravel",ROUND(IF(E173&lt;=3,1,IF(E173&gt;=54,0, IF(E173&gt;15,E173*'Reference Curves'!$S$150+'Reference Curves'!$S$151,  E173*'Reference Curves'!$T$150+'Reference Curves'!$T$151))),2))))</f>
        <v/>
      </c>
      <c r="G173" s="65" t="str">
        <f>IFERROR(AVERAGE(F173),"")</f>
        <v/>
      </c>
      <c r="H173" s="522"/>
      <c r="I173" s="524"/>
    </row>
    <row r="174" spans="1:9" ht="15.75" x14ac:dyDescent="0.25">
      <c r="A174" s="508"/>
      <c r="B174" s="507" t="s">
        <v>42</v>
      </c>
      <c r="C174" s="8" t="s">
        <v>229</v>
      </c>
      <c r="D174" s="62"/>
      <c r="E174" s="66"/>
      <c r="F174" s="67" t="str">
        <f>IF(E174="","", IF(LEFT('Quantification Tool'!$B$10,1)="C", IF(OR(E174&lt;=3,E174&gt;=9.3),0,IF(AND(E174&gt;=4,E174&lt;=6),1,IF(E174&lt;4, ROUND(E174*'Reference Curves'!$S$250+'Reference Curves'!$S$251,2), ROUND(E174*'Reference Curves'!$T$250+'Reference Curves'!$T$251,2)))),
IF(LEFT('Quantification Tool'!$B$10,1)="E", IF(OR(E174&lt;=1.8,E174&gt;=8.3),0,IF(AND(E174&gt;=3.5,E174&lt;=5),1,IF(E174&lt;3.5, ROUND(E174*'Reference Curves'!$S$283+'Reference Curves'!$S$284,2), ROUND(E174*'Reference Curves'!$T$283+'Reference Curves'!$T$284,2)))),
IF(OR('Quantification Tool'!$B$10="B",'Quantification Tool'!$B$10="Ba"), IF(E174&gt;=6,0, IF(E174&lt;=2, 1, IF(E174&gt;3.9, ROUND(E174*'Reference Curves'!$S$185+'Reference Curves'!$S$186,2), ROUND(E174*'Reference Curves'!$T$185+'Reference Curves'!$T$186,2)))),
IF('Quantification Tool'!$B$10="Bc",  IF(E174&gt;12,0, IF(E174&lt;=3.4, 1, ROUND(E174*'Reference Curves'!$S$217+'Reference Curves'!$S$218,2))))))))</f>
        <v/>
      </c>
      <c r="G174" s="518" t="str">
        <f>IFERROR(AVERAGE(F174:F176),"")</f>
        <v/>
      </c>
      <c r="H174" s="522"/>
      <c r="I174" s="524"/>
    </row>
    <row r="175" spans="1:9" ht="15.75" x14ac:dyDescent="0.25">
      <c r="A175" s="508"/>
      <c r="B175" s="508"/>
      <c r="C175" s="105" t="s">
        <v>230</v>
      </c>
      <c r="D175" s="63"/>
      <c r="E175" s="64"/>
      <c r="F175" s="68" t="str">
        <f>IF(E175="","",IF(OR('Quantification Tool'!$B$10="B",'Quantification Tool'!$B$10="Ba"),ROUND(IF(E175&lt;=1,0,IF(E175&gt;=2.8,1,IF(E175&lt;1.8,E175*'Reference Curves'!$S$318+'Reference Curves'!$S$319,E175*'Reference Curves'!$T$318+'Reference Curves'!$T$319))),2),
ROUND(IF(E175&lt;=1,0,IF(E175&gt;=3.2,1,IF(E175&lt;2.2,E175*'Reference Curves'!$U$318+'Reference Curves'!$U$319,E175*'Reference Curves'!$V$318+'Reference Curves'!$V$319))),2)))</f>
        <v/>
      </c>
      <c r="G175" s="519"/>
      <c r="H175" s="522"/>
      <c r="I175" s="524"/>
    </row>
    <row r="176" spans="1:9" ht="15.75" x14ac:dyDescent="0.25">
      <c r="A176" s="508"/>
      <c r="B176" s="508"/>
      <c r="C176" s="105" t="s">
        <v>142</v>
      </c>
      <c r="D176" s="63"/>
      <c r="E176" s="64"/>
      <c r="F176" s="302" t="str">
        <f>IF(E176="","",IF('Quantification Tool'!$B$16&gt;=3,IF(OR(E176&lt;=0,E176&gt;=100),0,IF(AND(E176&gt;=68,E176&lt;=85),1,IF(E176&lt;68,IF(E176&lt;62,ROUND(E176*'Reference Curves'!$S$352+'Reference Curves'!$S$353,2),ROUND(E176*'Reference Curves'!$T$352+'Reference Curves'!$T$353,2)),
IF(E176&gt;87,ROUND(E176*'Reference Curves'!$U$352+'Reference Curves'!$U$353,2),ROUND(E176*'Reference Curves'!$V$352+'Reference Curves'!$V$353,2))))),
IF('Quantification Tool'!$B$16&lt;&gt;0,IF(OR(E176&lt;=0,E176&gt;=100),0,IF(AND(E176&lt;=60,E176&gt;=50),1,IF(E176&lt;50,IF(E176&lt;39,ROUND(E176*'Reference Curves'!$S$386+'Reference Curves'!$S$387,2),ROUND(E176*'Reference Curves'!$T$386+'Reference Curves'!$T$387,2)),
IF(E176&gt;69,ROUND(E176*'Reference Curves'!$U$386+'Reference Curves'!$U$387,2),ROUND(E176*'Reference Curves'!$V$386+'Reference Curves'!$V$387,2))))))))</f>
        <v/>
      </c>
      <c r="G176" s="519"/>
      <c r="H176" s="522"/>
      <c r="I176" s="524"/>
    </row>
    <row r="177" spans="1:9" ht="15.75" x14ac:dyDescent="0.25">
      <c r="A177" s="508"/>
      <c r="B177" s="507" t="s">
        <v>41</v>
      </c>
      <c r="C177" s="8" t="s">
        <v>332</v>
      </c>
      <c r="D177" s="128"/>
      <c r="E177" s="129"/>
      <c r="F177" s="124" t="str">
        <f>IF(E177="","",IF('Quantification Tool'!$B$11="Unconfined Alluvial",IF(E177&gt;=100,1,IF(E177&lt;0,0,ROUND('Reference Curves'!$S$420*E177+'Reference Curves'!$S$421,2))),IF(OR('Quantification Tool'!$B$11="Confined Alluvial",'Quantification Tool'!$B$11="Colluvial/V-Shaped"),(IF(E177&gt;=100,1,IF(E177&lt;0,0,IF(E177&lt;60,ROUND('Reference Curves'!$T$420*E177+'Reference Curves'!$T$421,2), ROUND('Reference Curves'!$U$420*E177+'Reference Curves'!$U$421,2))))))))</f>
        <v/>
      </c>
      <c r="G177" s="518" t="str">
        <f>IFERROR(AVERAGE(F177:F179),"")</f>
        <v/>
      </c>
      <c r="H177" s="522"/>
      <c r="I177" s="524"/>
    </row>
    <row r="178" spans="1:9" ht="15.75" x14ac:dyDescent="0.25">
      <c r="A178" s="508"/>
      <c r="B178" s="508"/>
      <c r="C178" s="105" t="s">
        <v>251</v>
      </c>
      <c r="D178" s="123"/>
      <c r="E178" s="127"/>
      <c r="F178" s="68" t="str">
        <f>IF(E178="","",IF(OR('Quantification Tool'!$B$17="Alaska Range",'Quantification Tool'!$B$17="Brooks Range"),ROUND(IF(E178&gt;=1.57,1,IF(E178&lt;=0.06,'Reference Curves'!$S$455*E178+'Reference Curves'!$S$456, IF(E178&lt;0.83, 'Reference Curves'!$T$455*E178+'Reference Curves'!$T$456, 'Reference Curves'!$U$455*E178+'Reference Curves'!$U$456))),2),
IF('Quantification Tool'!$B$17="Interior Highlands",ROUND(IF(E178&gt;=1.67,1,IF(E178&lt;=0.94,'Reference Curves'!$V$455*E178+'Reference Curves'!$V$456, IF(E178&lt;1.21, 'Reference Curves'!$W$455*E178+'Reference Curves'!$W$456, 'Reference Curves'!$X$455*E178+'Reference Curves'!$X$456))),2),
IF(OR('Quantification Tool'!$B$17="Interior Bottomlands",'Quantification Tool'!$B$17="Yukon Flats"),ROUND(IF(E178&gt;=1.82,1,IF(E178&lt;=1.19,'Reference Curves'!$S$490*E178+'Reference Curves'!$S$491, IF(E178&lt;1.37, 'Reference Curves'!$T$490*E178+'Reference Curves'!$T$491, 'Reference Curves'!$U$490*E178+'Reference Curves'!$U$491))),2),
IF('Quantification Tool'!$B$17="Interior Forested Lowlands/Uplands",ROUND(IF(E178&gt;=1.87,1,IF(E178&lt;=1.24,'Reference Curves'!$V$490*E178+'Reference Curves'!$V$491, IF(E178&lt;1.45, 'Reference Curves'!$W$490*E178+'Reference Curves'!$W$491, 'Reference Curves'!$X$490*E178+'Reference Curves'!$X$491))),2))))))</f>
        <v/>
      </c>
      <c r="G178" s="519"/>
      <c r="H178" s="522"/>
      <c r="I178" s="524"/>
    </row>
    <row r="179" spans="1:9" ht="15.75" x14ac:dyDescent="0.25">
      <c r="A179" s="508"/>
      <c r="B179" s="508"/>
      <c r="C179" s="105" t="s">
        <v>325</v>
      </c>
      <c r="D179" s="123"/>
      <c r="E179" s="127"/>
      <c r="F179" s="68" t="str">
        <f>IF(E179="","",IF(E179&lt;83.5,0,IF(E179&gt;=100,1, ROUND(E179*'Reference Curves'!$S$521+'Reference Curves'!$S$522,2))))</f>
        <v/>
      </c>
      <c r="G179" s="519"/>
      <c r="H179" s="522"/>
      <c r="I179" s="524"/>
    </row>
    <row r="180" spans="1:9" ht="15.75" x14ac:dyDescent="0.25">
      <c r="A180" s="513" t="s">
        <v>47</v>
      </c>
      <c r="B180" s="268" t="s">
        <v>60</v>
      </c>
      <c r="C180" s="274" t="s">
        <v>341</v>
      </c>
      <c r="D180" s="275"/>
      <c r="E180" s="59"/>
      <c r="F180" s="171" t="str">
        <f>IF(E180="","",IF(E180&lt;=1.1,1,IF(E180&gt;1.315,0,ROUND(E180*'Reference Curves'!$AA$13+'Reference Curves'!$AA$14,2))))</f>
        <v/>
      </c>
      <c r="G180" s="269" t="str">
        <f>IFERROR(AVERAGE(F180:F180),"")</f>
        <v/>
      </c>
      <c r="H180" s="530" t="str">
        <f>IFERROR(ROUND(AVERAGE(G180:G182),2),"")</f>
        <v/>
      </c>
      <c r="I180" s="487" t="str">
        <f>IF(H180="","",IF(H180&gt;0.69,"Functioning",IF(H180&gt;0.29,"Functioning At Risk",IF(H180&gt;-1,"Not Functioning"))))</f>
        <v/>
      </c>
    </row>
    <row r="181" spans="1:9" ht="15.75" x14ac:dyDescent="0.25">
      <c r="A181" s="514"/>
      <c r="B181" s="172" t="s">
        <v>259</v>
      </c>
      <c r="C181" s="274" t="s">
        <v>342</v>
      </c>
      <c r="D181" s="275"/>
      <c r="E181" s="34"/>
      <c r="F181" s="171" t="str">
        <f>IF(E181="","",IF(E181&lt;=3.2,1,IF(E181&gt;=100,0,ROUND(IF(E181&gt;10,E181*'Reference Curves'!$AA$46+'Reference Curves'!$AA$47,E181*'Reference Curves'!$AB$46+'Reference Curves'!$AB$47),2))))</f>
        <v/>
      </c>
      <c r="G181" s="171" t="str">
        <f>IFERROR(AVERAGE(F181),"")</f>
        <v/>
      </c>
      <c r="H181" s="531"/>
      <c r="I181" s="487"/>
    </row>
    <row r="182" spans="1:9" ht="15.75" x14ac:dyDescent="0.25">
      <c r="A182" s="515"/>
      <c r="B182" s="172" t="s">
        <v>260</v>
      </c>
      <c r="C182" s="169" t="s">
        <v>359</v>
      </c>
      <c r="D182" s="170"/>
      <c r="E182" s="34"/>
      <c r="F182" s="171" t="str">
        <f>IF(E182="","",IF(E182&gt;=75,1,IF(E182&lt;19,0,ROUND(E182*'Reference Curves'!$AA$79+'Reference Curves'!$AA$80,2))))</f>
        <v/>
      </c>
      <c r="G182" s="171" t="str">
        <f>IFERROR(AVERAGE(F182),"")</f>
        <v/>
      </c>
      <c r="H182" s="532"/>
      <c r="I182" s="487"/>
    </row>
    <row r="183" spans="1:9" ht="15.75" x14ac:dyDescent="0.25">
      <c r="A183" s="499" t="s">
        <v>48</v>
      </c>
      <c r="B183" s="145" t="s">
        <v>109</v>
      </c>
      <c r="C183" s="144" t="s">
        <v>370</v>
      </c>
      <c r="D183" s="70"/>
      <c r="E183" s="59"/>
      <c r="F183" s="239" t="str">
        <f>IF(E183="","", ROUND(IF(E183&gt;=81,0,IF(E183&lt;=36,1,IF(E183&gt;62,E183*'Reference Curves'!$AJ$14+'Reference Curves'!$AJ$15,IF(E183&gt;43,E183*'Reference Curves'!$AK$14+'Reference Curves'!$AK$15,E183*'Reference Curves'!$AL$14+'Reference Curves'!$AL$15)))),2))</f>
        <v/>
      </c>
      <c r="G183" s="146" t="str">
        <f>IFERROR(AVERAGE(F183),"")</f>
        <v/>
      </c>
      <c r="H183" s="505" t="str">
        <f>IFERROR(ROUND(AVERAGE(G183:G186),2),"")</f>
        <v/>
      </c>
      <c r="I183" s="487" t="str">
        <f>IF(H183="","",IF(H183&gt;0.69,"Functioning",IF(H183&gt;0.29,"Functioning At Risk",IF(H183&gt;-1,"Not Functioning"))))</f>
        <v/>
      </c>
    </row>
    <row r="184" spans="1:9" ht="15.75" x14ac:dyDescent="0.25">
      <c r="A184" s="500"/>
      <c r="B184" s="502" t="s">
        <v>56</v>
      </c>
      <c r="C184" s="144" t="s">
        <v>333</v>
      </c>
      <c r="D184" s="70"/>
      <c r="E184" s="66"/>
      <c r="F184" s="229" t="str">
        <f>IF(E184="","", IF('Quantification Tool'!$B$18="Anadromous",ROUND(IF(E184&lt;=0,0,IF(E184&gt;=100,1,IF(E184&lt;80,E184*'Reference Curves'!$AJ$48+'Reference Curves'!$AJ$49,E184*'Reference Curves'!$AK$48+'Reference Curves'!$AK$49))),2),
IF('Quantification Tool'!$B$18="Non-anadromous",ROUND(IF(E184&lt;=0,0,IF(E184&gt;=100,1,IF(E184&lt;60,E184*'Reference Curves'!$AL$48+'Reference Curves'!$AL$49,E184*'Reference Curves'!$AM$48+'Reference Curves'!$AM$49))),2))))</f>
        <v/>
      </c>
      <c r="G184" s="488" t="str">
        <f>IFERROR(AVERAGE(F184:F186),"")</f>
        <v/>
      </c>
      <c r="H184" s="506"/>
      <c r="I184" s="487"/>
    </row>
    <row r="185" spans="1:9" ht="15.75" x14ac:dyDescent="0.25">
      <c r="A185" s="500"/>
      <c r="B185" s="503"/>
      <c r="C185" s="362" t="s">
        <v>343</v>
      </c>
      <c r="D185" s="363"/>
      <c r="E185" s="64"/>
      <c r="F185" s="239" t="str">
        <f>IF(E185="","",IF(E185&lt;0,0,IF(E185&gt;=0.9,1,ROUND(E185*'Reference Curves'!$AJ$81+'Reference Curves'!$AJ$82,2))))</f>
        <v/>
      </c>
      <c r="G185" s="488"/>
      <c r="H185" s="506"/>
      <c r="I185" s="487"/>
    </row>
    <row r="186" spans="1:9" ht="15.75" x14ac:dyDescent="0.25">
      <c r="A186" s="501"/>
      <c r="B186" s="504"/>
      <c r="C186" s="228" t="s">
        <v>233</v>
      </c>
      <c r="D186" s="230"/>
      <c r="E186" s="277"/>
      <c r="F186" s="71" t="str">
        <f>IF(E186="","",IF(E186&lt;0,0,IF(E186&gt;=0.9,1,ROUND(E186*'Reference Curves'!$AJ$81+'Reference Curves'!$AJ$82,2))))</f>
        <v/>
      </c>
      <c r="G186" s="489"/>
      <c r="H186" s="506"/>
      <c r="I186" s="487"/>
    </row>
    <row r="188" spans="1:9" ht="21" x14ac:dyDescent="0.35">
      <c r="A188" s="19" t="s">
        <v>101</v>
      </c>
      <c r="B188" s="121"/>
      <c r="C188" s="122" t="s">
        <v>152</v>
      </c>
      <c r="D188" s="584"/>
      <c r="E188" s="584"/>
      <c r="F188" s="585"/>
      <c r="G188" s="512" t="s">
        <v>12</v>
      </c>
      <c r="H188" s="582"/>
      <c r="I188" s="583"/>
    </row>
    <row r="189" spans="1:9" ht="15.75" x14ac:dyDescent="0.25">
      <c r="A189" s="25" t="s">
        <v>1</v>
      </c>
      <c r="B189" s="25" t="s">
        <v>2</v>
      </c>
      <c r="C189" s="112" t="s">
        <v>3</v>
      </c>
      <c r="D189" s="113"/>
      <c r="E189" s="25" t="s">
        <v>10</v>
      </c>
      <c r="F189" s="25" t="s">
        <v>11</v>
      </c>
      <c r="G189" s="25" t="s">
        <v>13</v>
      </c>
      <c r="H189" s="25" t="s">
        <v>14</v>
      </c>
      <c r="I189" s="25" t="s">
        <v>14</v>
      </c>
    </row>
    <row r="190" spans="1:9" ht="15.75" customHeight="1" x14ac:dyDescent="0.25">
      <c r="A190" s="480" t="s">
        <v>161</v>
      </c>
      <c r="B190" s="448" t="s">
        <v>258</v>
      </c>
      <c r="C190" s="137" t="s">
        <v>138</v>
      </c>
      <c r="D190" s="138"/>
      <c r="E190" s="66"/>
      <c r="F190" s="264" t="str">
        <f>IF(E190="","",ROUND(IF(E190&gt;=86,0,IF(E190&lt;=9,1,IF(E190&gt;22,E190*'Reference Curves'!$C$14+'Reference Curves'!$C$15,IF(E190&gt;16,E190*'Reference Curves'!$D$14+'Reference Curves'!$D$15,E190*'Reference Curves'!$E$14+'Reference Curves'!$E$15)))),2))</f>
        <v/>
      </c>
      <c r="G190" s="457" t="str">
        <f>IFERROR(AVERAGE(F190:F192),"")</f>
        <v/>
      </c>
      <c r="H190" s="457" t="str">
        <f>IFERROR(ROUND(AVERAGE(G190:G196),2),"")</f>
        <v/>
      </c>
      <c r="I190" s="496" t="str">
        <f>IF(H190="","",IF(H190:H196&gt;0.69,"Functioning",IF(H190&gt;0.29,"Functioning At Risk",IF(H190&gt;-1,"Not Functioning"))))</f>
        <v/>
      </c>
    </row>
    <row r="191" spans="1:9" ht="15.75" customHeight="1" x14ac:dyDescent="0.25">
      <c r="A191" s="481"/>
      <c r="B191" s="449"/>
      <c r="C191" s="156" t="s">
        <v>257</v>
      </c>
      <c r="D191" s="254"/>
      <c r="E191" s="64"/>
      <c r="F191" s="265" t="str">
        <f>IF(E191="","",ROUND(IF(E191&gt;33.5,0,IF(E191&lt;=0,1,E191*'Reference Curves'!$C$44+'Reference Curves'!$C$45)),2))</f>
        <v/>
      </c>
      <c r="G191" s="458"/>
      <c r="H191" s="458"/>
      <c r="I191" s="497"/>
    </row>
    <row r="192" spans="1:9" ht="15.75" customHeight="1" x14ac:dyDescent="0.25">
      <c r="A192" s="481"/>
      <c r="B192" s="450"/>
      <c r="C192" s="178" t="s">
        <v>324</v>
      </c>
      <c r="D192" s="255"/>
      <c r="E192" s="69"/>
      <c r="F192" s="265" t="str">
        <f>IF(E192="","",ROUND(IF(E192&gt;=61,0,IF(E192&lt;=0,1,IF(E192&gt;35,E192*'Reference Curves'!$C$75+'Reference Curves'!$C$76,E192*'Reference Curves'!$D$75+'Reference Curves'!$D$76))),2))</f>
        <v/>
      </c>
      <c r="G192" s="459"/>
      <c r="H192" s="458"/>
      <c r="I192" s="497"/>
    </row>
    <row r="193" spans="1:9" ht="15.75" customHeight="1" x14ac:dyDescent="0.25">
      <c r="A193" s="481"/>
      <c r="B193" s="451" t="s">
        <v>95</v>
      </c>
      <c r="C193" s="137" t="s">
        <v>138</v>
      </c>
      <c r="D193" s="280"/>
      <c r="E193" s="57"/>
      <c r="F193" s="139" t="str">
        <f>IF(E193="","",ROUND(IF(E193&gt;=86,0,IF(E193&lt;=9,1,IF(E193&gt;22,E193*'Reference Curves'!$C$14+'Reference Curves'!$C$15,IF(E193&gt;16,E193*'Reference Curves'!$D$14+'Reference Curves'!$D$15,E193*'Reference Curves'!$E$14+'Reference Curves'!$E$15)))),2))</f>
        <v/>
      </c>
      <c r="G193" s="457" t="str">
        <f>IFERROR(AVERAGE(F193:F196),"")</f>
        <v/>
      </c>
      <c r="H193" s="458"/>
      <c r="I193" s="497"/>
    </row>
    <row r="194" spans="1:9" ht="15.75" customHeight="1" x14ac:dyDescent="0.25">
      <c r="A194" s="481"/>
      <c r="B194" s="452"/>
      <c r="C194" s="156" t="s">
        <v>257</v>
      </c>
      <c r="D194" s="281"/>
      <c r="E194" s="57"/>
      <c r="F194" s="265" t="str">
        <f>IF(E194="","",ROUND(IF(E194&gt;33.5,0,IF(E194&lt;=0,1,E194*'Reference Curves'!$C$44+'Reference Curves'!$C$45)),2))</f>
        <v/>
      </c>
      <c r="G194" s="458"/>
      <c r="H194" s="458"/>
      <c r="I194" s="497"/>
    </row>
    <row r="195" spans="1:9" ht="15.75" x14ac:dyDescent="0.25">
      <c r="A195" s="481"/>
      <c r="B195" s="452"/>
      <c r="C195" s="156" t="s">
        <v>324</v>
      </c>
      <c r="D195" s="281"/>
      <c r="E195" s="57"/>
      <c r="F195" s="265" t="str">
        <f>IF(E195="","",ROUND(IF(E195&gt;=61,0,IF(E195&lt;=0,1,IF(E195&gt;35,E195*'Reference Curves'!$C$75+'Reference Curves'!$C$76,E195*'Reference Curves'!$D$75+'Reference Curves'!$D$76))),2))</f>
        <v/>
      </c>
      <c r="G195" s="458"/>
      <c r="H195" s="458"/>
      <c r="I195" s="497"/>
    </row>
    <row r="196" spans="1:9" ht="15.6" customHeight="1" x14ac:dyDescent="0.25">
      <c r="A196" s="482"/>
      <c r="B196" s="453"/>
      <c r="C196" s="178" t="s">
        <v>227</v>
      </c>
      <c r="D196" s="179"/>
      <c r="E196" s="57"/>
      <c r="F196" s="157" t="str">
        <f>IF(E196="","",   IF(E196&gt;3.35,0, IF(E196&lt;0, "", ROUND('Reference Curves'!$C$105*E196+'Reference Curves'!$C$106,2))))</f>
        <v/>
      </c>
      <c r="G196" s="459"/>
      <c r="H196" s="458"/>
      <c r="I196" s="498"/>
    </row>
    <row r="197" spans="1:9" ht="15" customHeight="1" x14ac:dyDescent="0.25">
      <c r="A197" s="509" t="s">
        <v>160</v>
      </c>
      <c r="B197" s="533" t="s">
        <v>5</v>
      </c>
      <c r="C197" s="227" t="s">
        <v>226</v>
      </c>
      <c r="D197" s="204"/>
      <c r="E197" s="59"/>
      <c r="F197" s="205" t="str">
        <f>IF(E197="","",ROUND(IF(OR(E197&gt;1.71, E197&lt;0.34),0,IF(E197&lt;=1,1,E197*'Reference Curves'!K$13+'Reference Curves'!K$14)),2))</f>
        <v/>
      </c>
      <c r="G197" s="526" t="str">
        <f>IFERROR(AVERAGE(F197:F198),"")</f>
        <v/>
      </c>
      <c r="H197" s="493" t="str">
        <f>IFERROR(ROUND(AVERAGE(G197:G199),2),"")</f>
        <v/>
      </c>
      <c r="I197" s="496" t="str">
        <f>IF(H197="","",IF(H197&gt;0.69,"Functioning",IF(H197&gt;0.29,"Functioning At Risk",IF(H197&gt;-1,"Not Functioning"))))</f>
        <v/>
      </c>
    </row>
    <row r="198" spans="1:9" ht="15.6" customHeight="1" x14ac:dyDescent="0.25">
      <c r="A198" s="510"/>
      <c r="B198" s="534"/>
      <c r="C198" s="226" t="s">
        <v>225</v>
      </c>
      <c r="D198" s="61"/>
      <c r="E198" s="198"/>
      <c r="F198" s="231" t="str">
        <f>IF(E198="","",IF(LEFT('Quantification Tool'!$B$10,1)="B",IF(E198&lt;=1,0,IF(E198&gt;=2.2,1,ROUND(IF(E198&lt;1.4,E198*'Reference Curves'!$K$117+'Reference Curves'!$K$118,E198*'Reference Curves'!$L$117+'Reference Curves'!$L$118),2))),
IF(LEFT('Quantification Tool'!$B$10,1)="C",IF(E198&lt;1.7,0,IF(E198&gt;=4.4,1,ROUND(IF(E198&lt;2.4,E198*'Reference Curves'!$K$47+'Reference Curves'!$K$48,E198*'Reference Curves'!$L$47+'Reference Curves'!$L$48),2))),
IF(LEFT('Quantification Tool'!$B$10,1)="E",IF(E198&lt;1.7,0,IF(E198&gt;=6.5,1,ROUND(IF(E198&lt;2.4,E198*'Reference Curves'!$K$82+'Reference Curves'!$K$83,E198*'Reference Curves'!$L$82+'Reference Curves'!$L$83),2)))) )     ))</f>
        <v/>
      </c>
      <c r="G198" s="527"/>
      <c r="H198" s="494"/>
      <c r="I198" s="497"/>
    </row>
    <row r="199" spans="1:9" ht="15.6" customHeight="1" x14ac:dyDescent="0.25">
      <c r="A199" s="511"/>
      <c r="B199" s="211" t="s">
        <v>210</v>
      </c>
      <c r="C199" s="225" t="s">
        <v>270</v>
      </c>
      <c r="D199" s="203"/>
      <c r="E199" s="140"/>
      <c r="F199" s="232" t="str">
        <f>IF(E199="","", IF(E199&gt;=180,0, IF(E199=100,1, ROUND(IF(E199&gt;100, E199*'Reference Curves'!$L$151+'Reference Curves'!$L$152, IF(E197&gt;1.2,IF(E199&lt;=20,0,E199*'Reference Curves'!$K$151+'Reference Curves'!$K$152),1) ),2))))</f>
        <v/>
      </c>
      <c r="G199" s="253" t="str">
        <f>IFERROR(AVERAGE(F199:F199),"")</f>
        <v/>
      </c>
      <c r="H199" s="495"/>
      <c r="I199" s="498"/>
    </row>
    <row r="200" spans="1:9" ht="15.75" x14ac:dyDescent="0.25">
      <c r="A200" s="507" t="s">
        <v>17</v>
      </c>
      <c r="B200" s="200" t="s">
        <v>231</v>
      </c>
      <c r="C200" s="212" t="s">
        <v>228</v>
      </c>
      <c r="D200" s="213"/>
      <c r="E200" s="34"/>
      <c r="F200" s="237" t="str">
        <f>IF(E200="","",IF('Quantification Tool'!$B$17="Alaska Range",ROUND(IF(E200&lt;=0.05,0, IF(E200&gt;=6.3,1,IF(E200&lt;=1.5,'Reference Curves'!$S$16*E200+'Reference Curves'!$S$17, 'Reference Curves'!$T$16*E200+'Reference Curves'!$T$17))),2),
IF('Quantification Tool'!$B$17="Brooks Range",ROUND(IF(E200&gt;=4.2,1,IF(E200&lt;0.03,0, IF(E200&lt;=1.2,'Reference Curves'!$U$16*E200+'Reference Curves'!$U$17, 'Reference Curves'!$V$16*E200+'Reference Curves'!$V$17))),2),
IF(OR('Quantification Tool'!$B$17="Interior Bottomlands",'Quantification Tool'!$B$17="Yukon Flats"),ROUND(IF(E200&gt;=54.5,1,IF(E200&lt;=3.7,'Reference Curves'!$S$51*E200+'Reference Curves'!$S$52, IF(E200&lt;4.7, 'Reference Curves'!$T$51*E200+'Reference Curves'!$T$52, 'Reference Curves'!$U$51*E200+'Reference Curves'!$U$52))),2),
IF(OR('Quantification Tool'!$B$17="Interior Forested Lowlands/Uplands",'Quantification Tool'!$B$17="Interior Highlands"),ROUND(IF(E200=0,0,IF(E200&gt;=24.1,1,IF(E200&lt;=1.3,'Reference Curves'!$V$51*E200+'Reference Curves'!$V$52, 'Reference Curves'!$W$51*E200+'Reference Curves'!$W$52))),2))))))</f>
        <v/>
      </c>
      <c r="G200" s="214" t="str">
        <f>IFERROR(AVERAGE(F200:F200),"")</f>
        <v/>
      </c>
      <c r="H200" s="521" t="str">
        <f>IFERROR(ROUND(AVERAGE(G200:G210),2),"")</f>
        <v/>
      </c>
      <c r="I200" s="523" t="str">
        <f>IF(H200="","",IF(H200&gt;0.69,"Functioning",IF(H200&gt;0.29,"Functioning At Risk",IF(H200&gt;-1,"Not Functioning"))))</f>
        <v/>
      </c>
    </row>
    <row r="201" spans="1:9" ht="15.75" x14ac:dyDescent="0.25">
      <c r="A201" s="508"/>
      <c r="B201" s="508" t="s">
        <v>157</v>
      </c>
      <c r="C201" s="130" t="s">
        <v>40</v>
      </c>
      <c r="D201" s="63"/>
      <c r="E201" s="238"/>
      <c r="F201" s="115" t="str">
        <f>IF(E201="","",IF(OR(E201="Ex/Ex",E201="Ex/VH",E201="Ex/H",E201="Ex/M",E201="VH/Ex",E201="VH/VH", E201="H/Ex",E201="H/VH"),0, IF(OR(E201="M/Ex"),0.1,IF(OR(E201="VH/H",E201="VH/M",E201="H/H",E201="H/M", E201="M/VH"),0.2, IF(OR(E201="Ex/VL",E201="Ex/L", E201="M/H"),0.3, IF(OR(E201="VH/L",E201="H/L"),0.4, IF(OR(E201="VH/VL",E201="H/VL",E201="M/M"),0.5, IF(OR(E201="M/L",E201="L/Ex"),0.6, IF(OR(E201="M/VL",E201="L/VH", E201="L/H",E201="L/M",E201="L/L",E201="L/VL",LEFT(E201)="V"),1)))))))))</f>
        <v/>
      </c>
      <c r="G201" s="522" t="str">
        <f>IFERROR(IF(E203&gt;50,0,AVERAGE(F201:F203)),"")</f>
        <v/>
      </c>
      <c r="H201" s="522"/>
      <c r="I201" s="524"/>
    </row>
    <row r="202" spans="1:9" ht="15.75" x14ac:dyDescent="0.25">
      <c r="A202" s="508"/>
      <c r="B202" s="508"/>
      <c r="C202" s="131" t="s">
        <v>65</v>
      </c>
      <c r="D202" s="125"/>
      <c r="E202" s="141"/>
      <c r="F202" s="115" t="str">
        <f>IF(E202="","",ROUND(IF(E202&gt;=75,0,IF(E202&lt;=5,1,IF(E202&gt;10,E202*'Reference Curves'!S$85+'Reference Curves'!S$86,'Reference Curves'!$T$85*E202+'Reference Curves'!$T$86))),2))</f>
        <v/>
      </c>
      <c r="G202" s="522"/>
      <c r="H202" s="522"/>
      <c r="I202" s="524"/>
    </row>
    <row r="203" spans="1:9" ht="15.75" x14ac:dyDescent="0.25">
      <c r="A203" s="508"/>
      <c r="B203" s="520"/>
      <c r="C203" s="132" t="s">
        <v>203</v>
      </c>
      <c r="D203" s="126"/>
      <c r="E203" s="60"/>
      <c r="F203" s="116" t="str">
        <f>IF(E203="","",IF(E203&gt;=30,0,ROUND(E203*'Reference Curves'!$S$116+'Reference Curves'!$S$117,2)))</f>
        <v/>
      </c>
      <c r="G203" s="525"/>
      <c r="H203" s="522"/>
      <c r="I203" s="524"/>
    </row>
    <row r="204" spans="1:9" ht="15.75" x14ac:dyDescent="0.25">
      <c r="A204" s="508"/>
      <c r="B204" s="270" t="s">
        <v>82</v>
      </c>
      <c r="C204" s="9" t="s">
        <v>256</v>
      </c>
      <c r="D204" s="63"/>
      <c r="E204" s="60"/>
      <c r="F204" s="65" t="str">
        <f>IF(E204="","",IF(OR('Quantification Tool'!B$15="Cobble",'Quantification Tool'!B$15="Boulders",'Quantification Tool'!B$15="Bedrock"),ROUND(IF(E204&lt;=0,1,IF(E204&gt;=13.7,0, IF(E204&gt;5,E204*'Reference Curves'!$U$150+'Reference Curves'!$U$151,  E204*'Reference Curves'!$V$150+'Reference Curves'!$V$151))),2),
IF('Quantification Tool'!B$15="Gravel",ROUND(IF(E204&lt;=3,1,IF(E204&gt;=54,0, IF(E204&gt;15,E204*'Reference Curves'!$S$150+'Reference Curves'!$S$151,  E204*'Reference Curves'!$T$150+'Reference Curves'!$T$151))),2))))</f>
        <v/>
      </c>
      <c r="G204" s="65" t="str">
        <f>IFERROR(AVERAGE(F204),"")</f>
        <v/>
      </c>
      <c r="H204" s="522"/>
      <c r="I204" s="524"/>
    </row>
    <row r="205" spans="1:9" ht="15.75" x14ac:dyDescent="0.25">
      <c r="A205" s="508"/>
      <c r="B205" s="507" t="s">
        <v>42</v>
      </c>
      <c r="C205" s="8" t="s">
        <v>229</v>
      </c>
      <c r="D205" s="62"/>
      <c r="E205" s="66"/>
      <c r="F205" s="67" t="str">
        <f>IF(E205="","", IF(LEFT('Quantification Tool'!$B$10,1)="C", IF(OR(E205&lt;=3,E205&gt;=9.3),0,IF(AND(E205&gt;=4,E205&lt;=6),1,IF(E205&lt;4, ROUND(E205*'Reference Curves'!$S$250+'Reference Curves'!$S$251,2), ROUND(E205*'Reference Curves'!$T$250+'Reference Curves'!$T$251,2)))),
IF(LEFT('Quantification Tool'!$B$10,1)="E", IF(OR(E205&lt;=1.8,E205&gt;=8.3),0,IF(AND(E205&gt;=3.5,E205&lt;=5),1,IF(E205&lt;3.5, ROUND(E205*'Reference Curves'!$S$283+'Reference Curves'!$S$284,2), ROUND(E205*'Reference Curves'!$T$283+'Reference Curves'!$T$284,2)))),
IF(OR('Quantification Tool'!$B$10="B",'Quantification Tool'!$B$10="Ba"), IF(E205&gt;=6,0, IF(E205&lt;=2, 1, IF(E205&gt;3.9, ROUND(E205*'Reference Curves'!$S$185+'Reference Curves'!$S$186,2), ROUND(E205*'Reference Curves'!$T$185+'Reference Curves'!$T$186,2)))),
IF('Quantification Tool'!$B$10="Bc",  IF(E205&gt;12,0, IF(E205&lt;=3.4, 1, ROUND(E205*'Reference Curves'!$S$217+'Reference Curves'!$S$218,2))))))))</f>
        <v/>
      </c>
      <c r="G205" s="518" t="str">
        <f>IFERROR(AVERAGE(F205:F207),"")</f>
        <v/>
      </c>
      <c r="H205" s="522"/>
      <c r="I205" s="524"/>
    </row>
    <row r="206" spans="1:9" ht="15.75" x14ac:dyDescent="0.25">
      <c r="A206" s="508"/>
      <c r="B206" s="508"/>
      <c r="C206" s="105" t="s">
        <v>230</v>
      </c>
      <c r="D206" s="63"/>
      <c r="E206" s="64"/>
      <c r="F206" s="68" t="str">
        <f>IF(E206="","",IF(OR('Quantification Tool'!$B$10="B",'Quantification Tool'!$B$10="Ba"),ROUND(IF(E206&lt;=1,0,IF(E206&gt;=2.8,1,IF(E206&lt;1.8,E206*'Reference Curves'!$S$318+'Reference Curves'!$S$319,E206*'Reference Curves'!$T$318+'Reference Curves'!$T$319))),2),
ROUND(IF(E206&lt;=1,0,IF(E206&gt;=3.2,1,IF(E206&lt;2.2,E206*'Reference Curves'!$U$318+'Reference Curves'!$U$319,E206*'Reference Curves'!$V$318+'Reference Curves'!$V$319))),2)))</f>
        <v/>
      </c>
      <c r="G206" s="519"/>
      <c r="H206" s="522"/>
      <c r="I206" s="524"/>
    </row>
    <row r="207" spans="1:9" ht="15.75" x14ac:dyDescent="0.25">
      <c r="A207" s="508"/>
      <c r="B207" s="508"/>
      <c r="C207" s="105" t="s">
        <v>142</v>
      </c>
      <c r="D207" s="63"/>
      <c r="E207" s="64"/>
      <c r="F207" s="302" t="str">
        <f>IF(E207="","",IF('Quantification Tool'!$B$16&gt;=3,IF(OR(E207&lt;=0,E207&gt;=100),0,IF(AND(E207&gt;=68,E207&lt;=85),1,IF(E207&lt;68,IF(E207&lt;62,ROUND(E207*'Reference Curves'!$S$352+'Reference Curves'!$S$353,2),ROUND(E207*'Reference Curves'!$T$352+'Reference Curves'!$T$353,2)),
IF(E207&gt;87,ROUND(E207*'Reference Curves'!$U$352+'Reference Curves'!$U$353,2),ROUND(E207*'Reference Curves'!$V$352+'Reference Curves'!$V$353,2))))),
IF('Quantification Tool'!$B$16&lt;&gt;0,IF(OR(E207&lt;=0,E207&gt;=100),0,IF(AND(E207&lt;=60,E207&gt;=50),1,IF(E207&lt;50,IF(E207&lt;39,ROUND(E207*'Reference Curves'!$S$386+'Reference Curves'!$S$387,2),ROUND(E207*'Reference Curves'!$T$386+'Reference Curves'!$T$387,2)),
IF(E207&gt;69,ROUND(E207*'Reference Curves'!$U$386+'Reference Curves'!$U$387,2),ROUND(E207*'Reference Curves'!$V$386+'Reference Curves'!$V$387,2))))))))</f>
        <v/>
      </c>
      <c r="G207" s="519"/>
      <c r="H207" s="522"/>
      <c r="I207" s="524"/>
    </row>
    <row r="208" spans="1:9" ht="15.75" x14ac:dyDescent="0.25">
      <c r="A208" s="508"/>
      <c r="B208" s="507" t="s">
        <v>41</v>
      </c>
      <c r="C208" s="8" t="s">
        <v>332</v>
      </c>
      <c r="D208" s="128"/>
      <c r="E208" s="129"/>
      <c r="F208" s="124" t="str">
        <f>IF(E208="","",IF('Quantification Tool'!$B$11="Unconfined Alluvial",IF(E208&gt;=100,1,IF(E208&lt;0,0,ROUND('Reference Curves'!$S$420*E208+'Reference Curves'!$S$421,2))),IF(OR('Quantification Tool'!$B$11="Confined Alluvial",'Quantification Tool'!$B$11="Colluvial/V-Shaped"),(IF(E208&gt;=100,1,IF(E208&lt;0,0,IF(E208&lt;60,ROUND('Reference Curves'!$T$420*E208+'Reference Curves'!$T$421,2), ROUND('Reference Curves'!$U$420*E208+'Reference Curves'!$U$421,2))))))))</f>
        <v/>
      </c>
      <c r="G208" s="518" t="str">
        <f>IFERROR(AVERAGE(F208:F210),"")</f>
        <v/>
      </c>
      <c r="H208" s="522"/>
      <c r="I208" s="524"/>
    </row>
    <row r="209" spans="1:9" ht="15.75" x14ac:dyDescent="0.25">
      <c r="A209" s="508"/>
      <c r="B209" s="508"/>
      <c r="C209" s="105" t="s">
        <v>251</v>
      </c>
      <c r="D209" s="123"/>
      <c r="E209" s="127"/>
      <c r="F209" s="68" t="str">
        <f>IF(E209="","",IF(OR('Quantification Tool'!$B$17="Alaska Range",'Quantification Tool'!$B$17="Brooks Range"),ROUND(IF(E209&gt;=1.57,1,IF(E209&lt;=0.06,'Reference Curves'!$S$455*E209+'Reference Curves'!$S$456, IF(E209&lt;0.83, 'Reference Curves'!$T$455*E209+'Reference Curves'!$T$456, 'Reference Curves'!$U$455*E209+'Reference Curves'!$U$456))),2),
IF('Quantification Tool'!$B$17="Interior Highlands",ROUND(IF(E209&gt;=1.67,1,IF(E209&lt;=0.94,'Reference Curves'!$V$455*E209+'Reference Curves'!$V$456, IF(E209&lt;1.21, 'Reference Curves'!$W$455*E209+'Reference Curves'!$W$456, 'Reference Curves'!$X$455*E209+'Reference Curves'!$X$456))),2),
IF(OR('Quantification Tool'!$B$17="Interior Bottomlands",'Quantification Tool'!$B$17="Yukon Flats"),ROUND(IF(E209&gt;=1.82,1,IF(E209&lt;=1.19,'Reference Curves'!$S$490*E209+'Reference Curves'!$S$491, IF(E209&lt;1.37, 'Reference Curves'!$T$490*E209+'Reference Curves'!$T$491, 'Reference Curves'!$U$490*E209+'Reference Curves'!$U$491))),2),
IF('Quantification Tool'!$B$17="Interior Forested Lowlands/Uplands",ROUND(IF(E209&gt;=1.87,1,IF(E209&lt;=1.24,'Reference Curves'!$V$490*E209+'Reference Curves'!$V$491, IF(E209&lt;1.45, 'Reference Curves'!$W$490*E209+'Reference Curves'!$W$491, 'Reference Curves'!$X$490*E209+'Reference Curves'!$X$491))),2))))))</f>
        <v/>
      </c>
      <c r="G209" s="519"/>
      <c r="H209" s="522"/>
      <c r="I209" s="524"/>
    </row>
    <row r="210" spans="1:9" ht="15.75" x14ac:dyDescent="0.25">
      <c r="A210" s="508"/>
      <c r="B210" s="508"/>
      <c r="C210" s="105" t="s">
        <v>325</v>
      </c>
      <c r="D210" s="123"/>
      <c r="E210" s="127"/>
      <c r="F210" s="68" t="str">
        <f>IF(E210="","",IF(E210&lt;83.5,0,IF(E210&gt;=100,1, ROUND(E210*'Reference Curves'!$S$521+'Reference Curves'!$S$522,2))))</f>
        <v/>
      </c>
      <c r="G210" s="519"/>
      <c r="H210" s="522"/>
      <c r="I210" s="524"/>
    </row>
    <row r="211" spans="1:9" ht="15.75" x14ac:dyDescent="0.25">
      <c r="A211" s="513" t="s">
        <v>47</v>
      </c>
      <c r="B211" s="268" t="s">
        <v>60</v>
      </c>
      <c r="C211" s="274" t="s">
        <v>341</v>
      </c>
      <c r="D211" s="275"/>
      <c r="E211" s="59"/>
      <c r="F211" s="171" t="str">
        <f>IF(E211="","",IF(E211&lt;=1.1,1,IF(E211&gt;1.315,0,ROUND(E211*'Reference Curves'!$AA$13+'Reference Curves'!$AA$14,2))))</f>
        <v/>
      </c>
      <c r="G211" s="269" t="str">
        <f>IFERROR(AVERAGE(F211:F211),"")</f>
        <v/>
      </c>
      <c r="H211" s="530" t="str">
        <f>IFERROR(ROUND(AVERAGE(G211:G213),2),"")</f>
        <v/>
      </c>
      <c r="I211" s="487" t="str">
        <f>IF(H211="","",IF(H211&gt;0.69,"Functioning",IF(H211&gt;0.29,"Functioning At Risk",IF(H211&gt;-1,"Not Functioning"))))</f>
        <v/>
      </c>
    </row>
    <row r="212" spans="1:9" ht="15.75" x14ac:dyDescent="0.25">
      <c r="A212" s="514"/>
      <c r="B212" s="172" t="s">
        <v>259</v>
      </c>
      <c r="C212" s="274" t="s">
        <v>342</v>
      </c>
      <c r="D212" s="275"/>
      <c r="E212" s="34"/>
      <c r="F212" s="171" t="str">
        <f>IF(E212="","",IF(E212&lt;=3.2,1,IF(E212&gt;=100,0,ROUND(IF(E212&gt;10,E212*'Reference Curves'!$AA$46+'Reference Curves'!$AA$47,E212*'Reference Curves'!$AB$46+'Reference Curves'!$AB$47),2))))</f>
        <v/>
      </c>
      <c r="G212" s="171" t="str">
        <f>IFERROR(AVERAGE(F212),"")</f>
        <v/>
      </c>
      <c r="H212" s="531"/>
      <c r="I212" s="487"/>
    </row>
    <row r="213" spans="1:9" ht="15.75" x14ac:dyDescent="0.25">
      <c r="A213" s="515"/>
      <c r="B213" s="172" t="s">
        <v>260</v>
      </c>
      <c r="C213" s="169" t="s">
        <v>359</v>
      </c>
      <c r="D213" s="170"/>
      <c r="E213" s="34"/>
      <c r="F213" s="171" t="str">
        <f>IF(E213="","",IF(E213&gt;=75,1,IF(E213&lt;19,0,ROUND(E213*'Reference Curves'!$AA$79+'Reference Curves'!$AA$80,2))))</f>
        <v/>
      </c>
      <c r="G213" s="171" t="str">
        <f>IFERROR(AVERAGE(F213),"")</f>
        <v/>
      </c>
      <c r="H213" s="532"/>
      <c r="I213" s="487"/>
    </row>
    <row r="214" spans="1:9" ht="15.75" x14ac:dyDescent="0.25">
      <c r="A214" s="499" t="s">
        <v>48</v>
      </c>
      <c r="B214" s="145" t="s">
        <v>109</v>
      </c>
      <c r="C214" s="144" t="s">
        <v>370</v>
      </c>
      <c r="D214" s="70"/>
      <c r="E214" s="59"/>
      <c r="F214" s="239" t="str">
        <f>IF(E214="","", ROUND(IF(E214&gt;=81,0,IF(E214&lt;=36,1,IF(E214&gt;62,E214*'Reference Curves'!$AJ$14+'Reference Curves'!$AJ$15,IF(E214&gt;43,E214*'Reference Curves'!$AK$14+'Reference Curves'!$AK$15,E214*'Reference Curves'!$AL$14+'Reference Curves'!$AL$15)))),2))</f>
        <v/>
      </c>
      <c r="G214" s="146" t="str">
        <f>IFERROR(AVERAGE(F214),"")</f>
        <v/>
      </c>
      <c r="H214" s="505" t="str">
        <f>IFERROR(ROUND(AVERAGE(G214:G217),2),"")</f>
        <v/>
      </c>
      <c r="I214" s="487" t="str">
        <f>IF(H214="","",IF(H214&gt;0.69,"Functioning",IF(H214&gt;0.29,"Functioning At Risk",IF(H214&gt;-1,"Not Functioning"))))</f>
        <v/>
      </c>
    </row>
    <row r="215" spans="1:9" ht="15.75" x14ac:dyDescent="0.25">
      <c r="A215" s="500"/>
      <c r="B215" s="502" t="s">
        <v>56</v>
      </c>
      <c r="C215" s="144" t="s">
        <v>333</v>
      </c>
      <c r="D215" s="70"/>
      <c r="E215" s="66"/>
      <c r="F215" s="229" t="str">
        <f>IF(E215="","", IF('Quantification Tool'!$B$18="Anadromous",ROUND(IF(E215&lt;=0,0,IF(E215&gt;=100,1,IF(E215&lt;80,E215*'Reference Curves'!$AJ$48+'Reference Curves'!$AJ$49,E215*'Reference Curves'!$AK$48+'Reference Curves'!$AK$49))),2),
IF('Quantification Tool'!$B$18="Non-anadromous",ROUND(IF(E215&lt;=0,0,IF(E215&gt;=100,1,IF(E215&lt;60,E215*'Reference Curves'!$AL$48+'Reference Curves'!$AL$49,E215*'Reference Curves'!$AM$48+'Reference Curves'!$AM$49))),2))))</f>
        <v/>
      </c>
      <c r="G215" s="488" t="str">
        <f>IFERROR(AVERAGE(F215:F217),"")</f>
        <v/>
      </c>
      <c r="H215" s="506"/>
      <c r="I215" s="487"/>
    </row>
    <row r="216" spans="1:9" ht="15.75" x14ac:dyDescent="0.25">
      <c r="A216" s="500"/>
      <c r="B216" s="503"/>
      <c r="C216" s="362" t="s">
        <v>343</v>
      </c>
      <c r="D216" s="363"/>
      <c r="E216" s="64"/>
      <c r="F216" s="239" t="str">
        <f>IF(E216="","",IF(E216&lt;0,0,IF(E216&gt;=0.9,1,ROUND(E216*'Reference Curves'!$AJ$81+'Reference Curves'!$AJ$82,2))))</f>
        <v/>
      </c>
      <c r="G216" s="488"/>
      <c r="H216" s="506"/>
      <c r="I216" s="487"/>
    </row>
    <row r="217" spans="1:9" ht="15.75" x14ac:dyDescent="0.25">
      <c r="A217" s="501"/>
      <c r="B217" s="504"/>
      <c r="C217" s="228" t="s">
        <v>233</v>
      </c>
      <c r="D217" s="230"/>
      <c r="E217" s="277"/>
      <c r="F217" s="71" t="str">
        <f>IF(E217="","",IF(E217&lt;0,0,IF(E217&gt;=0.9,1,ROUND(E217*'Reference Curves'!$AJ$81+'Reference Curves'!$AJ$82,2))))</f>
        <v/>
      </c>
      <c r="G217" s="489"/>
      <c r="H217" s="506"/>
      <c r="I217" s="487"/>
    </row>
    <row r="219" spans="1:9" ht="21" x14ac:dyDescent="0.35">
      <c r="A219" s="19" t="s">
        <v>101</v>
      </c>
      <c r="B219" s="121"/>
      <c r="C219" s="122" t="s">
        <v>152</v>
      </c>
      <c r="D219" s="584"/>
      <c r="E219" s="584"/>
      <c r="F219" s="585"/>
      <c r="G219" s="512" t="s">
        <v>12</v>
      </c>
      <c r="H219" s="582"/>
      <c r="I219" s="583"/>
    </row>
    <row r="220" spans="1:9" ht="15.75" x14ac:dyDescent="0.25">
      <c r="A220" s="25" t="s">
        <v>1</v>
      </c>
      <c r="B220" s="25" t="s">
        <v>2</v>
      </c>
      <c r="C220" s="112" t="s">
        <v>3</v>
      </c>
      <c r="D220" s="113"/>
      <c r="E220" s="25" t="s">
        <v>10</v>
      </c>
      <c r="F220" s="25" t="s">
        <v>11</v>
      </c>
      <c r="G220" s="25" t="s">
        <v>13</v>
      </c>
      <c r="H220" s="25" t="s">
        <v>14</v>
      </c>
      <c r="I220" s="25" t="s">
        <v>14</v>
      </c>
    </row>
    <row r="221" spans="1:9" ht="15.75" x14ac:dyDescent="0.25">
      <c r="A221" s="480" t="s">
        <v>161</v>
      </c>
      <c r="B221" s="448" t="s">
        <v>258</v>
      </c>
      <c r="C221" s="137" t="s">
        <v>138</v>
      </c>
      <c r="D221" s="138"/>
      <c r="E221" s="66"/>
      <c r="F221" s="264" t="str">
        <f>IF(E221="","",ROUND(IF(E221&gt;=86,0,IF(E221&lt;=9,1,IF(E221&gt;22,E221*'Reference Curves'!$C$14+'Reference Curves'!$C$15,IF(E221&gt;16,E221*'Reference Curves'!$D$14+'Reference Curves'!$D$15,E221*'Reference Curves'!$E$14+'Reference Curves'!$E$15)))),2))</f>
        <v/>
      </c>
      <c r="G221" s="457" t="str">
        <f>IFERROR(AVERAGE(F221:F223),"")</f>
        <v/>
      </c>
      <c r="H221" s="457" t="str">
        <f>IFERROR(ROUND(AVERAGE(G221:G227),2),"")</f>
        <v/>
      </c>
      <c r="I221" s="496" t="str">
        <f>IF(H221="","",IF(H221:H227&gt;0.69,"Functioning",IF(H221&gt;0.29,"Functioning At Risk",IF(H221&gt;-1,"Not Functioning"))))</f>
        <v/>
      </c>
    </row>
    <row r="222" spans="1:9" ht="15.75" x14ac:dyDescent="0.25">
      <c r="A222" s="481"/>
      <c r="B222" s="449"/>
      <c r="C222" s="156" t="s">
        <v>257</v>
      </c>
      <c r="D222" s="254"/>
      <c r="E222" s="64"/>
      <c r="F222" s="265" t="str">
        <f>IF(E222="","",ROUND(IF(E222&gt;33.5,0,IF(E222&lt;=0,1,E222*'Reference Curves'!$C$44+'Reference Curves'!$C$45)),2))</f>
        <v/>
      </c>
      <c r="G222" s="458"/>
      <c r="H222" s="458"/>
      <c r="I222" s="497"/>
    </row>
    <row r="223" spans="1:9" ht="15.75" x14ac:dyDescent="0.25">
      <c r="A223" s="481"/>
      <c r="B223" s="450"/>
      <c r="C223" s="178" t="s">
        <v>324</v>
      </c>
      <c r="D223" s="255"/>
      <c r="E223" s="69"/>
      <c r="F223" s="265" t="str">
        <f>IF(E223="","",ROUND(IF(E223&gt;=61,0,IF(E223&lt;=0,1,IF(E223&gt;35,E223*'Reference Curves'!$C$75+'Reference Curves'!$C$76,E223*'Reference Curves'!$D$75+'Reference Curves'!$D$76))),2))</f>
        <v/>
      </c>
      <c r="G223" s="459"/>
      <c r="H223" s="458"/>
      <c r="I223" s="497"/>
    </row>
    <row r="224" spans="1:9" ht="15.75" x14ac:dyDescent="0.25">
      <c r="A224" s="481"/>
      <c r="B224" s="451" t="s">
        <v>95</v>
      </c>
      <c r="C224" s="137" t="s">
        <v>138</v>
      </c>
      <c r="D224" s="280"/>
      <c r="E224" s="57"/>
      <c r="F224" s="139" t="str">
        <f>IF(E224="","",ROUND(IF(E224&gt;=86,0,IF(E224&lt;=9,1,IF(E224&gt;22,E224*'Reference Curves'!$C$14+'Reference Curves'!$C$15,IF(E224&gt;16,E224*'Reference Curves'!$D$14+'Reference Curves'!$D$15,E224*'Reference Curves'!$E$14+'Reference Curves'!$E$15)))),2))</f>
        <v/>
      </c>
      <c r="G224" s="457" t="str">
        <f>IFERROR(AVERAGE(F224:F227),"")</f>
        <v/>
      </c>
      <c r="H224" s="458"/>
      <c r="I224" s="497"/>
    </row>
    <row r="225" spans="1:9" ht="15.75" x14ac:dyDescent="0.25">
      <c r="A225" s="481"/>
      <c r="B225" s="452"/>
      <c r="C225" s="156" t="s">
        <v>257</v>
      </c>
      <c r="D225" s="281"/>
      <c r="E225" s="57"/>
      <c r="F225" s="265" t="str">
        <f>IF(E225="","",ROUND(IF(E225&gt;33.5,0,IF(E225&lt;=0,1,E225*'Reference Curves'!$C$44+'Reference Curves'!$C$45)),2))</f>
        <v/>
      </c>
      <c r="G225" s="458"/>
      <c r="H225" s="458"/>
      <c r="I225" s="497"/>
    </row>
    <row r="226" spans="1:9" ht="15.75" x14ac:dyDescent="0.25">
      <c r="A226" s="481"/>
      <c r="B226" s="452"/>
      <c r="C226" s="156" t="s">
        <v>324</v>
      </c>
      <c r="D226" s="281"/>
      <c r="E226" s="57"/>
      <c r="F226" s="265" t="str">
        <f>IF(E226="","",ROUND(IF(E226&gt;=61,0,IF(E226&lt;=0,1,IF(E226&gt;35,E226*'Reference Curves'!$C$75+'Reference Curves'!$C$76,E226*'Reference Curves'!$D$75+'Reference Curves'!$D$76))),2))</f>
        <v/>
      </c>
      <c r="G226" s="458"/>
      <c r="H226" s="458"/>
      <c r="I226" s="497"/>
    </row>
    <row r="227" spans="1:9" ht="15.6" customHeight="1" x14ac:dyDescent="0.25">
      <c r="A227" s="482"/>
      <c r="B227" s="453"/>
      <c r="C227" s="178" t="s">
        <v>227</v>
      </c>
      <c r="D227" s="179"/>
      <c r="E227" s="57"/>
      <c r="F227" s="157" t="str">
        <f>IF(E227="","",   IF(E227&gt;3.35,0, IF(E227&lt;0, "", ROUND('Reference Curves'!$C$105*E227+'Reference Curves'!$C$106,2))))</f>
        <v/>
      </c>
      <c r="G227" s="459"/>
      <c r="H227" s="458"/>
      <c r="I227" s="498"/>
    </row>
    <row r="228" spans="1:9" ht="15.75" x14ac:dyDescent="0.25">
      <c r="A228" s="509" t="s">
        <v>160</v>
      </c>
      <c r="B228" s="533" t="s">
        <v>5</v>
      </c>
      <c r="C228" s="227" t="s">
        <v>226</v>
      </c>
      <c r="D228" s="204"/>
      <c r="E228" s="59"/>
      <c r="F228" s="205" t="str">
        <f>IF(E228="","",ROUND(IF(OR(E228&gt;1.71, E228&lt;0.34),0,IF(E228&lt;=1,1,E228*'Reference Curves'!K$13+'Reference Curves'!K$14)),2))</f>
        <v/>
      </c>
      <c r="G228" s="526" t="str">
        <f>IFERROR(AVERAGE(F228:F229),"")</f>
        <v/>
      </c>
      <c r="H228" s="493" t="str">
        <f>IFERROR(ROUND(AVERAGE(G228:G230),2),"")</f>
        <v/>
      </c>
      <c r="I228" s="496" t="str">
        <f>IF(H228="","",IF(H228&gt;0.69,"Functioning",IF(H228&gt;0.29,"Functioning At Risk",IF(H228&gt;-1,"Not Functioning"))))</f>
        <v/>
      </c>
    </row>
    <row r="229" spans="1:9" ht="15.6" customHeight="1" x14ac:dyDescent="0.25">
      <c r="A229" s="510"/>
      <c r="B229" s="534"/>
      <c r="C229" s="226" t="s">
        <v>225</v>
      </c>
      <c r="D229" s="61"/>
      <c r="E229" s="198"/>
      <c r="F229" s="231" t="str">
        <f>IF(E229="","",IF(LEFT('Quantification Tool'!$B$10,1)="B",IF(E229&lt;=1,0,IF(E229&gt;=2.2,1,ROUND(IF(E229&lt;1.4,E229*'Reference Curves'!$K$117+'Reference Curves'!$K$118,E229*'Reference Curves'!$L$117+'Reference Curves'!$L$118),2))),
IF(LEFT('Quantification Tool'!$B$10,1)="C",IF(E229&lt;1.7,0,IF(E229&gt;=4.4,1,ROUND(IF(E229&lt;2.4,E229*'Reference Curves'!$K$47+'Reference Curves'!$K$48,E229*'Reference Curves'!$L$47+'Reference Curves'!$L$48),2))),
IF(LEFT('Quantification Tool'!$B$10,1)="E",IF(E229&lt;1.7,0,IF(E229&gt;=6.5,1,ROUND(IF(E229&lt;2.4,E229*'Reference Curves'!$K$82+'Reference Curves'!$K$83,E229*'Reference Curves'!$L$82+'Reference Curves'!$L$83),2)))) )     ))</f>
        <v/>
      </c>
      <c r="G229" s="527"/>
      <c r="H229" s="494"/>
      <c r="I229" s="497"/>
    </row>
    <row r="230" spans="1:9" ht="15.6" customHeight="1" x14ac:dyDescent="0.25">
      <c r="A230" s="511"/>
      <c r="B230" s="211" t="s">
        <v>210</v>
      </c>
      <c r="C230" s="225" t="s">
        <v>270</v>
      </c>
      <c r="D230" s="203"/>
      <c r="E230" s="140"/>
      <c r="F230" s="232" t="str">
        <f>IF(E230="","", IF(E230&gt;=180,0, IF(E230=100,1, ROUND(IF(E230&gt;100, E230*'Reference Curves'!$L$151+'Reference Curves'!$L$152, IF(E228&gt;1.2,IF(E230&lt;=20,0,E230*'Reference Curves'!$K$151+'Reference Curves'!$K$152),1) ),2))))</f>
        <v/>
      </c>
      <c r="G230" s="253" t="str">
        <f>IFERROR(AVERAGE(F230:F230),"")</f>
        <v/>
      </c>
      <c r="H230" s="495"/>
      <c r="I230" s="498"/>
    </row>
    <row r="231" spans="1:9" ht="15.75" x14ac:dyDescent="0.25">
      <c r="A231" s="507" t="s">
        <v>17</v>
      </c>
      <c r="B231" s="200" t="s">
        <v>231</v>
      </c>
      <c r="C231" s="212" t="s">
        <v>228</v>
      </c>
      <c r="D231" s="213"/>
      <c r="E231" s="34"/>
      <c r="F231" s="237" t="str">
        <f>IF(E231="","",IF('Quantification Tool'!$B$17="Alaska Range",ROUND(IF(E231&lt;=0.05,0, IF(E231&gt;=6.3,1,IF(E231&lt;=1.5,'Reference Curves'!$S$16*E231+'Reference Curves'!$S$17, 'Reference Curves'!$T$16*E231+'Reference Curves'!$T$17))),2),
IF('Quantification Tool'!$B$17="Brooks Range",ROUND(IF(E231&gt;=4.2,1,IF(E231&lt;0.03,0, IF(E231&lt;=1.2,'Reference Curves'!$U$16*E231+'Reference Curves'!$U$17, 'Reference Curves'!$V$16*E231+'Reference Curves'!$V$17))),2),
IF(OR('Quantification Tool'!$B$17="Interior Bottomlands",'Quantification Tool'!$B$17="Yukon Flats"),ROUND(IF(E231&gt;=54.5,1,IF(E231&lt;=3.7,'Reference Curves'!$S$51*E231+'Reference Curves'!$S$52, IF(E231&lt;4.7, 'Reference Curves'!$T$51*E231+'Reference Curves'!$T$52, 'Reference Curves'!$U$51*E231+'Reference Curves'!$U$52))),2),
IF(OR('Quantification Tool'!$B$17="Interior Forested Lowlands/Uplands",'Quantification Tool'!$B$17="Interior Highlands"),ROUND(IF(E231=0,0,IF(E231&gt;=24.1,1,IF(E231&lt;=1.3,'Reference Curves'!$V$51*E231+'Reference Curves'!$V$52, 'Reference Curves'!$W$51*E231+'Reference Curves'!$W$52))),2))))))</f>
        <v/>
      </c>
      <c r="G231" s="214" t="str">
        <f>IFERROR(AVERAGE(F231:F231),"")</f>
        <v/>
      </c>
      <c r="H231" s="521" t="str">
        <f>IFERROR(ROUND(AVERAGE(G231:G241),2),"")</f>
        <v/>
      </c>
      <c r="I231" s="523" t="str">
        <f>IF(H231="","",IF(H231&gt;0.69,"Functioning",IF(H231&gt;0.29,"Functioning At Risk",IF(H231&gt;-1,"Not Functioning"))))</f>
        <v/>
      </c>
    </row>
    <row r="232" spans="1:9" ht="15.75" x14ac:dyDescent="0.25">
      <c r="A232" s="508"/>
      <c r="B232" s="508" t="s">
        <v>157</v>
      </c>
      <c r="C232" s="130" t="s">
        <v>40</v>
      </c>
      <c r="D232" s="63"/>
      <c r="E232" s="238"/>
      <c r="F232" s="115" t="str">
        <f>IF(E232="","",IF(OR(E232="Ex/Ex",E232="Ex/VH",E232="Ex/H",E232="Ex/M",E232="VH/Ex",E232="VH/VH", E232="H/Ex",E232="H/VH"),0, IF(OR(E232="M/Ex"),0.1,IF(OR(E232="VH/H",E232="VH/M",E232="H/H",E232="H/M", E232="M/VH"),0.2, IF(OR(E232="Ex/VL",E232="Ex/L", E232="M/H"),0.3, IF(OR(E232="VH/L",E232="H/L"),0.4, IF(OR(E232="VH/VL",E232="H/VL",E232="M/M"),0.5, IF(OR(E232="M/L",E232="L/Ex"),0.6, IF(OR(E232="M/VL",E232="L/VH", E232="L/H",E232="L/M",E232="L/L",E232="L/VL",LEFT(E232)="V"),1)))))))))</f>
        <v/>
      </c>
      <c r="G232" s="522" t="str">
        <f>IFERROR(IF(E234&gt;50,0,AVERAGE(F232:F234)),"")</f>
        <v/>
      </c>
      <c r="H232" s="522"/>
      <c r="I232" s="524"/>
    </row>
    <row r="233" spans="1:9" ht="15.75" x14ac:dyDescent="0.25">
      <c r="A233" s="508"/>
      <c r="B233" s="508"/>
      <c r="C233" s="131" t="s">
        <v>65</v>
      </c>
      <c r="D233" s="125"/>
      <c r="E233" s="141"/>
      <c r="F233" s="115" t="str">
        <f>IF(E233="","",ROUND(IF(E233&gt;=75,0,IF(E233&lt;=5,1,IF(E233&gt;10,E233*'Reference Curves'!S$85+'Reference Curves'!S$86,'Reference Curves'!$T$85*E233+'Reference Curves'!$T$86))),2))</f>
        <v/>
      </c>
      <c r="G233" s="522"/>
      <c r="H233" s="522"/>
      <c r="I233" s="524"/>
    </row>
    <row r="234" spans="1:9" ht="15.75" x14ac:dyDescent="0.25">
      <c r="A234" s="508"/>
      <c r="B234" s="520"/>
      <c r="C234" s="132" t="s">
        <v>203</v>
      </c>
      <c r="D234" s="126"/>
      <c r="E234" s="60"/>
      <c r="F234" s="116" t="str">
        <f>IF(E234="","",IF(E234&gt;=30,0,ROUND(E234*'Reference Curves'!$S$116+'Reference Curves'!$S$117,2)))</f>
        <v/>
      </c>
      <c r="G234" s="525"/>
      <c r="H234" s="522"/>
      <c r="I234" s="524"/>
    </row>
    <row r="235" spans="1:9" ht="15.75" x14ac:dyDescent="0.25">
      <c r="A235" s="508"/>
      <c r="B235" s="270" t="s">
        <v>82</v>
      </c>
      <c r="C235" s="9" t="s">
        <v>256</v>
      </c>
      <c r="D235" s="63"/>
      <c r="E235" s="60"/>
      <c r="F235" s="65" t="str">
        <f>IF(E235="","",IF(OR('Quantification Tool'!B$15="Cobble",'Quantification Tool'!B$15="Boulders",'Quantification Tool'!B$15="Bedrock"),ROUND(IF(E235&lt;=0,1,IF(E235&gt;=13.7,0, IF(E235&gt;5,E235*'Reference Curves'!$U$150+'Reference Curves'!$U$151,  E235*'Reference Curves'!$V$150+'Reference Curves'!$V$151))),2),
IF('Quantification Tool'!B$15="Gravel",ROUND(IF(E235&lt;=3,1,IF(E235&gt;=54,0, IF(E235&gt;15,E235*'Reference Curves'!$S$150+'Reference Curves'!$S$151,  E235*'Reference Curves'!$T$150+'Reference Curves'!$T$151))),2))))</f>
        <v/>
      </c>
      <c r="G235" s="65" t="str">
        <f>IFERROR(AVERAGE(F235),"")</f>
        <v/>
      </c>
      <c r="H235" s="522"/>
      <c r="I235" s="524"/>
    </row>
    <row r="236" spans="1:9" ht="15.75" x14ac:dyDescent="0.25">
      <c r="A236" s="508"/>
      <c r="B236" s="507" t="s">
        <v>42</v>
      </c>
      <c r="C236" s="8" t="s">
        <v>229</v>
      </c>
      <c r="D236" s="62"/>
      <c r="E236" s="66"/>
      <c r="F236" s="67" t="str">
        <f>IF(E236="","", IF(LEFT('Quantification Tool'!$B$10,1)="C", IF(OR(E236&lt;=3,E236&gt;=9.3),0,IF(AND(E236&gt;=4,E236&lt;=6),1,IF(E236&lt;4, ROUND(E236*'Reference Curves'!$S$250+'Reference Curves'!$S$251,2), ROUND(E236*'Reference Curves'!$T$250+'Reference Curves'!$T$251,2)))),
IF(LEFT('Quantification Tool'!$B$10,1)="E", IF(OR(E236&lt;=1.8,E236&gt;=8.3),0,IF(AND(E236&gt;=3.5,E236&lt;=5),1,IF(E236&lt;3.5, ROUND(E236*'Reference Curves'!$S$283+'Reference Curves'!$S$284,2), ROUND(E236*'Reference Curves'!$T$283+'Reference Curves'!$T$284,2)))),
IF(OR('Quantification Tool'!$B$10="B",'Quantification Tool'!$B$10="Ba"), IF(E236&gt;=6,0, IF(E236&lt;=2, 1, IF(E236&gt;3.9, ROUND(E236*'Reference Curves'!$S$185+'Reference Curves'!$S$186,2), ROUND(E236*'Reference Curves'!$T$185+'Reference Curves'!$T$186,2)))),
IF('Quantification Tool'!$B$10="Bc",  IF(E236&gt;12,0, IF(E236&lt;=3.4, 1, ROUND(E236*'Reference Curves'!$S$217+'Reference Curves'!$S$218,2))))))))</f>
        <v/>
      </c>
      <c r="G236" s="518" t="str">
        <f>IFERROR(AVERAGE(F236:F238),"")</f>
        <v/>
      </c>
      <c r="H236" s="522"/>
      <c r="I236" s="524"/>
    </row>
    <row r="237" spans="1:9" ht="15.75" x14ac:dyDescent="0.25">
      <c r="A237" s="508"/>
      <c r="B237" s="508"/>
      <c r="C237" s="105" t="s">
        <v>230</v>
      </c>
      <c r="D237" s="63"/>
      <c r="E237" s="64"/>
      <c r="F237" s="68" t="str">
        <f>IF(E237="","",IF(OR('Quantification Tool'!$B$10="B",'Quantification Tool'!$B$10="Ba"),ROUND(IF(E237&lt;=1,0,IF(E237&gt;=2.8,1,IF(E237&lt;1.8,E237*'Reference Curves'!$S$318+'Reference Curves'!$S$319,E237*'Reference Curves'!$T$318+'Reference Curves'!$T$319))),2),
ROUND(IF(E237&lt;=1,0,IF(E237&gt;=3.2,1,IF(E237&lt;2.2,E237*'Reference Curves'!$U$318+'Reference Curves'!$U$319,E237*'Reference Curves'!$V$318+'Reference Curves'!$V$319))),2)))</f>
        <v/>
      </c>
      <c r="G237" s="519"/>
      <c r="H237" s="522"/>
      <c r="I237" s="524"/>
    </row>
    <row r="238" spans="1:9" ht="15.75" x14ac:dyDescent="0.25">
      <c r="A238" s="508"/>
      <c r="B238" s="508"/>
      <c r="C238" s="105" t="s">
        <v>142</v>
      </c>
      <c r="D238" s="63"/>
      <c r="E238" s="64"/>
      <c r="F238" s="302" t="str">
        <f>IF(E238="","",IF('Quantification Tool'!$B$16&gt;=3,IF(OR(E238&lt;=0,E238&gt;=100),0,IF(AND(E238&gt;=68,E238&lt;=85),1,IF(E238&lt;68,IF(E238&lt;62,ROUND(E238*'Reference Curves'!$S$352+'Reference Curves'!$S$353,2),ROUND(E238*'Reference Curves'!$T$352+'Reference Curves'!$T$353,2)),
IF(E238&gt;87,ROUND(E238*'Reference Curves'!$U$352+'Reference Curves'!$U$353,2),ROUND(E238*'Reference Curves'!$V$352+'Reference Curves'!$V$353,2))))),
IF('Quantification Tool'!$B$16&lt;&gt;0,IF(OR(E238&lt;=0,E238&gt;=100),0,IF(AND(E238&lt;=60,E238&gt;=50),1,IF(E238&lt;50,IF(E238&lt;39,ROUND(E238*'Reference Curves'!$S$386+'Reference Curves'!$S$387,2),ROUND(E238*'Reference Curves'!$T$386+'Reference Curves'!$T$387,2)),
IF(E238&gt;69,ROUND(E238*'Reference Curves'!$U$386+'Reference Curves'!$U$387,2),ROUND(E238*'Reference Curves'!$V$386+'Reference Curves'!$V$387,2))))))))</f>
        <v/>
      </c>
      <c r="G238" s="519"/>
      <c r="H238" s="522"/>
      <c r="I238" s="524"/>
    </row>
    <row r="239" spans="1:9" ht="15.75" x14ac:dyDescent="0.25">
      <c r="A239" s="508"/>
      <c r="B239" s="507" t="s">
        <v>41</v>
      </c>
      <c r="C239" s="8" t="s">
        <v>332</v>
      </c>
      <c r="D239" s="128"/>
      <c r="E239" s="129"/>
      <c r="F239" s="124" t="str">
        <f>IF(E239="","",IF('Quantification Tool'!$B$11="Unconfined Alluvial",IF(E239&gt;=100,1,IF(E239&lt;0,0,ROUND('Reference Curves'!$S$420*E239+'Reference Curves'!$S$421,2))),IF(OR('Quantification Tool'!$B$11="Confined Alluvial",'Quantification Tool'!$B$11="Colluvial/V-Shaped"),(IF(E239&gt;=100,1,IF(E239&lt;0,0,IF(E239&lt;60,ROUND('Reference Curves'!$T$420*E239+'Reference Curves'!$T$421,2), ROUND('Reference Curves'!$U$420*E239+'Reference Curves'!$U$421,2))))))))</f>
        <v/>
      </c>
      <c r="G239" s="518" t="str">
        <f>IFERROR(AVERAGE(F239:F241),"")</f>
        <v/>
      </c>
      <c r="H239" s="522"/>
      <c r="I239" s="524"/>
    </row>
    <row r="240" spans="1:9" ht="15.75" x14ac:dyDescent="0.25">
      <c r="A240" s="508"/>
      <c r="B240" s="508"/>
      <c r="C240" s="105" t="s">
        <v>251</v>
      </c>
      <c r="D240" s="123"/>
      <c r="E240" s="127"/>
      <c r="F240" s="68" t="str">
        <f>IF(E240="","",IF(OR('Quantification Tool'!$B$17="Alaska Range",'Quantification Tool'!$B$17="Brooks Range"),ROUND(IF(E240&gt;=1.57,1,IF(E240&lt;=0.06,'Reference Curves'!$S$455*E240+'Reference Curves'!$S$456, IF(E240&lt;0.83, 'Reference Curves'!$T$455*E240+'Reference Curves'!$T$456, 'Reference Curves'!$U$455*E240+'Reference Curves'!$U$456))),2),
IF('Quantification Tool'!$B$17="Interior Highlands",ROUND(IF(E240&gt;=1.67,1,IF(E240&lt;=0.94,'Reference Curves'!$V$455*E240+'Reference Curves'!$V$456, IF(E240&lt;1.21, 'Reference Curves'!$W$455*E240+'Reference Curves'!$W$456, 'Reference Curves'!$X$455*E240+'Reference Curves'!$X$456))),2),
IF(OR('Quantification Tool'!$B$17="Interior Bottomlands",'Quantification Tool'!$B$17="Yukon Flats"),ROUND(IF(E240&gt;=1.82,1,IF(E240&lt;=1.19,'Reference Curves'!$S$490*E240+'Reference Curves'!$S$491, IF(E240&lt;1.37, 'Reference Curves'!$T$490*E240+'Reference Curves'!$T$491, 'Reference Curves'!$U$490*E240+'Reference Curves'!$U$491))),2),
IF('Quantification Tool'!$B$17="Interior Forested Lowlands/Uplands",ROUND(IF(E240&gt;=1.87,1,IF(E240&lt;=1.24,'Reference Curves'!$V$490*E240+'Reference Curves'!$V$491, IF(E240&lt;1.45, 'Reference Curves'!$W$490*E240+'Reference Curves'!$W$491, 'Reference Curves'!$X$490*E240+'Reference Curves'!$X$491))),2))))))</f>
        <v/>
      </c>
      <c r="G240" s="519"/>
      <c r="H240" s="522"/>
      <c r="I240" s="524"/>
    </row>
    <row r="241" spans="1:9" ht="15.75" x14ac:dyDescent="0.25">
      <c r="A241" s="508"/>
      <c r="B241" s="508"/>
      <c r="C241" s="105" t="s">
        <v>325</v>
      </c>
      <c r="D241" s="123"/>
      <c r="E241" s="127"/>
      <c r="F241" s="68" t="str">
        <f>IF(E241="","",IF(E241&lt;83.5,0,IF(E241&gt;=100,1, ROUND(E241*'Reference Curves'!$S$521+'Reference Curves'!$S$522,2))))</f>
        <v/>
      </c>
      <c r="G241" s="519"/>
      <c r="H241" s="522"/>
      <c r="I241" s="524"/>
    </row>
    <row r="242" spans="1:9" ht="15.75" x14ac:dyDescent="0.25">
      <c r="A242" s="513" t="s">
        <v>47</v>
      </c>
      <c r="B242" s="268" t="s">
        <v>60</v>
      </c>
      <c r="C242" s="274" t="s">
        <v>341</v>
      </c>
      <c r="D242" s="275"/>
      <c r="E242" s="59"/>
      <c r="F242" s="171" t="str">
        <f>IF(E242="","",IF(E242&lt;=1.1,1,IF(E242&gt;1.315,0,ROUND(E242*'Reference Curves'!$AA$13+'Reference Curves'!$AA$14,2))))</f>
        <v/>
      </c>
      <c r="G242" s="269" t="str">
        <f>IFERROR(AVERAGE(F242:F242),"")</f>
        <v/>
      </c>
      <c r="H242" s="530" t="str">
        <f>IFERROR(ROUND(AVERAGE(G242:G244),2),"")</f>
        <v/>
      </c>
      <c r="I242" s="487" t="str">
        <f>IF(H242="","",IF(H242&gt;0.69,"Functioning",IF(H242&gt;0.29,"Functioning At Risk",IF(H242&gt;-1,"Not Functioning"))))</f>
        <v/>
      </c>
    </row>
    <row r="243" spans="1:9" ht="15.75" x14ac:dyDescent="0.25">
      <c r="A243" s="514"/>
      <c r="B243" s="172" t="s">
        <v>259</v>
      </c>
      <c r="C243" s="274" t="s">
        <v>342</v>
      </c>
      <c r="D243" s="275"/>
      <c r="E243" s="34"/>
      <c r="F243" s="171" t="str">
        <f>IF(E243="","",IF(E243&lt;=3.2,1,IF(E243&gt;=100,0,ROUND(IF(E243&gt;10,E243*'Reference Curves'!$AA$46+'Reference Curves'!$AA$47,E243*'Reference Curves'!$AB$46+'Reference Curves'!$AB$47),2))))</f>
        <v/>
      </c>
      <c r="G243" s="171" t="str">
        <f>IFERROR(AVERAGE(F243),"")</f>
        <v/>
      </c>
      <c r="H243" s="531"/>
      <c r="I243" s="487"/>
    </row>
    <row r="244" spans="1:9" ht="15.75" x14ac:dyDescent="0.25">
      <c r="A244" s="515"/>
      <c r="B244" s="172" t="s">
        <v>260</v>
      </c>
      <c r="C244" s="169" t="s">
        <v>359</v>
      </c>
      <c r="D244" s="170"/>
      <c r="E244" s="34"/>
      <c r="F244" s="171" t="str">
        <f>IF(E244="","",IF(E244&gt;=75,1,IF(E244&lt;19,0,ROUND(E244*'Reference Curves'!$AA$79+'Reference Curves'!$AA$80,2))))</f>
        <v/>
      </c>
      <c r="G244" s="171" t="str">
        <f>IFERROR(AVERAGE(F244),"")</f>
        <v/>
      </c>
      <c r="H244" s="532"/>
      <c r="I244" s="487"/>
    </row>
    <row r="245" spans="1:9" ht="15.75" x14ac:dyDescent="0.25">
      <c r="A245" s="499" t="s">
        <v>48</v>
      </c>
      <c r="B245" s="145" t="s">
        <v>109</v>
      </c>
      <c r="C245" s="144" t="s">
        <v>370</v>
      </c>
      <c r="D245" s="70"/>
      <c r="E245" s="59"/>
      <c r="F245" s="239" t="str">
        <f>IF(E245="","", ROUND(IF(E245&gt;=81,0,IF(E245&lt;=36,1,IF(E245&gt;62,E245*'Reference Curves'!$AJ$14+'Reference Curves'!$AJ$15,IF(E245&gt;43,E245*'Reference Curves'!$AK$14+'Reference Curves'!$AK$15,E245*'Reference Curves'!$AL$14+'Reference Curves'!$AL$15)))),2))</f>
        <v/>
      </c>
      <c r="G245" s="146" t="str">
        <f>IFERROR(AVERAGE(F245),"")</f>
        <v/>
      </c>
      <c r="H245" s="505" t="str">
        <f>IFERROR(ROUND(AVERAGE(G245:G248),2),"")</f>
        <v/>
      </c>
      <c r="I245" s="487" t="str">
        <f>IF(H245="","",IF(H245&gt;0.69,"Functioning",IF(H245&gt;0.29,"Functioning At Risk",IF(H245&gt;-1,"Not Functioning"))))</f>
        <v/>
      </c>
    </row>
    <row r="246" spans="1:9" ht="15.75" x14ac:dyDescent="0.25">
      <c r="A246" s="500"/>
      <c r="B246" s="502" t="s">
        <v>56</v>
      </c>
      <c r="C246" s="144" t="s">
        <v>333</v>
      </c>
      <c r="D246" s="70"/>
      <c r="E246" s="66"/>
      <c r="F246" s="229" t="str">
        <f>IF(E246="","", IF('Quantification Tool'!$B$18="Anadromous",ROUND(IF(E246&lt;=0,0,IF(E246&gt;=100,1,IF(E246&lt;80,E246*'Reference Curves'!$AJ$48+'Reference Curves'!$AJ$49,E246*'Reference Curves'!$AK$48+'Reference Curves'!$AK$49))),2),
IF('Quantification Tool'!$B$18="Non-anadromous",ROUND(IF(E246&lt;=0,0,IF(E246&gt;=100,1,IF(E246&lt;60,E246*'Reference Curves'!$AL$48+'Reference Curves'!$AL$49,E246*'Reference Curves'!$AM$48+'Reference Curves'!$AM$49))),2))))</f>
        <v/>
      </c>
      <c r="G246" s="488" t="str">
        <f>IFERROR(AVERAGE(F246:F248),"")</f>
        <v/>
      </c>
      <c r="H246" s="506"/>
      <c r="I246" s="487"/>
    </row>
    <row r="247" spans="1:9" ht="15.75" x14ac:dyDescent="0.25">
      <c r="A247" s="500"/>
      <c r="B247" s="503"/>
      <c r="C247" s="362" t="s">
        <v>343</v>
      </c>
      <c r="D247" s="363"/>
      <c r="E247" s="64"/>
      <c r="F247" s="239" t="str">
        <f>IF(E247="","",IF(E247&lt;0,0,IF(E247&gt;=0.9,1,ROUND(E247*'Reference Curves'!$AJ$81+'Reference Curves'!$AJ$82,2))))</f>
        <v/>
      </c>
      <c r="G247" s="488"/>
      <c r="H247" s="506"/>
      <c r="I247" s="487"/>
    </row>
    <row r="248" spans="1:9" ht="15.75" x14ac:dyDescent="0.25">
      <c r="A248" s="501"/>
      <c r="B248" s="504"/>
      <c r="C248" s="228" t="s">
        <v>233</v>
      </c>
      <c r="D248" s="230"/>
      <c r="E248" s="277"/>
      <c r="F248" s="71" t="str">
        <f>IF(E248="","",IF(E248&lt;0,0,IF(E248&gt;=0.9,1,ROUND(E248*'Reference Curves'!$AJ$81+'Reference Curves'!$AJ$82,2))))</f>
        <v/>
      </c>
      <c r="G248" s="489"/>
      <c r="H248" s="506"/>
      <c r="I248" s="487"/>
    </row>
    <row r="250" spans="1:9" ht="21" x14ac:dyDescent="0.35">
      <c r="A250" s="19" t="s">
        <v>101</v>
      </c>
      <c r="B250" s="121"/>
      <c r="C250" s="122" t="s">
        <v>152</v>
      </c>
      <c r="D250" s="584"/>
      <c r="E250" s="584"/>
      <c r="F250" s="585"/>
      <c r="G250" s="512" t="s">
        <v>12</v>
      </c>
      <c r="H250" s="582"/>
      <c r="I250" s="583"/>
    </row>
    <row r="251" spans="1:9" ht="15.75" x14ac:dyDescent="0.25">
      <c r="A251" s="25" t="s">
        <v>1</v>
      </c>
      <c r="B251" s="25" t="s">
        <v>2</v>
      </c>
      <c r="C251" s="112" t="s">
        <v>3</v>
      </c>
      <c r="D251" s="113"/>
      <c r="E251" s="25" t="s">
        <v>10</v>
      </c>
      <c r="F251" s="25" t="s">
        <v>11</v>
      </c>
      <c r="G251" s="25" t="s">
        <v>13</v>
      </c>
      <c r="H251" s="25" t="s">
        <v>14</v>
      </c>
      <c r="I251" s="25" t="s">
        <v>14</v>
      </c>
    </row>
    <row r="252" spans="1:9" ht="15.75" x14ac:dyDescent="0.25">
      <c r="A252" s="480" t="s">
        <v>161</v>
      </c>
      <c r="B252" s="448" t="s">
        <v>258</v>
      </c>
      <c r="C252" s="137" t="s">
        <v>138</v>
      </c>
      <c r="D252" s="138"/>
      <c r="E252" s="66"/>
      <c r="F252" s="264" t="str">
        <f>IF(E252="","",ROUND(IF(E252&gt;=86,0,IF(E252&lt;=9,1,IF(E252&gt;22,E252*'Reference Curves'!$C$14+'Reference Curves'!$C$15,IF(E252&gt;16,E252*'Reference Curves'!$D$14+'Reference Curves'!$D$15,E252*'Reference Curves'!$E$14+'Reference Curves'!$E$15)))),2))</f>
        <v/>
      </c>
      <c r="G252" s="457" t="str">
        <f>IFERROR(AVERAGE(F252:F254),"")</f>
        <v/>
      </c>
      <c r="H252" s="457" t="str">
        <f>IFERROR(ROUND(AVERAGE(G252:G258),2),"")</f>
        <v/>
      </c>
      <c r="I252" s="496" t="str">
        <f>IF(H252="","",IF(H252:H258&gt;0.69,"Functioning",IF(H252&gt;0.29,"Functioning At Risk",IF(H252&gt;-1,"Not Functioning"))))</f>
        <v/>
      </c>
    </row>
    <row r="253" spans="1:9" ht="15.75" x14ac:dyDescent="0.25">
      <c r="A253" s="481"/>
      <c r="B253" s="449"/>
      <c r="C253" s="156" t="s">
        <v>257</v>
      </c>
      <c r="D253" s="254"/>
      <c r="E253" s="64"/>
      <c r="F253" s="265" t="str">
        <f>IF(E253="","",ROUND(IF(E253&gt;33.5,0,IF(E253&lt;=0,1,E253*'Reference Curves'!$C$44+'Reference Curves'!$C$45)),2))</f>
        <v/>
      </c>
      <c r="G253" s="458"/>
      <c r="H253" s="458"/>
      <c r="I253" s="497"/>
    </row>
    <row r="254" spans="1:9" ht="15.75" x14ac:dyDescent="0.25">
      <c r="A254" s="481"/>
      <c r="B254" s="450"/>
      <c r="C254" s="178" t="s">
        <v>324</v>
      </c>
      <c r="D254" s="255"/>
      <c r="E254" s="69"/>
      <c r="F254" s="265" t="str">
        <f>IF(E254="","",ROUND(IF(E254&gt;=61,0,IF(E254&lt;=0,1,IF(E254&gt;35,E254*'Reference Curves'!$C$75+'Reference Curves'!$C$76,E254*'Reference Curves'!$D$75+'Reference Curves'!$D$76))),2))</f>
        <v/>
      </c>
      <c r="G254" s="459"/>
      <c r="H254" s="458"/>
      <c r="I254" s="497"/>
    </row>
    <row r="255" spans="1:9" ht="15.75" x14ac:dyDescent="0.25">
      <c r="A255" s="481"/>
      <c r="B255" s="451" t="s">
        <v>95</v>
      </c>
      <c r="C255" s="137" t="s">
        <v>138</v>
      </c>
      <c r="D255" s="280"/>
      <c r="E255" s="57"/>
      <c r="F255" s="139" t="str">
        <f>IF(E255="","",ROUND(IF(E255&gt;=86,0,IF(E255&lt;=9,1,IF(E255&gt;22,E255*'Reference Curves'!$C$14+'Reference Curves'!$C$15,IF(E255&gt;16,E255*'Reference Curves'!$D$14+'Reference Curves'!$D$15,E255*'Reference Curves'!$E$14+'Reference Curves'!$E$15)))),2))</f>
        <v/>
      </c>
      <c r="G255" s="457" t="str">
        <f>IFERROR(AVERAGE(F255:F258),"")</f>
        <v/>
      </c>
      <c r="H255" s="458"/>
      <c r="I255" s="497"/>
    </row>
    <row r="256" spans="1:9" ht="15.75" x14ac:dyDescent="0.25">
      <c r="A256" s="481"/>
      <c r="B256" s="452"/>
      <c r="C256" s="156" t="s">
        <v>257</v>
      </c>
      <c r="D256" s="281"/>
      <c r="E256" s="57"/>
      <c r="F256" s="265" t="str">
        <f>IF(E256="","",ROUND(IF(E256&gt;33.5,0,IF(E256&lt;=0,1,E256*'Reference Curves'!$C$44+'Reference Curves'!$C$45)),2))</f>
        <v/>
      </c>
      <c r="G256" s="458"/>
      <c r="H256" s="458"/>
      <c r="I256" s="497"/>
    </row>
    <row r="257" spans="1:9" ht="15.75" x14ac:dyDescent="0.25">
      <c r="A257" s="481"/>
      <c r="B257" s="452"/>
      <c r="C257" s="156" t="s">
        <v>324</v>
      </c>
      <c r="D257" s="281"/>
      <c r="E257" s="57"/>
      <c r="F257" s="265" t="str">
        <f>IF(E257="","",ROUND(IF(E257&gt;=61,0,IF(E257&lt;=0,1,IF(E257&gt;35,E257*'Reference Curves'!$C$75+'Reference Curves'!$C$76,E257*'Reference Curves'!$D$75+'Reference Curves'!$D$76))),2))</f>
        <v/>
      </c>
      <c r="G257" s="458"/>
      <c r="H257" s="458"/>
      <c r="I257" s="497"/>
    </row>
    <row r="258" spans="1:9" ht="15.6" customHeight="1" x14ac:dyDescent="0.25">
      <c r="A258" s="482"/>
      <c r="B258" s="453"/>
      <c r="C258" s="178" t="s">
        <v>227</v>
      </c>
      <c r="D258" s="179"/>
      <c r="E258" s="57"/>
      <c r="F258" s="157" t="str">
        <f>IF(E258="","",   IF(E258&gt;3.35,0, IF(E258&lt;0, "", ROUND('Reference Curves'!$C$105*E258+'Reference Curves'!$C$106,2))))</f>
        <v/>
      </c>
      <c r="G258" s="459"/>
      <c r="H258" s="458"/>
      <c r="I258" s="498"/>
    </row>
    <row r="259" spans="1:9" ht="15.75" x14ac:dyDescent="0.25">
      <c r="A259" s="509" t="s">
        <v>160</v>
      </c>
      <c r="B259" s="533" t="s">
        <v>5</v>
      </c>
      <c r="C259" s="227" t="s">
        <v>226</v>
      </c>
      <c r="D259" s="204"/>
      <c r="E259" s="59"/>
      <c r="F259" s="205" t="str">
        <f>IF(E259="","",ROUND(IF(OR(E259&gt;1.71, E259&lt;0.34),0,IF(E259&lt;=1,1,E259*'Reference Curves'!K$13+'Reference Curves'!K$14)),2))</f>
        <v/>
      </c>
      <c r="G259" s="526" t="str">
        <f>IFERROR(AVERAGE(F259:F260),"")</f>
        <v/>
      </c>
      <c r="H259" s="493" t="str">
        <f>IFERROR(ROUND(AVERAGE(G259:G261),2),"")</f>
        <v/>
      </c>
      <c r="I259" s="496" t="str">
        <f>IF(H259="","",IF(H259&gt;0.69,"Functioning",IF(H259&gt;0.29,"Functioning At Risk",IF(H259&gt;-1,"Not Functioning"))))</f>
        <v/>
      </c>
    </row>
    <row r="260" spans="1:9" ht="15.6" customHeight="1" x14ac:dyDescent="0.25">
      <c r="A260" s="510"/>
      <c r="B260" s="534"/>
      <c r="C260" s="226" t="s">
        <v>225</v>
      </c>
      <c r="D260" s="61"/>
      <c r="E260" s="198"/>
      <c r="F260" s="231" t="str">
        <f>IF(E260="","",IF(LEFT('Quantification Tool'!$B$10,1)="B",IF(E260&lt;=1,0,IF(E260&gt;=2.2,1,ROUND(IF(E260&lt;1.4,E260*'Reference Curves'!$K$117+'Reference Curves'!$K$118,E260*'Reference Curves'!$L$117+'Reference Curves'!$L$118),2))),
IF(LEFT('Quantification Tool'!$B$10,1)="C",IF(E260&lt;1.7,0,IF(E260&gt;=4.4,1,ROUND(IF(E260&lt;2.4,E260*'Reference Curves'!$K$47+'Reference Curves'!$K$48,E260*'Reference Curves'!$L$47+'Reference Curves'!$L$48),2))),
IF(LEFT('Quantification Tool'!$B$10,1)="E",IF(E260&lt;1.7,0,IF(E260&gt;=6.5,1,ROUND(IF(E260&lt;2.4,E260*'Reference Curves'!$K$82+'Reference Curves'!$K$83,E260*'Reference Curves'!$L$82+'Reference Curves'!$L$83),2)))) )     ))</f>
        <v/>
      </c>
      <c r="G260" s="527"/>
      <c r="H260" s="494"/>
      <c r="I260" s="497"/>
    </row>
    <row r="261" spans="1:9" ht="15.6" customHeight="1" x14ac:dyDescent="0.25">
      <c r="A261" s="511"/>
      <c r="B261" s="211" t="s">
        <v>210</v>
      </c>
      <c r="C261" s="225" t="s">
        <v>270</v>
      </c>
      <c r="D261" s="203"/>
      <c r="E261" s="140"/>
      <c r="F261" s="232" t="str">
        <f>IF(E261="","", IF(E261&gt;=180,0, IF(E261=100,1, ROUND(IF(E261&gt;100, E261*'Reference Curves'!$L$151+'Reference Curves'!$L$152, IF(E259&gt;1.2,IF(E261&lt;=20,0,E261*'Reference Curves'!$K$151+'Reference Curves'!$K$152),1) ),2))))</f>
        <v/>
      </c>
      <c r="G261" s="253" t="str">
        <f>IFERROR(AVERAGE(F261:F261),"")</f>
        <v/>
      </c>
      <c r="H261" s="495"/>
      <c r="I261" s="498"/>
    </row>
    <row r="262" spans="1:9" ht="15.75" x14ac:dyDescent="0.25">
      <c r="A262" s="507" t="s">
        <v>17</v>
      </c>
      <c r="B262" s="200" t="s">
        <v>231</v>
      </c>
      <c r="C262" s="212" t="s">
        <v>228</v>
      </c>
      <c r="D262" s="213"/>
      <c r="E262" s="34"/>
      <c r="F262" s="237" t="str">
        <f>IF(E262="","",IF('Quantification Tool'!$B$17="Alaska Range",ROUND(IF(E262&lt;=0.05,0, IF(E262&gt;=6.3,1,IF(E262&lt;=1.5,'Reference Curves'!$S$16*E262+'Reference Curves'!$S$17, 'Reference Curves'!$T$16*E262+'Reference Curves'!$T$17))),2),
IF('Quantification Tool'!$B$17="Brooks Range",ROUND(IF(E262&gt;=4.2,1,IF(E262&lt;0.03,0, IF(E262&lt;=1.2,'Reference Curves'!$U$16*E262+'Reference Curves'!$U$17, 'Reference Curves'!$V$16*E262+'Reference Curves'!$V$17))),2),
IF(OR('Quantification Tool'!$B$17="Interior Bottomlands",'Quantification Tool'!$B$17="Yukon Flats"),ROUND(IF(E262&gt;=54.5,1,IF(E262&lt;=3.7,'Reference Curves'!$S$51*E262+'Reference Curves'!$S$52, IF(E262&lt;4.7, 'Reference Curves'!$T$51*E262+'Reference Curves'!$T$52, 'Reference Curves'!$U$51*E262+'Reference Curves'!$U$52))),2),
IF(OR('Quantification Tool'!$B$17="Interior Forested Lowlands/Uplands",'Quantification Tool'!$B$17="Interior Highlands"),ROUND(IF(E262=0,0,IF(E262&gt;=24.1,1,IF(E262&lt;=1.3,'Reference Curves'!$V$51*E262+'Reference Curves'!$V$52, 'Reference Curves'!$W$51*E262+'Reference Curves'!$W$52))),2))))))</f>
        <v/>
      </c>
      <c r="G262" s="214" t="str">
        <f>IFERROR(AVERAGE(F262:F262),"")</f>
        <v/>
      </c>
      <c r="H262" s="521" t="str">
        <f>IFERROR(ROUND(AVERAGE(G262:G272),2),"")</f>
        <v/>
      </c>
      <c r="I262" s="523" t="str">
        <f>IF(H262="","",IF(H262&gt;0.69,"Functioning",IF(H262&gt;0.29,"Functioning At Risk",IF(H262&gt;-1,"Not Functioning"))))</f>
        <v/>
      </c>
    </row>
    <row r="263" spans="1:9" ht="15.75" x14ac:dyDescent="0.25">
      <c r="A263" s="508"/>
      <c r="B263" s="508" t="s">
        <v>157</v>
      </c>
      <c r="C263" s="130" t="s">
        <v>40</v>
      </c>
      <c r="D263" s="63"/>
      <c r="E263" s="238"/>
      <c r="F263" s="115" t="str">
        <f>IF(E263="","",IF(OR(E263="Ex/Ex",E263="Ex/VH",E263="Ex/H",E263="Ex/M",E263="VH/Ex",E263="VH/VH", E263="H/Ex",E263="H/VH"),0, IF(OR(E263="M/Ex"),0.1,IF(OR(E263="VH/H",E263="VH/M",E263="H/H",E263="H/M", E263="M/VH"),0.2, IF(OR(E263="Ex/VL",E263="Ex/L", E263="M/H"),0.3, IF(OR(E263="VH/L",E263="H/L"),0.4, IF(OR(E263="VH/VL",E263="H/VL",E263="M/M"),0.5, IF(OR(E263="M/L",E263="L/Ex"),0.6, IF(OR(E263="M/VL",E263="L/VH", E263="L/H",E263="L/M",E263="L/L",E263="L/VL",LEFT(E263)="V"),1)))))))))</f>
        <v/>
      </c>
      <c r="G263" s="522" t="str">
        <f>IFERROR(IF(E265&gt;50,0,AVERAGE(F263:F265)),"")</f>
        <v/>
      </c>
      <c r="H263" s="522"/>
      <c r="I263" s="524"/>
    </row>
    <row r="264" spans="1:9" ht="15.75" x14ac:dyDescent="0.25">
      <c r="A264" s="508"/>
      <c r="B264" s="508"/>
      <c r="C264" s="131" t="s">
        <v>65</v>
      </c>
      <c r="D264" s="125"/>
      <c r="E264" s="141"/>
      <c r="F264" s="115" t="str">
        <f>IF(E264="","",ROUND(IF(E264&gt;=75,0,IF(E264&lt;=5,1,IF(E264&gt;10,E264*'Reference Curves'!S$85+'Reference Curves'!S$86,'Reference Curves'!$T$85*E264+'Reference Curves'!$T$86))),2))</f>
        <v/>
      </c>
      <c r="G264" s="522"/>
      <c r="H264" s="522"/>
      <c r="I264" s="524"/>
    </row>
    <row r="265" spans="1:9" ht="15.75" x14ac:dyDescent="0.25">
      <c r="A265" s="508"/>
      <c r="B265" s="520"/>
      <c r="C265" s="132" t="s">
        <v>203</v>
      </c>
      <c r="D265" s="126"/>
      <c r="E265" s="60"/>
      <c r="F265" s="116" t="str">
        <f>IF(E265="","",IF(E265&gt;=30,0,ROUND(E265*'Reference Curves'!$S$116+'Reference Curves'!$S$117,2)))</f>
        <v/>
      </c>
      <c r="G265" s="525"/>
      <c r="H265" s="522"/>
      <c r="I265" s="524"/>
    </row>
    <row r="266" spans="1:9" ht="15.75" x14ac:dyDescent="0.25">
      <c r="A266" s="508"/>
      <c r="B266" s="270" t="s">
        <v>82</v>
      </c>
      <c r="C266" s="9" t="s">
        <v>256</v>
      </c>
      <c r="D266" s="63"/>
      <c r="E266" s="60"/>
      <c r="F266" s="65" t="str">
        <f>IF(E266="","",IF(OR('Quantification Tool'!B$15="Cobble",'Quantification Tool'!B$15="Boulders",'Quantification Tool'!B$15="Bedrock"),ROUND(IF(E266&lt;=0,1,IF(E266&gt;=13.7,0, IF(E266&gt;5,E266*'Reference Curves'!$U$150+'Reference Curves'!$U$151,  E266*'Reference Curves'!$V$150+'Reference Curves'!$V$151))),2),
IF('Quantification Tool'!B$15="Gravel",ROUND(IF(E266&lt;=3,1,IF(E266&gt;=54,0, IF(E266&gt;15,E266*'Reference Curves'!$S$150+'Reference Curves'!$S$151,  E266*'Reference Curves'!$T$150+'Reference Curves'!$T$151))),2))))</f>
        <v/>
      </c>
      <c r="G266" s="65" t="str">
        <f>IFERROR(AVERAGE(F266),"")</f>
        <v/>
      </c>
      <c r="H266" s="522"/>
      <c r="I266" s="524"/>
    </row>
    <row r="267" spans="1:9" ht="15.75" x14ac:dyDescent="0.25">
      <c r="A267" s="508"/>
      <c r="B267" s="507" t="s">
        <v>42</v>
      </c>
      <c r="C267" s="8" t="s">
        <v>229</v>
      </c>
      <c r="D267" s="62"/>
      <c r="E267" s="66"/>
      <c r="F267" s="67" t="str">
        <f>IF(E267="","", IF(LEFT('Quantification Tool'!$B$10,1)="C", IF(OR(E267&lt;=3,E267&gt;=9.3),0,IF(AND(E267&gt;=4,E267&lt;=6),1,IF(E267&lt;4, ROUND(E267*'Reference Curves'!$S$250+'Reference Curves'!$S$251,2), ROUND(E267*'Reference Curves'!$T$250+'Reference Curves'!$T$251,2)))),
IF(LEFT('Quantification Tool'!$B$10,1)="E", IF(OR(E267&lt;=1.8,E267&gt;=8.3),0,IF(AND(E267&gt;=3.5,E267&lt;=5),1,IF(E267&lt;3.5, ROUND(E267*'Reference Curves'!$S$283+'Reference Curves'!$S$284,2), ROUND(E267*'Reference Curves'!$T$283+'Reference Curves'!$T$284,2)))),
IF(OR('Quantification Tool'!$B$10="B",'Quantification Tool'!$B$10="Ba"), IF(E267&gt;=6,0, IF(E267&lt;=2, 1, IF(E267&gt;3.9, ROUND(E267*'Reference Curves'!$S$185+'Reference Curves'!$S$186,2), ROUND(E267*'Reference Curves'!$T$185+'Reference Curves'!$T$186,2)))),
IF('Quantification Tool'!$B$10="Bc",  IF(E267&gt;12,0, IF(E267&lt;=3.4, 1, ROUND(E267*'Reference Curves'!$S$217+'Reference Curves'!$S$218,2))))))))</f>
        <v/>
      </c>
      <c r="G267" s="518" t="str">
        <f>IFERROR(AVERAGE(F267:F269),"")</f>
        <v/>
      </c>
      <c r="H267" s="522"/>
      <c r="I267" s="524"/>
    </row>
    <row r="268" spans="1:9" ht="15.75" x14ac:dyDescent="0.25">
      <c r="A268" s="508"/>
      <c r="B268" s="508"/>
      <c r="C268" s="105" t="s">
        <v>230</v>
      </c>
      <c r="D268" s="63"/>
      <c r="E268" s="64"/>
      <c r="F268" s="68" t="str">
        <f>IF(E268="","",IF(OR('Quantification Tool'!$B$10="B",'Quantification Tool'!$B$10="Ba"),ROUND(IF(E268&lt;=1,0,IF(E268&gt;=2.8,1,IF(E268&lt;1.8,E268*'Reference Curves'!$S$318+'Reference Curves'!$S$319,E268*'Reference Curves'!$T$318+'Reference Curves'!$T$319))),2),
ROUND(IF(E268&lt;=1,0,IF(E268&gt;=3.2,1,IF(E268&lt;2.2,E268*'Reference Curves'!$U$318+'Reference Curves'!$U$319,E268*'Reference Curves'!$V$318+'Reference Curves'!$V$319))),2)))</f>
        <v/>
      </c>
      <c r="G268" s="519"/>
      <c r="H268" s="522"/>
      <c r="I268" s="524"/>
    </row>
    <row r="269" spans="1:9" ht="15.75" x14ac:dyDescent="0.25">
      <c r="A269" s="508"/>
      <c r="B269" s="508"/>
      <c r="C269" s="105" t="s">
        <v>142</v>
      </c>
      <c r="D269" s="63"/>
      <c r="E269" s="64"/>
      <c r="F269" s="302" t="str">
        <f>IF(E269="","",IF('Quantification Tool'!$B$16&gt;=3,IF(OR(E269&lt;=0,E269&gt;=100),0,IF(AND(E269&gt;=68,E269&lt;=85),1,IF(E269&lt;68,IF(E269&lt;62,ROUND(E269*'Reference Curves'!$S$352+'Reference Curves'!$S$353,2),ROUND(E269*'Reference Curves'!$T$352+'Reference Curves'!$T$353,2)),
IF(E269&gt;87,ROUND(E269*'Reference Curves'!$U$352+'Reference Curves'!$U$353,2),ROUND(E269*'Reference Curves'!$V$352+'Reference Curves'!$V$353,2))))),
IF('Quantification Tool'!$B$16&lt;&gt;0,IF(OR(E269&lt;=0,E269&gt;=100),0,IF(AND(E269&lt;=60,E269&gt;=50),1,IF(E269&lt;50,IF(E269&lt;39,ROUND(E269*'Reference Curves'!$S$386+'Reference Curves'!$S$387,2),ROUND(E269*'Reference Curves'!$T$386+'Reference Curves'!$T$387,2)),
IF(E269&gt;69,ROUND(E269*'Reference Curves'!$U$386+'Reference Curves'!$U$387,2),ROUND(E269*'Reference Curves'!$V$386+'Reference Curves'!$V$387,2))))))))</f>
        <v/>
      </c>
      <c r="G269" s="519"/>
      <c r="H269" s="522"/>
      <c r="I269" s="524"/>
    </row>
    <row r="270" spans="1:9" ht="15.75" x14ac:dyDescent="0.25">
      <c r="A270" s="508"/>
      <c r="B270" s="507" t="s">
        <v>41</v>
      </c>
      <c r="C270" s="8" t="s">
        <v>332</v>
      </c>
      <c r="D270" s="128"/>
      <c r="E270" s="129"/>
      <c r="F270" s="124" t="str">
        <f>IF(E270="","",IF('Quantification Tool'!$B$11="Unconfined Alluvial",IF(E270&gt;=100,1,IF(E270&lt;0,0,ROUND('Reference Curves'!$S$420*E270+'Reference Curves'!$S$421,2))),IF(OR('Quantification Tool'!$B$11="Confined Alluvial",'Quantification Tool'!$B$11="Colluvial/V-Shaped"),(IF(E270&gt;=100,1,IF(E270&lt;0,0,IF(E270&lt;60,ROUND('Reference Curves'!$T$420*E270+'Reference Curves'!$T$421,2), ROUND('Reference Curves'!$U$420*E270+'Reference Curves'!$U$421,2))))))))</f>
        <v/>
      </c>
      <c r="G270" s="518" t="str">
        <f>IFERROR(AVERAGE(F270:F272),"")</f>
        <v/>
      </c>
      <c r="H270" s="522"/>
      <c r="I270" s="524"/>
    </row>
    <row r="271" spans="1:9" ht="15.75" x14ac:dyDescent="0.25">
      <c r="A271" s="508"/>
      <c r="B271" s="508"/>
      <c r="C271" s="105" t="s">
        <v>251</v>
      </c>
      <c r="D271" s="123"/>
      <c r="E271" s="127"/>
      <c r="F271" s="68" t="str">
        <f>IF(E271="","",IF(OR('Quantification Tool'!$B$17="Alaska Range",'Quantification Tool'!$B$17="Brooks Range"),ROUND(IF(E271&gt;=1.57,1,IF(E271&lt;=0.06,'Reference Curves'!$S$455*E271+'Reference Curves'!$S$456, IF(E271&lt;0.83, 'Reference Curves'!$T$455*E271+'Reference Curves'!$T$456, 'Reference Curves'!$U$455*E271+'Reference Curves'!$U$456))),2),
IF('Quantification Tool'!$B$17="Interior Highlands",ROUND(IF(E271&gt;=1.67,1,IF(E271&lt;=0.94,'Reference Curves'!$V$455*E271+'Reference Curves'!$V$456, IF(E271&lt;1.21, 'Reference Curves'!$W$455*E271+'Reference Curves'!$W$456, 'Reference Curves'!$X$455*E271+'Reference Curves'!$X$456))),2),
IF(OR('Quantification Tool'!$B$17="Interior Bottomlands",'Quantification Tool'!$B$17="Yukon Flats"),ROUND(IF(E271&gt;=1.82,1,IF(E271&lt;=1.19,'Reference Curves'!$S$490*E271+'Reference Curves'!$S$491, IF(E271&lt;1.37, 'Reference Curves'!$T$490*E271+'Reference Curves'!$T$491, 'Reference Curves'!$U$490*E271+'Reference Curves'!$U$491))),2),
IF('Quantification Tool'!$B$17="Interior Forested Lowlands/Uplands",ROUND(IF(E271&gt;=1.87,1,IF(E271&lt;=1.24,'Reference Curves'!$V$490*E271+'Reference Curves'!$V$491, IF(E271&lt;1.45, 'Reference Curves'!$W$490*E271+'Reference Curves'!$W$491, 'Reference Curves'!$X$490*E271+'Reference Curves'!$X$491))),2))))))</f>
        <v/>
      </c>
      <c r="G271" s="519"/>
      <c r="H271" s="522"/>
      <c r="I271" s="524"/>
    </row>
    <row r="272" spans="1:9" ht="15.75" x14ac:dyDescent="0.25">
      <c r="A272" s="508"/>
      <c r="B272" s="508"/>
      <c r="C272" s="105" t="s">
        <v>325</v>
      </c>
      <c r="D272" s="123"/>
      <c r="E272" s="127"/>
      <c r="F272" s="68" t="str">
        <f>IF(E272="","",IF(E272&lt;83.5,0,IF(E272&gt;=100,1, ROUND(E272*'Reference Curves'!$S$521+'Reference Curves'!$S$522,2))))</f>
        <v/>
      </c>
      <c r="G272" s="519"/>
      <c r="H272" s="522"/>
      <c r="I272" s="524"/>
    </row>
    <row r="273" spans="1:9" ht="15.75" x14ac:dyDescent="0.25">
      <c r="A273" s="513" t="s">
        <v>47</v>
      </c>
      <c r="B273" s="268" t="s">
        <v>60</v>
      </c>
      <c r="C273" s="274" t="s">
        <v>341</v>
      </c>
      <c r="D273" s="275"/>
      <c r="E273" s="59"/>
      <c r="F273" s="171" t="str">
        <f>IF(E273="","",IF(E273&lt;=1.1,1,IF(E273&gt;1.315,0,ROUND(E273*'Reference Curves'!$AA$13+'Reference Curves'!$AA$14,2))))</f>
        <v/>
      </c>
      <c r="G273" s="269" t="str">
        <f>IFERROR(AVERAGE(F273:F273),"")</f>
        <v/>
      </c>
      <c r="H273" s="530" t="str">
        <f>IFERROR(ROUND(AVERAGE(G273:G275),2),"")</f>
        <v/>
      </c>
      <c r="I273" s="487" t="str">
        <f>IF(H273="","",IF(H273&gt;0.69,"Functioning",IF(H273&gt;0.29,"Functioning At Risk",IF(H273&gt;-1,"Not Functioning"))))</f>
        <v/>
      </c>
    </row>
    <row r="274" spans="1:9" ht="15.75" x14ac:dyDescent="0.25">
      <c r="A274" s="514"/>
      <c r="B274" s="172" t="s">
        <v>259</v>
      </c>
      <c r="C274" s="274" t="s">
        <v>342</v>
      </c>
      <c r="D274" s="275"/>
      <c r="E274" s="34"/>
      <c r="F274" s="171" t="str">
        <f>IF(E274="","",IF(E274&lt;=3.2,1,IF(E274&gt;=100,0,ROUND(IF(E274&gt;10,E274*'Reference Curves'!$AA$46+'Reference Curves'!$AA$47,E274*'Reference Curves'!$AB$46+'Reference Curves'!$AB$47),2))))</f>
        <v/>
      </c>
      <c r="G274" s="171" t="str">
        <f>IFERROR(AVERAGE(F274),"")</f>
        <v/>
      </c>
      <c r="H274" s="531"/>
      <c r="I274" s="487"/>
    </row>
    <row r="275" spans="1:9" ht="15.75" x14ac:dyDescent="0.25">
      <c r="A275" s="515"/>
      <c r="B275" s="172" t="s">
        <v>260</v>
      </c>
      <c r="C275" s="169" t="s">
        <v>359</v>
      </c>
      <c r="D275" s="170"/>
      <c r="E275" s="34"/>
      <c r="F275" s="171" t="str">
        <f>IF(E275="","",IF(E275&gt;=75,1,IF(E275&lt;19,0,ROUND(E275*'Reference Curves'!$AA$79+'Reference Curves'!$AA$80,2))))</f>
        <v/>
      </c>
      <c r="G275" s="171" t="str">
        <f>IFERROR(AVERAGE(F275),"")</f>
        <v/>
      </c>
      <c r="H275" s="532"/>
      <c r="I275" s="487"/>
    </row>
    <row r="276" spans="1:9" ht="15.75" x14ac:dyDescent="0.25">
      <c r="A276" s="499" t="s">
        <v>48</v>
      </c>
      <c r="B276" s="145" t="s">
        <v>109</v>
      </c>
      <c r="C276" s="144" t="s">
        <v>370</v>
      </c>
      <c r="D276" s="70"/>
      <c r="E276" s="59"/>
      <c r="F276" s="239" t="str">
        <f>IF(E276="","", ROUND(IF(E276&gt;=81,0,IF(E276&lt;=36,1,IF(E276&gt;62,E276*'Reference Curves'!$AJ$14+'Reference Curves'!$AJ$15,IF(E276&gt;43,E276*'Reference Curves'!$AK$14+'Reference Curves'!$AK$15,E276*'Reference Curves'!$AL$14+'Reference Curves'!$AL$15)))),2))</f>
        <v/>
      </c>
      <c r="G276" s="146" t="str">
        <f>IFERROR(AVERAGE(F276),"")</f>
        <v/>
      </c>
      <c r="H276" s="505" t="str">
        <f>IFERROR(ROUND(AVERAGE(G276:G279),2),"")</f>
        <v/>
      </c>
      <c r="I276" s="487" t="str">
        <f>IF(H276="","",IF(H276&gt;0.69,"Functioning",IF(H276&gt;0.29,"Functioning At Risk",IF(H276&gt;-1,"Not Functioning"))))</f>
        <v/>
      </c>
    </row>
    <row r="277" spans="1:9" ht="15.75" x14ac:dyDescent="0.25">
      <c r="A277" s="500"/>
      <c r="B277" s="502" t="s">
        <v>56</v>
      </c>
      <c r="C277" s="144" t="s">
        <v>333</v>
      </c>
      <c r="D277" s="70"/>
      <c r="E277" s="66"/>
      <c r="F277" s="229" t="str">
        <f>IF(E277="","", IF('Quantification Tool'!$B$18="Anadromous",ROUND(IF(E277&lt;=0,0,IF(E277&gt;=100,1,IF(E277&lt;80,E277*'Reference Curves'!$AJ$48+'Reference Curves'!$AJ$49,E277*'Reference Curves'!$AK$48+'Reference Curves'!$AK$49))),2),
IF('Quantification Tool'!$B$18="Non-anadromous",ROUND(IF(E277&lt;=0,0,IF(E277&gt;=100,1,IF(E277&lt;60,E277*'Reference Curves'!$AL$48+'Reference Curves'!$AL$49,E277*'Reference Curves'!$AM$48+'Reference Curves'!$AM$49))),2))))</f>
        <v/>
      </c>
      <c r="G277" s="488" t="str">
        <f>IFERROR(AVERAGE(F277:F279),"")</f>
        <v/>
      </c>
      <c r="H277" s="506"/>
      <c r="I277" s="487"/>
    </row>
    <row r="278" spans="1:9" ht="15.75" x14ac:dyDescent="0.25">
      <c r="A278" s="500"/>
      <c r="B278" s="503"/>
      <c r="C278" s="362" t="s">
        <v>343</v>
      </c>
      <c r="D278" s="363"/>
      <c r="E278" s="64"/>
      <c r="F278" s="239" t="str">
        <f>IF(E278="","",IF(E278&lt;0,0,IF(E278&gt;=0.9,1,ROUND(E278*'Reference Curves'!$AJ$81+'Reference Curves'!$AJ$82,2))))</f>
        <v/>
      </c>
      <c r="G278" s="488"/>
      <c r="H278" s="506"/>
      <c r="I278" s="487"/>
    </row>
    <row r="279" spans="1:9" ht="15.75" x14ac:dyDescent="0.25">
      <c r="A279" s="501"/>
      <c r="B279" s="504"/>
      <c r="C279" s="228" t="s">
        <v>233</v>
      </c>
      <c r="D279" s="230"/>
      <c r="E279" s="277"/>
      <c r="F279" s="71" t="str">
        <f>IF(E279="","",IF(E279&lt;0,0,IF(E279&gt;=0.9,1,ROUND(E279*'Reference Curves'!$AJ$81+'Reference Curves'!$AJ$82,2))))</f>
        <v/>
      </c>
      <c r="G279" s="489"/>
      <c r="H279" s="506"/>
      <c r="I279" s="487"/>
    </row>
    <row r="281" spans="1:9" ht="21" x14ac:dyDescent="0.35">
      <c r="A281" s="19" t="s">
        <v>101</v>
      </c>
      <c r="B281" s="121"/>
      <c r="C281" s="122" t="s">
        <v>152</v>
      </c>
      <c r="D281" s="584"/>
      <c r="E281" s="584"/>
      <c r="F281" s="585"/>
      <c r="G281" s="512" t="s">
        <v>12</v>
      </c>
      <c r="H281" s="582"/>
      <c r="I281" s="583"/>
    </row>
    <row r="282" spans="1:9" ht="16.5" customHeight="1" x14ac:dyDescent="0.25">
      <c r="A282" s="25" t="s">
        <v>1</v>
      </c>
      <c r="B282" s="25" t="s">
        <v>2</v>
      </c>
      <c r="C282" s="112" t="s">
        <v>3</v>
      </c>
      <c r="D282" s="113"/>
      <c r="E282" s="25" t="s">
        <v>10</v>
      </c>
      <c r="F282" s="25" t="s">
        <v>11</v>
      </c>
      <c r="G282" s="25" t="s">
        <v>13</v>
      </c>
      <c r="H282" s="25" t="s">
        <v>14</v>
      </c>
      <c r="I282" s="25" t="s">
        <v>14</v>
      </c>
    </row>
    <row r="283" spans="1:9" ht="15.75" customHeight="1" x14ac:dyDescent="0.25">
      <c r="A283" s="480" t="s">
        <v>161</v>
      </c>
      <c r="B283" s="448" t="s">
        <v>258</v>
      </c>
      <c r="C283" s="137" t="s">
        <v>138</v>
      </c>
      <c r="D283" s="138"/>
      <c r="E283" s="66"/>
      <c r="F283" s="264" t="str">
        <f>IF(E283="","",ROUND(IF(E283&gt;=86,0,IF(E283&lt;=9,1,IF(E283&gt;22,E283*'Reference Curves'!$C$14+'Reference Curves'!$C$15,IF(E283&gt;16,E283*'Reference Curves'!$D$14+'Reference Curves'!$D$15,E283*'Reference Curves'!$E$14+'Reference Curves'!$E$15)))),2))</f>
        <v/>
      </c>
      <c r="G283" s="457" t="str">
        <f>IFERROR(AVERAGE(F283:F285),"")</f>
        <v/>
      </c>
      <c r="H283" s="457" t="str">
        <f>IFERROR(ROUND(AVERAGE(G283:G289),2),"")</f>
        <v/>
      </c>
      <c r="I283" s="496" t="str">
        <f>IF(H283="","",IF(H283:H289&gt;0.69,"Functioning",IF(H283&gt;0.29,"Functioning At Risk",IF(H283&gt;-1,"Not Functioning"))))</f>
        <v/>
      </c>
    </row>
    <row r="284" spans="1:9" ht="15.75" customHeight="1" x14ac:dyDescent="0.25">
      <c r="A284" s="481"/>
      <c r="B284" s="449"/>
      <c r="C284" s="156" t="s">
        <v>257</v>
      </c>
      <c r="D284" s="254"/>
      <c r="E284" s="64"/>
      <c r="F284" s="265" t="str">
        <f>IF(E284="","",ROUND(IF(E284&gt;33.5,0,IF(E284&lt;=0,1,E284*'Reference Curves'!$C$44+'Reference Curves'!$C$45)),2))</f>
        <v/>
      </c>
      <c r="G284" s="458"/>
      <c r="H284" s="458"/>
      <c r="I284" s="497"/>
    </row>
    <row r="285" spans="1:9" ht="15.75" customHeight="1" x14ac:dyDescent="0.25">
      <c r="A285" s="481"/>
      <c r="B285" s="450"/>
      <c r="C285" s="178" t="s">
        <v>324</v>
      </c>
      <c r="D285" s="255"/>
      <c r="E285" s="69"/>
      <c r="F285" s="265" t="str">
        <f>IF(E285="","",ROUND(IF(E285&gt;=61,0,IF(E285&lt;=0,1,IF(E285&gt;35,E285*'Reference Curves'!$C$75+'Reference Curves'!$C$76,E285*'Reference Curves'!$D$75+'Reference Curves'!$D$76))),2))</f>
        <v/>
      </c>
      <c r="G285" s="459"/>
      <c r="H285" s="458"/>
      <c r="I285" s="497"/>
    </row>
    <row r="286" spans="1:9" ht="15.75" customHeight="1" x14ac:dyDescent="0.25">
      <c r="A286" s="481"/>
      <c r="B286" s="451" t="s">
        <v>95</v>
      </c>
      <c r="C286" s="137" t="s">
        <v>138</v>
      </c>
      <c r="D286" s="280"/>
      <c r="E286" s="57"/>
      <c r="F286" s="139" t="str">
        <f>IF(E286="","",ROUND(IF(E286&gt;=86,0,IF(E286&lt;=9,1,IF(E286&gt;22,E286*'Reference Curves'!$C$14+'Reference Curves'!$C$15,IF(E286&gt;16,E286*'Reference Curves'!$D$14+'Reference Curves'!$D$15,E286*'Reference Curves'!$E$14+'Reference Curves'!$E$15)))),2))</f>
        <v/>
      </c>
      <c r="G286" s="457" t="str">
        <f>IFERROR(AVERAGE(F286:F289),"")</f>
        <v/>
      </c>
      <c r="H286" s="458"/>
      <c r="I286" s="497"/>
    </row>
    <row r="287" spans="1:9" ht="15.75" customHeight="1" x14ac:dyDescent="0.25">
      <c r="A287" s="481"/>
      <c r="B287" s="452"/>
      <c r="C287" s="156" t="s">
        <v>257</v>
      </c>
      <c r="D287" s="281"/>
      <c r="E287" s="57"/>
      <c r="F287" s="265" t="str">
        <f>IF(E287="","",ROUND(IF(E287&gt;33.5,0,IF(E287&lt;=0,1,E287*'Reference Curves'!$C$44+'Reference Curves'!$C$45)),2))</f>
        <v/>
      </c>
      <c r="G287" s="458"/>
      <c r="H287" s="458"/>
      <c r="I287" s="497"/>
    </row>
    <row r="288" spans="1:9" ht="15.75" customHeight="1" x14ac:dyDescent="0.25">
      <c r="A288" s="481"/>
      <c r="B288" s="452"/>
      <c r="C288" s="156" t="s">
        <v>324</v>
      </c>
      <c r="D288" s="281"/>
      <c r="E288" s="57"/>
      <c r="F288" s="265" t="str">
        <f>IF(E288="","",ROUND(IF(E288&gt;=61,0,IF(E288&lt;=0,1,IF(E288&gt;35,E288*'Reference Curves'!$C$75+'Reference Curves'!$C$76,E288*'Reference Curves'!$D$75+'Reference Curves'!$D$76))),2))</f>
        <v/>
      </c>
      <c r="G288" s="458"/>
      <c r="H288" s="458"/>
      <c r="I288" s="497"/>
    </row>
    <row r="289" spans="1:9" ht="15.75" customHeight="1" x14ac:dyDescent="0.25">
      <c r="A289" s="482"/>
      <c r="B289" s="453"/>
      <c r="C289" s="178" t="s">
        <v>227</v>
      </c>
      <c r="D289" s="179"/>
      <c r="E289" s="57"/>
      <c r="F289" s="157" t="str">
        <f>IF(E289="","",   IF(E289&gt;3.35,0, IF(E289&lt;0, "", ROUND('Reference Curves'!$C$105*E289+'Reference Curves'!$C$106,2))))</f>
        <v/>
      </c>
      <c r="G289" s="459"/>
      <c r="H289" s="458"/>
      <c r="I289" s="498"/>
    </row>
    <row r="290" spans="1:9" ht="15.75" customHeight="1" x14ac:dyDescent="0.25">
      <c r="A290" s="509" t="s">
        <v>160</v>
      </c>
      <c r="B290" s="533" t="s">
        <v>5</v>
      </c>
      <c r="C290" s="227" t="s">
        <v>226</v>
      </c>
      <c r="D290" s="204"/>
      <c r="E290" s="59"/>
      <c r="F290" s="205" t="str">
        <f>IF(E290="","",ROUND(IF(OR(E290&gt;1.71, E290&lt;0.34),0,IF(E290&lt;=1,1,E290*'Reference Curves'!K$13+'Reference Curves'!K$14)),2))</f>
        <v/>
      </c>
      <c r="G290" s="526" t="str">
        <f>IFERROR(AVERAGE(F290:F291),"")</f>
        <v/>
      </c>
      <c r="H290" s="493" t="str">
        <f>IFERROR(ROUND(AVERAGE(G290:G292),2),"")</f>
        <v/>
      </c>
      <c r="I290" s="496" t="str">
        <f>IF(H290="","",IF(H290&gt;0.69,"Functioning",IF(H290&gt;0.29,"Functioning At Risk",IF(H290&gt;-1,"Not Functioning"))))</f>
        <v/>
      </c>
    </row>
    <row r="291" spans="1:9" ht="15" customHeight="1" x14ac:dyDescent="0.25">
      <c r="A291" s="510"/>
      <c r="B291" s="534"/>
      <c r="C291" s="226" t="s">
        <v>225</v>
      </c>
      <c r="D291" s="61"/>
      <c r="E291" s="198"/>
      <c r="F291" s="231" t="str">
        <f>IF(E291="","",IF(LEFT('Quantification Tool'!$B$10,1)="B",IF(E291&lt;=1,0,IF(E291&gt;=2.2,1,ROUND(IF(E291&lt;1.4,E291*'Reference Curves'!$K$117+'Reference Curves'!$K$118,E291*'Reference Curves'!$L$117+'Reference Curves'!$L$118),2))),
IF(LEFT('Quantification Tool'!$B$10,1)="C",IF(E291&lt;1.7,0,IF(E291&gt;=4.4,1,ROUND(IF(E291&lt;2.4,E291*'Reference Curves'!$K$47+'Reference Curves'!$K$48,E291*'Reference Curves'!$L$47+'Reference Curves'!$L$48),2))),
IF(LEFT('Quantification Tool'!$B$10,1)="E",IF(E291&lt;1.7,0,IF(E291&gt;=6.5,1,ROUND(IF(E291&lt;2.4,E291*'Reference Curves'!$K$82+'Reference Curves'!$K$83,E291*'Reference Curves'!$L$82+'Reference Curves'!$L$83),2)))) )     ))</f>
        <v/>
      </c>
      <c r="G291" s="527"/>
      <c r="H291" s="494"/>
      <c r="I291" s="497"/>
    </row>
    <row r="292" spans="1:9" ht="15" customHeight="1" x14ac:dyDescent="0.25">
      <c r="A292" s="511"/>
      <c r="B292" s="211" t="s">
        <v>210</v>
      </c>
      <c r="C292" s="225" t="s">
        <v>270</v>
      </c>
      <c r="D292" s="203"/>
      <c r="E292" s="140"/>
      <c r="F292" s="232" t="str">
        <f>IF(E292="","", IF(E292&gt;=180,0, IF(E292=100,1, ROUND(IF(E292&gt;100, E292*'Reference Curves'!$L$151+'Reference Curves'!$L$152, IF(E290&gt;1.2,IF(E292&lt;=20,0,E292*'Reference Curves'!$K$151+'Reference Curves'!$K$152),1) ),2))))</f>
        <v/>
      </c>
      <c r="G292" s="253" t="str">
        <f>IFERROR(AVERAGE(F292:F292),"")</f>
        <v/>
      </c>
      <c r="H292" s="495"/>
      <c r="I292" s="498"/>
    </row>
    <row r="293" spans="1:9" ht="15" customHeight="1" x14ac:dyDescent="0.25">
      <c r="A293" s="507" t="s">
        <v>17</v>
      </c>
      <c r="B293" s="200" t="s">
        <v>231</v>
      </c>
      <c r="C293" s="212" t="s">
        <v>228</v>
      </c>
      <c r="D293" s="213"/>
      <c r="E293" s="34"/>
      <c r="F293" s="237" t="str">
        <f>IF(E293="","",IF('Quantification Tool'!$B$17="Alaska Range",ROUND(IF(E293&lt;=0.05,0, IF(E293&gt;=6.3,1,IF(E293&lt;=1.5,'Reference Curves'!$S$16*E293+'Reference Curves'!$S$17, 'Reference Curves'!$T$16*E293+'Reference Curves'!$T$17))),2),
IF('Quantification Tool'!$B$17="Brooks Range",ROUND(IF(E293&gt;=4.2,1,IF(E293&lt;0.03,0, IF(E293&lt;=1.2,'Reference Curves'!$U$16*E293+'Reference Curves'!$U$17, 'Reference Curves'!$V$16*E293+'Reference Curves'!$V$17))),2),
IF(OR('Quantification Tool'!$B$17="Interior Bottomlands",'Quantification Tool'!$B$17="Yukon Flats"),ROUND(IF(E293&gt;=54.5,1,IF(E293&lt;=3.7,'Reference Curves'!$S$51*E293+'Reference Curves'!$S$52, IF(E293&lt;4.7, 'Reference Curves'!$T$51*E293+'Reference Curves'!$T$52, 'Reference Curves'!$U$51*E293+'Reference Curves'!$U$52))),2),
IF(OR('Quantification Tool'!$B$17="Interior Forested Lowlands/Uplands",'Quantification Tool'!$B$17="Interior Highlands"),ROUND(IF(E293=0,0,IF(E293&gt;=24.1,1,IF(E293&lt;=1.3,'Reference Curves'!$V$51*E293+'Reference Curves'!$V$52, 'Reference Curves'!$W$51*E293+'Reference Curves'!$W$52))),2))))))</f>
        <v/>
      </c>
      <c r="G293" s="214" t="str">
        <f>IFERROR(AVERAGE(F293:F293),"")</f>
        <v/>
      </c>
      <c r="H293" s="521" t="str">
        <f>IFERROR(ROUND(AVERAGE(G293:G303),2),"")</f>
        <v/>
      </c>
      <c r="I293" s="523" t="str">
        <f>IF(H293="","",IF(H293&gt;0.69,"Functioning",IF(H293&gt;0.29,"Functioning At Risk",IF(H293&gt;-1,"Not Functioning"))))</f>
        <v/>
      </c>
    </row>
    <row r="294" spans="1:9" ht="15.75" x14ac:dyDescent="0.25">
      <c r="A294" s="508"/>
      <c r="B294" s="508" t="s">
        <v>157</v>
      </c>
      <c r="C294" s="130" t="s">
        <v>40</v>
      </c>
      <c r="D294" s="63"/>
      <c r="E294" s="238"/>
      <c r="F294" s="115" t="str">
        <f>IF(E294="","",IF(OR(E294="Ex/Ex",E294="Ex/VH",E294="Ex/H",E294="Ex/M",E294="VH/Ex",E294="VH/VH", E294="H/Ex",E294="H/VH"),0, IF(OR(E294="M/Ex"),0.1,IF(OR(E294="VH/H",E294="VH/M",E294="H/H",E294="H/M", E294="M/VH"),0.2, IF(OR(E294="Ex/VL",E294="Ex/L", E294="M/H"),0.3, IF(OR(E294="VH/L",E294="H/L"),0.4, IF(OR(E294="VH/VL",E294="H/VL",E294="M/M"),0.5, IF(OR(E294="M/L",E294="L/Ex"),0.6, IF(OR(E294="M/VL",E294="L/VH", E294="L/H",E294="L/M",E294="L/L",E294="L/VL",LEFT(E294)="V"),1)))))))))</f>
        <v/>
      </c>
      <c r="G294" s="522" t="str">
        <f>IFERROR(IF(E296&gt;50,0,AVERAGE(F294:F296)),"")</f>
        <v/>
      </c>
      <c r="H294" s="522"/>
      <c r="I294" s="524"/>
    </row>
    <row r="295" spans="1:9" ht="15.75" x14ac:dyDescent="0.25">
      <c r="A295" s="508"/>
      <c r="B295" s="508"/>
      <c r="C295" s="131" t="s">
        <v>65</v>
      </c>
      <c r="D295" s="125"/>
      <c r="E295" s="141"/>
      <c r="F295" s="115" t="str">
        <f>IF(E295="","",ROUND(IF(E295&gt;=75,0,IF(E295&lt;=5,1,IF(E295&gt;10,E295*'Reference Curves'!S$85+'Reference Curves'!S$86,'Reference Curves'!$T$85*E295+'Reference Curves'!$T$86))),2))</f>
        <v/>
      </c>
      <c r="G295" s="522"/>
      <c r="H295" s="522"/>
      <c r="I295" s="524"/>
    </row>
    <row r="296" spans="1:9" ht="15.75" x14ac:dyDescent="0.25">
      <c r="A296" s="508"/>
      <c r="B296" s="520"/>
      <c r="C296" s="132" t="s">
        <v>203</v>
      </c>
      <c r="D296" s="126"/>
      <c r="E296" s="60"/>
      <c r="F296" s="116" t="str">
        <f>IF(E296="","",IF(E296&gt;=30,0,ROUND(E296*'Reference Curves'!$S$116+'Reference Curves'!$S$117,2)))</f>
        <v/>
      </c>
      <c r="G296" s="525"/>
      <c r="H296" s="522"/>
      <c r="I296" s="524"/>
    </row>
    <row r="297" spans="1:9" ht="15.75" x14ac:dyDescent="0.25">
      <c r="A297" s="508"/>
      <c r="B297" s="270" t="s">
        <v>82</v>
      </c>
      <c r="C297" s="9" t="s">
        <v>256</v>
      </c>
      <c r="D297" s="63"/>
      <c r="E297" s="60"/>
      <c r="F297" s="65" t="str">
        <f>IF(E297="","",IF(OR('Quantification Tool'!B$15="Cobble",'Quantification Tool'!B$15="Boulders",'Quantification Tool'!B$15="Bedrock"),ROUND(IF(E297&lt;=0,1,IF(E297&gt;=13.7,0, IF(E297&gt;5,E297*'Reference Curves'!$U$150+'Reference Curves'!$U$151,  E297*'Reference Curves'!$V$150+'Reference Curves'!$V$151))),2),
IF('Quantification Tool'!B$15="Gravel",ROUND(IF(E297&lt;=3,1,IF(E297&gt;=54,0, IF(E297&gt;15,E297*'Reference Curves'!$S$150+'Reference Curves'!$S$151,  E297*'Reference Curves'!$T$150+'Reference Curves'!$T$151))),2))))</f>
        <v/>
      </c>
      <c r="G297" s="65" t="str">
        <f>IFERROR(AVERAGE(F297),"")</f>
        <v/>
      </c>
      <c r="H297" s="522"/>
      <c r="I297" s="524"/>
    </row>
    <row r="298" spans="1:9" ht="15.75" x14ac:dyDescent="0.25">
      <c r="A298" s="508"/>
      <c r="B298" s="507" t="s">
        <v>42</v>
      </c>
      <c r="C298" s="8" t="s">
        <v>229</v>
      </c>
      <c r="D298" s="62"/>
      <c r="E298" s="66"/>
      <c r="F298" s="67" t="str">
        <f>IF(E298="","", IF(LEFT('Quantification Tool'!$B$10,1)="C", IF(OR(E298&lt;=3,E298&gt;=9.3),0,IF(AND(E298&gt;=4,E298&lt;=6),1,IF(E298&lt;4, ROUND(E298*'Reference Curves'!$S$250+'Reference Curves'!$S$251,2), ROUND(E298*'Reference Curves'!$T$250+'Reference Curves'!$T$251,2)))),
IF(LEFT('Quantification Tool'!$B$10,1)="E", IF(OR(E298&lt;=1.8,E298&gt;=8.3),0,IF(AND(E298&gt;=3.5,E298&lt;=5),1,IF(E298&lt;3.5, ROUND(E298*'Reference Curves'!$S$283+'Reference Curves'!$S$284,2), ROUND(E298*'Reference Curves'!$T$283+'Reference Curves'!$T$284,2)))),
IF(OR('Quantification Tool'!$B$10="B",'Quantification Tool'!$B$10="Ba"), IF(E298&gt;=6,0, IF(E298&lt;=2, 1, IF(E298&gt;3.9, ROUND(E298*'Reference Curves'!$S$185+'Reference Curves'!$S$186,2), ROUND(E298*'Reference Curves'!$T$185+'Reference Curves'!$T$186,2)))),
IF('Quantification Tool'!$B$10="Bc",  IF(E298&gt;12,0, IF(E298&lt;=3.4, 1, ROUND(E298*'Reference Curves'!$S$217+'Reference Curves'!$S$218,2))))))))</f>
        <v/>
      </c>
      <c r="G298" s="518" t="str">
        <f>IFERROR(AVERAGE(F298:F300),"")</f>
        <v/>
      </c>
      <c r="H298" s="522"/>
      <c r="I298" s="524"/>
    </row>
    <row r="299" spans="1:9" ht="15.75" x14ac:dyDescent="0.25">
      <c r="A299" s="508"/>
      <c r="B299" s="508"/>
      <c r="C299" s="105" t="s">
        <v>230</v>
      </c>
      <c r="D299" s="63"/>
      <c r="E299" s="64"/>
      <c r="F299" s="68" t="str">
        <f>IF(E299="","",IF(OR('Quantification Tool'!$B$10="B",'Quantification Tool'!$B$10="Ba"),ROUND(IF(E299&lt;=1,0,IF(E299&gt;=2.8,1,IF(E299&lt;1.8,E299*'Reference Curves'!$S$318+'Reference Curves'!$S$319,E299*'Reference Curves'!$T$318+'Reference Curves'!$T$319))),2),
ROUND(IF(E299&lt;=1,0,IF(E299&gt;=3.2,1,IF(E299&lt;2.2,E299*'Reference Curves'!$U$318+'Reference Curves'!$U$319,E299*'Reference Curves'!$V$318+'Reference Curves'!$V$319))),2)))</f>
        <v/>
      </c>
      <c r="G299" s="519"/>
      <c r="H299" s="522"/>
      <c r="I299" s="524"/>
    </row>
    <row r="300" spans="1:9" ht="15.75" x14ac:dyDescent="0.25">
      <c r="A300" s="508"/>
      <c r="B300" s="508"/>
      <c r="C300" s="105" t="s">
        <v>142</v>
      </c>
      <c r="D300" s="63"/>
      <c r="E300" s="64"/>
      <c r="F300" s="302" t="str">
        <f>IF(E300="","",IF('Quantification Tool'!$B$16&gt;=3,IF(OR(E300&lt;=0,E300&gt;=100),0,IF(AND(E300&gt;=68,E300&lt;=85),1,IF(E300&lt;68,IF(E300&lt;62,ROUND(E300*'Reference Curves'!$S$352+'Reference Curves'!$S$353,2),ROUND(E300*'Reference Curves'!$T$352+'Reference Curves'!$T$353,2)),
IF(E300&gt;87,ROUND(E300*'Reference Curves'!$U$352+'Reference Curves'!$U$353,2),ROUND(E300*'Reference Curves'!$V$352+'Reference Curves'!$V$353,2))))),
IF('Quantification Tool'!$B$16&lt;&gt;0,IF(OR(E300&lt;=0,E300&gt;=100),0,IF(AND(E300&lt;=60,E300&gt;=50),1,IF(E300&lt;50,IF(E300&lt;39,ROUND(E300*'Reference Curves'!$S$386+'Reference Curves'!$S$387,2),ROUND(E300*'Reference Curves'!$T$386+'Reference Curves'!$T$387,2)),
IF(E300&gt;69,ROUND(E300*'Reference Curves'!$U$386+'Reference Curves'!$U$387,2),ROUND(E300*'Reference Curves'!$V$386+'Reference Curves'!$V$387,2))))))))</f>
        <v/>
      </c>
      <c r="G300" s="519"/>
      <c r="H300" s="522"/>
      <c r="I300" s="524"/>
    </row>
    <row r="301" spans="1:9" ht="15.75" x14ac:dyDescent="0.25">
      <c r="A301" s="508"/>
      <c r="B301" s="507" t="s">
        <v>41</v>
      </c>
      <c r="C301" s="8" t="s">
        <v>332</v>
      </c>
      <c r="D301" s="128"/>
      <c r="E301" s="129"/>
      <c r="F301" s="124" t="str">
        <f>IF(E301="","",IF('Quantification Tool'!$B$11="Unconfined Alluvial",IF(E301&gt;=100,1,IF(E301&lt;0,0,ROUND('Reference Curves'!$S$420*E301+'Reference Curves'!$S$421,2))),IF(OR('Quantification Tool'!$B$11="Confined Alluvial",'Quantification Tool'!$B$11="Colluvial/V-Shaped"),(IF(E301&gt;=100,1,IF(E301&lt;0,0,IF(E301&lt;60,ROUND('Reference Curves'!$T$420*E301+'Reference Curves'!$T$421,2), ROUND('Reference Curves'!$U$420*E301+'Reference Curves'!$U$421,2))))))))</f>
        <v/>
      </c>
      <c r="G301" s="518" t="str">
        <f>IFERROR(AVERAGE(F301:F303),"")</f>
        <v/>
      </c>
      <c r="H301" s="522"/>
      <c r="I301" s="524"/>
    </row>
    <row r="302" spans="1:9" ht="15.75" x14ac:dyDescent="0.25">
      <c r="A302" s="508"/>
      <c r="B302" s="508"/>
      <c r="C302" s="105" t="s">
        <v>251</v>
      </c>
      <c r="D302" s="123"/>
      <c r="E302" s="127"/>
      <c r="F302" s="68" t="str">
        <f>IF(E302="","",IF(OR('Quantification Tool'!$B$17="Alaska Range",'Quantification Tool'!$B$17="Brooks Range"),ROUND(IF(E302&gt;=1.57,1,IF(E302&lt;=0.06,'Reference Curves'!$S$455*E302+'Reference Curves'!$S$456, IF(E302&lt;0.83, 'Reference Curves'!$T$455*E302+'Reference Curves'!$T$456, 'Reference Curves'!$U$455*E302+'Reference Curves'!$U$456))),2),
IF('Quantification Tool'!$B$17="Interior Highlands",ROUND(IF(E302&gt;=1.67,1,IF(E302&lt;=0.94,'Reference Curves'!$V$455*E302+'Reference Curves'!$V$456, IF(E302&lt;1.21, 'Reference Curves'!$W$455*E302+'Reference Curves'!$W$456, 'Reference Curves'!$X$455*E302+'Reference Curves'!$X$456))),2),
IF(OR('Quantification Tool'!$B$17="Interior Bottomlands",'Quantification Tool'!$B$17="Yukon Flats"),ROUND(IF(E302&gt;=1.82,1,IF(E302&lt;=1.19,'Reference Curves'!$S$490*E302+'Reference Curves'!$S$491, IF(E302&lt;1.37, 'Reference Curves'!$T$490*E302+'Reference Curves'!$T$491, 'Reference Curves'!$U$490*E302+'Reference Curves'!$U$491))),2),
IF('Quantification Tool'!$B$17="Interior Forested Lowlands/Uplands",ROUND(IF(E302&gt;=1.87,1,IF(E302&lt;=1.24,'Reference Curves'!$V$490*E302+'Reference Curves'!$V$491, IF(E302&lt;1.45, 'Reference Curves'!$W$490*E302+'Reference Curves'!$W$491, 'Reference Curves'!$X$490*E302+'Reference Curves'!$X$491))),2))))))</f>
        <v/>
      </c>
      <c r="G302" s="519"/>
      <c r="H302" s="522"/>
      <c r="I302" s="524"/>
    </row>
    <row r="303" spans="1:9" ht="15.75" x14ac:dyDescent="0.25">
      <c r="A303" s="508"/>
      <c r="B303" s="508"/>
      <c r="C303" s="105" t="s">
        <v>325</v>
      </c>
      <c r="D303" s="123"/>
      <c r="E303" s="127"/>
      <c r="F303" s="68" t="str">
        <f>IF(E303="","",IF(E303&lt;83.5,0,IF(E303&gt;=100,1, ROUND(E303*'Reference Curves'!$S$521+'Reference Curves'!$S$522,2))))</f>
        <v/>
      </c>
      <c r="G303" s="519"/>
      <c r="H303" s="522"/>
      <c r="I303" s="524"/>
    </row>
    <row r="304" spans="1:9" ht="15.75" x14ac:dyDescent="0.25">
      <c r="A304" s="513" t="s">
        <v>47</v>
      </c>
      <c r="B304" s="268" t="s">
        <v>60</v>
      </c>
      <c r="C304" s="274" t="s">
        <v>341</v>
      </c>
      <c r="D304" s="275"/>
      <c r="E304" s="59"/>
      <c r="F304" s="171" t="str">
        <f>IF(E304="","",IF(E304&lt;=1.1,1,IF(E304&gt;1.315,0,ROUND(E304*'Reference Curves'!$AA$13+'Reference Curves'!$AA$14,2))))</f>
        <v/>
      </c>
      <c r="G304" s="269" t="str">
        <f>IFERROR(AVERAGE(F304:F304),"")</f>
        <v/>
      </c>
      <c r="H304" s="530" t="str">
        <f>IFERROR(ROUND(AVERAGE(G304:G306),2),"")</f>
        <v/>
      </c>
      <c r="I304" s="487" t="str">
        <f>IF(H304="","",IF(H304&gt;0.69,"Functioning",IF(H304&gt;0.29,"Functioning At Risk",IF(H304&gt;-1,"Not Functioning"))))</f>
        <v/>
      </c>
    </row>
    <row r="305" spans="1:9" ht="15.75" x14ac:dyDescent="0.25">
      <c r="A305" s="514"/>
      <c r="B305" s="172" t="s">
        <v>259</v>
      </c>
      <c r="C305" s="274" t="s">
        <v>342</v>
      </c>
      <c r="D305" s="275"/>
      <c r="E305" s="34"/>
      <c r="F305" s="171" t="str">
        <f>IF(E305="","",IF(E305&lt;=3.2,1,IF(E305&gt;=100,0,ROUND(IF(E305&gt;10,E305*'Reference Curves'!$AA$46+'Reference Curves'!$AA$47,E305*'Reference Curves'!$AB$46+'Reference Curves'!$AB$47),2))))</f>
        <v/>
      </c>
      <c r="G305" s="171" t="str">
        <f>IFERROR(AVERAGE(F305),"")</f>
        <v/>
      </c>
      <c r="H305" s="531"/>
      <c r="I305" s="487"/>
    </row>
    <row r="306" spans="1:9" ht="15.75" x14ac:dyDescent="0.25">
      <c r="A306" s="515"/>
      <c r="B306" s="172" t="s">
        <v>260</v>
      </c>
      <c r="C306" s="169" t="s">
        <v>359</v>
      </c>
      <c r="D306" s="170"/>
      <c r="E306" s="34"/>
      <c r="F306" s="171" t="str">
        <f>IF(E306="","",IF(E306&gt;=75,1,IF(E306&lt;19,0,ROUND(E306*'Reference Curves'!$AA$79+'Reference Curves'!$AA$80,2))))</f>
        <v/>
      </c>
      <c r="G306" s="171" t="str">
        <f>IFERROR(AVERAGE(F306),"")</f>
        <v/>
      </c>
      <c r="H306" s="532"/>
      <c r="I306" s="487"/>
    </row>
    <row r="307" spans="1:9" ht="15.75" x14ac:dyDescent="0.25">
      <c r="A307" s="499" t="s">
        <v>48</v>
      </c>
      <c r="B307" s="145" t="s">
        <v>109</v>
      </c>
      <c r="C307" s="144" t="s">
        <v>370</v>
      </c>
      <c r="D307" s="70"/>
      <c r="E307" s="59"/>
      <c r="F307" s="239" t="str">
        <f>IF(E307="","", ROUND(IF(E307&gt;=81,0,IF(E307&lt;=36,1,IF(E307&gt;62,E307*'Reference Curves'!$AJ$14+'Reference Curves'!$AJ$15,IF(E307&gt;43,E307*'Reference Curves'!$AK$14+'Reference Curves'!$AK$15,E307*'Reference Curves'!$AL$14+'Reference Curves'!$AL$15)))),2))</f>
        <v/>
      </c>
      <c r="G307" s="146" t="str">
        <f>IFERROR(AVERAGE(F307),"")</f>
        <v/>
      </c>
      <c r="H307" s="505" t="str">
        <f>IFERROR(ROUND(AVERAGE(G307:G310),2),"")</f>
        <v/>
      </c>
      <c r="I307" s="487" t="str">
        <f>IF(H307="","",IF(H307&gt;0.69,"Functioning",IF(H307&gt;0.29,"Functioning At Risk",IF(H307&gt;-1,"Not Functioning"))))</f>
        <v/>
      </c>
    </row>
    <row r="308" spans="1:9" ht="15.75" x14ac:dyDescent="0.25">
      <c r="A308" s="500"/>
      <c r="B308" s="502" t="s">
        <v>56</v>
      </c>
      <c r="C308" s="144" t="s">
        <v>333</v>
      </c>
      <c r="D308" s="70"/>
      <c r="E308" s="66"/>
      <c r="F308" s="229" t="str">
        <f>IF(E308="","", IF('Quantification Tool'!$B$18="Anadromous",ROUND(IF(E308&lt;=0,0,IF(E308&gt;=100,1,IF(E308&lt;80,E308*'Reference Curves'!$AJ$48+'Reference Curves'!$AJ$49,E308*'Reference Curves'!$AK$48+'Reference Curves'!$AK$49))),2),
IF('Quantification Tool'!$B$18="Non-anadromous",ROUND(IF(E308&lt;=0,0,IF(E308&gt;=100,1,IF(E308&lt;60,E308*'Reference Curves'!$AL$48+'Reference Curves'!$AL$49,E308*'Reference Curves'!$AM$48+'Reference Curves'!$AM$49))),2))))</f>
        <v/>
      </c>
      <c r="G308" s="488" t="str">
        <f>IFERROR(AVERAGE(F308:F310),"")</f>
        <v/>
      </c>
      <c r="H308" s="506"/>
      <c r="I308" s="487"/>
    </row>
    <row r="309" spans="1:9" ht="15.75" x14ac:dyDescent="0.25">
      <c r="A309" s="500"/>
      <c r="B309" s="503"/>
      <c r="C309" s="362" t="s">
        <v>343</v>
      </c>
      <c r="D309" s="363"/>
      <c r="E309" s="64"/>
      <c r="F309" s="239" t="str">
        <f>IF(E309="","",IF(E309&lt;0,0,IF(E309&gt;=0.9,1,ROUND(E309*'Reference Curves'!$AJ$81+'Reference Curves'!$AJ$82,2))))</f>
        <v/>
      </c>
      <c r="G309" s="488"/>
      <c r="H309" s="506"/>
      <c r="I309" s="487"/>
    </row>
    <row r="310" spans="1:9" ht="15.75" x14ac:dyDescent="0.25">
      <c r="A310" s="501"/>
      <c r="B310" s="504"/>
      <c r="C310" s="228" t="s">
        <v>233</v>
      </c>
      <c r="D310" s="230"/>
      <c r="E310" s="277"/>
      <c r="F310" s="71" t="str">
        <f>IF(E310="","",IF(E310&lt;0,0,IF(E310&gt;=0.9,1,ROUND(E310*'Reference Curves'!$AJ$81+'Reference Curves'!$AJ$82,2))))</f>
        <v/>
      </c>
      <c r="G310" s="489"/>
      <c r="H310" s="506"/>
      <c r="I310" s="487"/>
    </row>
    <row r="312" spans="1:9" ht="21" x14ac:dyDescent="0.35">
      <c r="A312" s="19" t="s">
        <v>101</v>
      </c>
      <c r="B312" s="121"/>
      <c r="C312" s="122" t="s">
        <v>152</v>
      </c>
      <c r="D312" s="584"/>
      <c r="E312" s="584"/>
      <c r="F312" s="585"/>
      <c r="G312" s="512" t="s">
        <v>12</v>
      </c>
      <c r="H312" s="582"/>
      <c r="I312" s="583"/>
    </row>
    <row r="313" spans="1:9" ht="16.5" customHeight="1" x14ac:dyDescent="0.25">
      <c r="A313" s="25" t="s">
        <v>1</v>
      </c>
      <c r="B313" s="25" t="s">
        <v>2</v>
      </c>
      <c r="C313" s="112" t="s">
        <v>3</v>
      </c>
      <c r="D313" s="113"/>
      <c r="E313" s="25" t="s">
        <v>10</v>
      </c>
      <c r="F313" s="25" t="s">
        <v>11</v>
      </c>
      <c r="G313" s="25" t="s">
        <v>13</v>
      </c>
      <c r="H313" s="25" t="s">
        <v>14</v>
      </c>
      <c r="I313" s="25" t="s">
        <v>14</v>
      </c>
    </row>
    <row r="314" spans="1:9" ht="15.75" customHeight="1" x14ac:dyDescent="0.25">
      <c r="A314" s="480" t="s">
        <v>161</v>
      </c>
      <c r="B314" s="448" t="s">
        <v>258</v>
      </c>
      <c r="C314" s="137" t="s">
        <v>138</v>
      </c>
      <c r="D314" s="138"/>
      <c r="E314" s="66"/>
      <c r="F314" s="264" t="str">
        <f>IF(E314="","",ROUND(IF(E314&gt;=86,0,IF(E314&lt;=9,1,IF(E314&gt;22,E314*'Reference Curves'!$C$14+'Reference Curves'!$C$15,IF(E314&gt;16,E314*'Reference Curves'!$D$14+'Reference Curves'!$D$15,E314*'Reference Curves'!$E$14+'Reference Curves'!$E$15)))),2))</f>
        <v/>
      </c>
      <c r="G314" s="457" t="str">
        <f>IFERROR(AVERAGE(F314:F316),"")</f>
        <v/>
      </c>
      <c r="H314" s="457" t="str">
        <f>IFERROR(ROUND(AVERAGE(G314:G320),2),"")</f>
        <v/>
      </c>
      <c r="I314" s="496" t="str">
        <f>IF(H314="","",IF(H314:H320&gt;0.69,"Functioning",IF(H314&gt;0.29,"Functioning At Risk",IF(H314&gt;-1,"Not Functioning"))))</f>
        <v/>
      </c>
    </row>
    <row r="315" spans="1:9" ht="15.75" customHeight="1" x14ac:dyDescent="0.25">
      <c r="A315" s="481"/>
      <c r="B315" s="449"/>
      <c r="C315" s="156" t="s">
        <v>257</v>
      </c>
      <c r="D315" s="254"/>
      <c r="E315" s="64"/>
      <c r="F315" s="265" t="str">
        <f>IF(E315="","",ROUND(IF(E315&gt;33.5,0,IF(E315&lt;=0,1,E315*'Reference Curves'!$C$44+'Reference Curves'!$C$45)),2))</f>
        <v/>
      </c>
      <c r="G315" s="458"/>
      <c r="H315" s="458"/>
      <c r="I315" s="497"/>
    </row>
    <row r="316" spans="1:9" ht="15.75" customHeight="1" x14ac:dyDescent="0.25">
      <c r="A316" s="481"/>
      <c r="B316" s="450"/>
      <c r="C316" s="178" t="s">
        <v>324</v>
      </c>
      <c r="D316" s="255"/>
      <c r="E316" s="69"/>
      <c r="F316" s="265" t="str">
        <f>IF(E316="","",ROUND(IF(E316&gt;=61,0,IF(E316&lt;=0,1,IF(E316&gt;35,E316*'Reference Curves'!$C$75+'Reference Curves'!$C$76,E316*'Reference Curves'!$D$75+'Reference Curves'!$D$76))),2))</f>
        <v/>
      </c>
      <c r="G316" s="459"/>
      <c r="H316" s="458"/>
      <c r="I316" s="497"/>
    </row>
    <row r="317" spans="1:9" ht="15.75" customHeight="1" x14ac:dyDescent="0.25">
      <c r="A317" s="481"/>
      <c r="B317" s="451" t="s">
        <v>95</v>
      </c>
      <c r="C317" s="137" t="s">
        <v>138</v>
      </c>
      <c r="D317" s="280"/>
      <c r="E317" s="57"/>
      <c r="F317" s="139" t="str">
        <f>IF(E317="","",ROUND(IF(E317&gt;=86,0,IF(E317&lt;=9,1,IF(E317&gt;22,E317*'Reference Curves'!$C$14+'Reference Curves'!$C$15,IF(E317&gt;16,E317*'Reference Curves'!$D$14+'Reference Curves'!$D$15,E317*'Reference Curves'!$E$14+'Reference Curves'!$E$15)))),2))</f>
        <v/>
      </c>
      <c r="G317" s="457" t="str">
        <f>IFERROR(AVERAGE(F317:F320),"")</f>
        <v/>
      </c>
      <c r="H317" s="458"/>
      <c r="I317" s="497"/>
    </row>
    <row r="318" spans="1:9" ht="15.75" customHeight="1" x14ac:dyDescent="0.25">
      <c r="A318" s="481"/>
      <c r="B318" s="452"/>
      <c r="C318" s="156" t="s">
        <v>257</v>
      </c>
      <c r="D318" s="281"/>
      <c r="E318" s="57"/>
      <c r="F318" s="265" t="str">
        <f>IF(E318="","",ROUND(IF(E318&gt;33.5,0,IF(E318&lt;=0,1,E318*'Reference Curves'!$C$44+'Reference Curves'!$C$45)),2))</f>
        <v/>
      </c>
      <c r="G318" s="458"/>
      <c r="H318" s="458"/>
      <c r="I318" s="497"/>
    </row>
    <row r="319" spans="1:9" ht="15.75" customHeight="1" x14ac:dyDescent="0.25">
      <c r="A319" s="481"/>
      <c r="B319" s="452"/>
      <c r="C319" s="156" t="s">
        <v>324</v>
      </c>
      <c r="D319" s="281"/>
      <c r="E319" s="57"/>
      <c r="F319" s="265" t="str">
        <f>IF(E319="","",ROUND(IF(E319&gt;=61,0,IF(E319&lt;=0,1,IF(E319&gt;35,E319*'Reference Curves'!$C$75+'Reference Curves'!$C$76,E319*'Reference Curves'!$D$75+'Reference Curves'!$D$76))),2))</f>
        <v/>
      </c>
      <c r="G319" s="458"/>
      <c r="H319" s="458"/>
      <c r="I319" s="497"/>
    </row>
    <row r="320" spans="1:9" ht="15.75" customHeight="1" x14ac:dyDescent="0.25">
      <c r="A320" s="482"/>
      <c r="B320" s="453"/>
      <c r="C320" s="178" t="s">
        <v>227</v>
      </c>
      <c r="D320" s="179"/>
      <c r="E320" s="57"/>
      <c r="F320" s="157" t="str">
        <f>IF(E320="","",   IF(E320&gt;3.35,0, IF(E320&lt;0, "", ROUND('Reference Curves'!$C$105*E320+'Reference Curves'!$C$106,2))))</f>
        <v/>
      </c>
      <c r="G320" s="459"/>
      <c r="H320" s="458"/>
      <c r="I320" s="498"/>
    </row>
    <row r="321" spans="1:9" ht="15.75" customHeight="1" x14ac:dyDescent="0.25">
      <c r="A321" s="509" t="s">
        <v>160</v>
      </c>
      <c r="B321" s="533" t="s">
        <v>5</v>
      </c>
      <c r="C321" s="227" t="s">
        <v>226</v>
      </c>
      <c r="D321" s="204"/>
      <c r="E321" s="59"/>
      <c r="F321" s="205" t="str">
        <f>IF(E321="","",ROUND(IF(OR(E321&gt;1.71, E321&lt;0.34),0,IF(E321&lt;=1,1,E321*'Reference Curves'!K$13+'Reference Curves'!K$14)),2))</f>
        <v/>
      </c>
      <c r="G321" s="526" t="str">
        <f>IFERROR(AVERAGE(F321:F322),"")</f>
        <v/>
      </c>
      <c r="H321" s="493" t="str">
        <f>IFERROR(ROUND(AVERAGE(G321:G323),2),"")</f>
        <v/>
      </c>
      <c r="I321" s="496" t="str">
        <f>IF(H321="","",IF(H321&gt;0.69,"Functioning",IF(H321&gt;0.29,"Functioning At Risk",IF(H321&gt;-1,"Not Functioning"))))</f>
        <v/>
      </c>
    </row>
    <row r="322" spans="1:9" ht="15" customHeight="1" x14ac:dyDescent="0.25">
      <c r="A322" s="510"/>
      <c r="B322" s="534"/>
      <c r="C322" s="226" t="s">
        <v>225</v>
      </c>
      <c r="D322" s="61"/>
      <c r="E322" s="198"/>
      <c r="F322" s="231" t="str">
        <f>IF(E322="","",IF(LEFT('Quantification Tool'!$B$10,1)="B",IF(E322&lt;=1,0,IF(E322&gt;=2.2,1,ROUND(IF(E322&lt;1.4,E322*'Reference Curves'!$K$117+'Reference Curves'!$K$118,E322*'Reference Curves'!$L$117+'Reference Curves'!$L$118),2))),
IF(LEFT('Quantification Tool'!$B$10,1)="C",IF(E322&lt;1.7,0,IF(E322&gt;=4.4,1,ROUND(IF(E322&lt;2.4,E322*'Reference Curves'!$K$47+'Reference Curves'!$K$48,E322*'Reference Curves'!$L$47+'Reference Curves'!$L$48),2))),
IF(LEFT('Quantification Tool'!$B$10,1)="E",IF(E322&lt;1.7,0,IF(E322&gt;=6.5,1,ROUND(IF(E322&lt;2.4,E322*'Reference Curves'!$K$82+'Reference Curves'!$K$83,E322*'Reference Curves'!$L$82+'Reference Curves'!$L$83),2)))) )     ))</f>
        <v/>
      </c>
      <c r="G322" s="527"/>
      <c r="H322" s="494"/>
      <c r="I322" s="497"/>
    </row>
    <row r="323" spans="1:9" ht="15" customHeight="1" x14ac:dyDescent="0.25">
      <c r="A323" s="511"/>
      <c r="B323" s="211" t="s">
        <v>210</v>
      </c>
      <c r="C323" s="225" t="s">
        <v>270</v>
      </c>
      <c r="D323" s="203"/>
      <c r="E323" s="140"/>
      <c r="F323" s="232" t="str">
        <f>IF(E323="","", IF(E323&gt;=180,0, IF(E323=100,1, ROUND(IF(E323&gt;100, E323*'Reference Curves'!$L$151+'Reference Curves'!$L$152, IF(E321&gt;1.2,IF(E323&lt;=20,0,E323*'Reference Curves'!$K$151+'Reference Curves'!$K$152),1) ),2))))</f>
        <v/>
      </c>
      <c r="G323" s="253" t="str">
        <f>IFERROR(AVERAGE(F323:F323),"")</f>
        <v/>
      </c>
      <c r="H323" s="495"/>
      <c r="I323" s="498"/>
    </row>
    <row r="324" spans="1:9" ht="15" customHeight="1" x14ac:dyDescent="0.25">
      <c r="A324" s="507" t="s">
        <v>17</v>
      </c>
      <c r="B324" s="200" t="s">
        <v>231</v>
      </c>
      <c r="C324" s="212" t="s">
        <v>228</v>
      </c>
      <c r="D324" s="213"/>
      <c r="E324" s="34"/>
      <c r="F324" s="237" t="str">
        <f>IF(E324="","",IF('Quantification Tool'!$B$17="Alaska Range",ROUND(IF(E324&lt;=0.05,0, IF(E324&gt;=6.3,1,IF(E324&lt;=1.5,'Reference Curves'!$S$16*E324+'Reference Curves'!$S$17, 'Reference Curves'!$T$16*E324+'Reference Curves'!$T$17))),2),
IF('Quantification Tool'!$B$17="Brooks Range",ROUND(IF(E324&gt;=4.2,1,IF(E324&lt;0.03,0, IF(E324&lt;=1.2,'Reference Curves'!$U$16*E324+'Reference Curves'!$U$17, 'Reference Curves'!$V$16*E324+'Reference Curves'!$V$17))),2),
IF(OR('Quantification Tool'!$B$17="Interior Bottomlands",'Quantification Tool'!$B$17="Yukon Flats"),ROUND(IF(E324&gt;=54.5,1,IF(E324&lt;=3.7,'Reference Curves'!$S$51*E324+'Reference Curves'!$S$52, IF(E324&lt;4.7, 'Reference Curves'!$T$51*E324+'Reference Curves'!$T$52, 'Reference Curves'!$U$51*E324+'Reference Curves'!$U$52))),2),
IF(OR('Quantification Tool'!$B$17="Interior Forested Lowlands/Uplands",'Quantification Tool'!$B$17="Interior Highlands"),ROUND(IF(E324=0,0,IF(E324&gt;=24.1,1,IF(E324&lt;=1.3,'Reference Curves'!$V$51*E324+'Reference Curves'!$V$52, 'Reference Curves'!$W$51*E324+'Reference Curves'!$W$52))),2))))))</f>
        <v/>
      </c>
      <c r="G324" s="214" t="str">
        <f>IFERROR(AVERAGE(F324:F324),"")</f>
        <v/>
      </c>
      <c r="H324" s="521" t="str">
        <f>IFERROR(ROUND(AVERAGE(G324:G334),2),"")</f>
        <v/>
      </c>
      <c r="I324" s="523" t="str">
        <f>IF(H324="","",IF(H324&gt;0.69,"Functioning",IF(H324&gt;0.29,"Functioning At Risk",IF(H324&gt;-1,"Not Functioning"))))</f>
        <v/>
      </c>
    </row>
    <row r="325" spans="1:9" ht="15.75" x14ac:dyDescent="0.25">
      <c r="A325" s="508"/>
      <c r="B325" s="508" t="s">
        <v>157</v>
      </c>
      <c r="C325" s="130" t="s">
        <v>40</v>
      </c>
      <c r="D325" s="63"/>
      <c r="E325" s="238"/>
      <c r="F325" s="115" t="str">
        <f>IF(E325="","",IF(OR(E325="Ex/Ex",E325="Ex/VH",E325="Ex/H",E325="Ex/M",E325="VH/Ex",E325="VH/VH", E325="H/Ex",E325="H/VH"),0, IF(OR(E325="M/Ex"),0.1,IF(OR(E325="VH/H",E325="VH/M",E325="H/H",E325="H/M", E325="M/VH"),0.2, IF(OR(E325="Ex/VL",E325="Ex/L", E325="M/H"),0.3, IF(OR(E325="VH/L",E325="H/L"),0.4, IF(OR(E325="VH/VL",E325="H/VL",E325="M/M"),0.5, IF(OR(E325="M/L",E325="L/Ex"),0.6, IF(OR(E325="M/VL",E325="L/VH", E325="L/H",E325="L/M",E325="L/L",E325="L/VL",LEFT(E325)="V"),1)))))))))</f>
        <v/>
      </c>
      <c r="G325" s="522" t="str">
        <f>IFERROR(IF(E327&gt;50,0,AVERAGE(F325:F327)),"")</f>
        <v/>
      </c>
      <c r="H325" s="522"/>
      <c r="I325" s="524"/>
    </row>
    <row r="326" spans="1:9" ht="15.75" x14ac:dyDescent="0.25">
      <c r="A326" s="508"/>
      <c r="B326" s="508"/>
      <c r="C326" s="131" t="s">
        <v>65</v>
      </c>
      <c r="D326" s="125"/>
      <c r="E326" s="141"/>
      <c r="F326" s="115" t="str">
        <f>IF(E326="","",ROUND(IF(E326&gt;=75,0,IF(E326&lt;=5,1,IF(E326&gt;10,E326*'Reference Curves'!S$85+'Reference Curves'!S$86,'Reference Curves'!$T$85*E326+'Reference Curves'!$T$86))),2))</f>
        <v/>
      </c>
      <c r="G326" s="522"/>
      <c r="H326" s="522"/>
      <c r="I326" s="524"/>
    </row>
    <row r="327" spans="1:9" ht="15.75" x14ac:dyDescent="0.25">
      <c r="A327" s="508"/>
      <c r="B327" s="520"/>
      <c r="C327" s="132" t="s">
        <v>203</v>
      </c>
      <c r="D327" s="126"/>
      <c r="E327" s="60"/>
      <c r="F327" s="116" t="str">
        <f>IF(E327="","",IF(E327&gt;=30,0,ROUND(E327*'Reference Curves'!$S$116+'Reference Curves'!$S$117,2)))</f>
        <v/>
      </c>
      <c r="G327" s="525"/>
      <c r="H327" s="522"/>
      <c r="I327" s="524"/>
    </row>
    <row r="328" spans="1:9" ht="15.75" x14ac:dyDescent="0.25">
      <c r="A328" s="508"/>
      <c r="B328" s="270" t="s">
        <v>82</v>
      </c>
      <c r="C328" s="9" t="s">
        <v>256</v>
      </c>
      <c r="D328" s="63"/>
      <c r="E328" s="60"/>
      <c r="F328" s="65" t="str">
        <f>IF(E328="","",IF(OR('Quantification Tool'!B$15="Cobble",'Quantification Tool'!B$15="Boulders",'Quantification Tool'!B$15="Bedrock"),ROUND(IF(E328&lt;=0,1,IF(E328&gt;=13.7,0, IF(E328&gt;5,E328*'Reference Curves'!$U$150+'Reference Curves'!$U$151,  E328*'Reference Curves'!$V$150+'Reference Curves'!$V$151))),2),
IF('Quantification Tool'!B$15="Gravel",ROUND(IF(E328&lt;=3,1,IF(E328&gt;=54,0, IF(E328&gt;15,E328*'Reference Curves'!$S$150+'Reference Curves'!$S$151,  E328*'Reference Curves'!$T$150+'Reference Curves'!$T$151))),2))))</f>
        <v/>
      </c>
      <c r="G328" s="65" t="str">
        <f>IFERROR(AVERAGE(F328),"")</f>
        <v/>
      </c>
      <c r="H328" s="522"/>
      <c r="I328" s="524"/>
    </row>
    <row r="329" spans="1:9" ht="15.75" x14ac:dyDescent="0.25">
      <c r="A329" s="508"/>
      <c r="B329" s="507" t="s">
        <v>42</v>
      </c>
      <c r="C329" s="8" t="s">
        <v>229</v>
      </c>
      <c r="D329" s="62"/>
      <c r="E329" s="66"/>
      <c r="F329" s="67" t="str">
        <f>IF(E329="","", IF(LEFT('Quantification Tool'!$B$10,1)="C", IF(OR(E329&lt;=3,E329&gt;=9.3),0,IF(AND(E329&gt;=4,E329&lt;=6),1,IF(E329&lt;4, ROUND(E329*'Reference Curves'!$S$250+'Reference Curves'!$S$251,2), ROUND(E329*'Reference Curves'!$T$250+'Reference Curves'!$T$251,2)))),
IF(LEFT('Quantification Tool'!$B$10,1)="E", IF(OR(E329&lt;=1.8,E329&gt;=8.3),0,IF(AND(E329&gt;=3.5,E329&lt;=5),1,IF(E329&lt;3.5, ROUND(E329*'Reference Curves'!$S$283+'Reference Curves'!$S$284,2), ROUND(E329*'Reference Curves'!$T$283+'Reference Curves'!$T$284,2)))),
IF(OR('Quantification Tool'!$B$10="B",'Quantification Tool'!$B$10="Ba"), IF(E329&gt;=6,0, IF(E329&lt;=2, 1, IF(E329&gt;3.9, ROUND(E329*'Reference Curves'!$S$185+'Reference Curves'!$S$186,2), ROUND(E329*'Reference Curves'!$T$185+'Reference Curves'!$T$186,2)))),
IF('Quantification Tool'!$B$10="Bc",  IF(E329&gt;12,0, IF(E329&lt;=3.4, 1, ROUND(E329*'Reference Curves'!$S$217+'Reference Curves'!$S$218,2))))))))</f>
        <v/>
      </c>
      <c r="G329" s="518" t="str">
        <f>IFERROR(AVERAGE(F329:F331),"")</f>
        <v/>
      </c>
      <c r="H329" s="522"/>
      <c r="I329" s="524"/>
    </row>
    <row r="330" spans="1:9" ht="15.75" x14ac:dyDescent="0.25">
      <c r="A330" s="508"/>
      <c r="B330" s="508"/>
      <c r="C330" s="105" t="s">
        <v>230</v>
      </c>
      <c r="D330" s="63"/>
      <c r="E330" s="64"/>
      <c r="F330" s="68" t="str">
        <f>IF(E330="","",IF(OR('Quantification Tool'!$B$10="B",'Quantification Tool'!$B$10="Ba"),ROUND(IF(E330&lt;=1,0,IF(E330&gt;=2.8,1,IF(E330&lt;1.8,E330*'Reference Curves'!$S$318+'Reference Curves'!$S$319,E330*'Reference Curves'!$T$318+'Reference Curves'!$T$319))),2),
ROUND(IF(E330&lt;=1,0,IF(E330&gt;=3.2,1,IF(E330&lt;2.2,E330*'Reference Curves'!$U$318+'Reference Curves'!$U$319,E330*'Reference Curves'!$V$318+'Reference Curves'!$V$319))),2)))</f>
        <v/>
      </c>
      <c r="G330" s="519"/>
      <c r="H330" s="522"/>
      <c r="I330" s="524"/>
    </row>
    <row r="331" spans="1:9" ht="15.75" x14ac:dyDescent="0.25">
      <c r="A331" s="508"/>
      <c r="B331" s="508"/>
      <c r="C331" s="105" t="s">
        <v>142</v>
      </c>
      <c r="D331" s="63"/>
      <c r="E331" s="64"/>
      <c r="F331" s="302" t="str">
        <f>IF(E331="","",IF('Quantification Tool'!$B$16&gt;=3,IF(OR(E331&lt;=0,E331&gt;=100),0,IF(AND(E331&gt;=68,E331&lt;=85),1,IF(E331&lt;68,IF(E331&lt;62,ROUND(E331*'Reference Curves'!$S$352+'Reference Curves'!$S$353,2),ROUND(E331*'Reference Curves'!$T$352+'Reference Curves'!$T$353,2)),
IF(E331&gt;87,ROUND(E331*'Reference Curves'!$U$352+'Reference Curves'!$U$353,2),ROUND(E331*'Reference Curves'!$V$352+'Reference Curves'!$V$353,2))))),
IF('Quantification Tool'!$B$16&lt;&gt;0,IF(OR(E331&lt;=0,E331&gt;=100),0,IF(AND(E331&lt;=60,E331&gt;=50),1,IF(E331&lt;50,IF(E331&lt;39,ROUND(E331*'Reference Curves'!$S$386+'Reference Curves'!$S$387,2),ROUND(E331*'Reference Curves'!$T$386+'Reference Curves'!$T$387,2)),
IF(E331&gt;69,ROUND(E331*'Reference Curves'!$U$386+'Reference Curves'!$U$387,2),ROUND(E331*'Reference Curves'!$V$386+'Reference Curves'!$V$387,2))))))))</f>
        <v/>
      </c>
      <c r="G331" s="519"/>
      <c r="H331" s="522"/>
      <c r="I331" s="524"/>
    </row>
    <row r="332" spans="1:9" ht="15.75" x14ac:dyDescent="0.25">
      <c r="A332" s="508"/>
      <c r="B332" s="507" t="s">
        <v>41</v>
      </c>
      <c r="C332" s="8" t="s">
        <v>332</v>
      </c>
      <c r="D332" s="128"/>
      <c r="E332" s="129"/>
      <c r="F332" s="124" t="str">
        <f>IF(E332="","",IF('Quantification Tool'!$B$11="Unconfined Alluvial",IF(E332&gt;=100,1,IF(E332&lt;0,0,ROUND('Reference Curves'!$S$420*E332+'Reference Curves'!$S$421,2))),IF(OR('Quantification Tool'!$B$11="Confined Alluvial",'Quantification Tool'!$B$11="Colluvial/V-Shaped"),(IF(E332&gt;=100,1,IF(E332&lt;0,0,IF(E332&lt;60,ROUND('Reference Curves'!$T$420*E332+'Reference Curves'!$T$421,2), ROUND('Reference Curves'!$U$420*E332+'Reference Curves'!$U$421,2))))))))</f>
        <v/>
      </c>
      <c r="G332" s="518" t="str">
        <f>IFERROR(AVERAGE(F332:F334),"")</f>
        <v/>
      </c>
      <c r="H332" s="522"/>
      <c r="I332" s="524"/>
    </row>
    <row r="333" spans="1:9" ht="15.75" x14ac:dyDescent="0.25">
      <c r="A333" s="508"/>
      <c r="B333" s="508"/>
      <c r="C333" s="105" t="s">
        <v>251</v>
      </c>
      <c r="D333" s="123"/>
      <c r="E333" s="127"/>
      <c r="F333" s="68" t="str">
        <f>IF(E333="","",IF(OR('Quantification Tool'!$B$17="Alaska Range",'Quantification Tool'!$B$17="Brooks Range"),ROUND(IF(E333&gt;=1.57,1,IF(E333&lt;=0.06,'Reference Curves'!$S$455*E333+'Reference Curves'!$S$456, IF(E333&lt;0.83, 'Reference Curves'!$T$455*E333+'Reference Curves'!$T$456, 'Reference Curves'!$U$455*E333+'Reference Curves'!$U$456))),2),
IF('Quantification Tool'!$B$17="Interior Highlands",ROUND(IF(E333&gt;=1.67,1,IF(E333&lt;=0.94,'Reference Curves'!$V$455*E333+'Reference Curves'!$V$456, IF(E333&lt;1.21, 'Reference Curves'!$W$455*E333+'Reference Curves'!$W$456, 'Reference Curves'!$X$455*E333+'Reference Curves'!$X$456))),2),
IF(OR('Quantification Tool'!$B$17="Interior Bottomlands",'Quantification Tool'!$B$17="Yukon Flats"),ROUND(IF(E333&gt;=1.82,1,IF(E333&lt;=1.19,'Reference Curves'!$S$490*E333+'Reference Curves'!$S$491, IF(E333&lt;1.37, 'Reference Curves'!$T$490*E333+'Reference Curves'!$T$491, 'Reference Curves'!$U$490*E333+'Reference Curves'!$U$491))),2),
IF('Quantification Tool'!$B$17="Interior Forested Lowlands/Uplands",ROUND(IF(E333&gt;=1.87,1,IF(E333&lt;=1.24,'Reference Curves'!$V$490*E333+'Reference Curves'!$V$491, IF(E333&lt;1.45, 'Reference Curves'!$W$490*E333+'Reference Curves'!$W$491, 'Reference Curves'!$X$490*E333+'Reference Curves'!$X$491))),2))))))</f>
        <v/>
      </c>
      <c r="G333" s="519"/>
      <c r="H333" s="522"/>
      <c r="I333" s="524"/>
    </row>
    <row r="334" spans="1:9" ht="15.75" x14ac:dyDescent="0.25">
      <c r="A334" s="508"/>
      <c r="B334" s="508"/>
      <c r="C334" s="105" t="s">
        <v>325</v>
      </c>
      <c r="D334" s="123"/>
      <c r="E334" s="127"/>
      <c r="F334" s="68" t="str">
        <f>IF(E334="","",IF(E334&lt;83.5,0,IF(E334&gt;=100,1, ROUND(E334*'Reference Curves'!$S$521+'Reference Curves'!$S$522,2))))</f>
        <v/>
      </c>
      <c r="G334" s="519"/>
      <c r="H334" s="522"/>
      <c r="I334" s="524"/>
    </row>
    <row r="335" spans="1:9" ht="15.75" x14ac:dyDescent="0.25">
      <c r="A335" s="513" t="s">
        <v>47</v>
      </c>
      <c r="B335" s="268" t="s">
        <v>60</v>
      </c>
      <c r="C335" s="274" t="s">
        <v>341</v>
      </c>
      <c r="D335" s="275"/>
      <c r="E335" s="59"/>
      <c r="F335" s="171" t="str">
        <f>IF(E335="","",IF(E335&lt;=1.1,1,IF(E335&gt;1.315,0,ROUND(E335*'Reference Curves'!$AA$13+'Reference Curves'!$AA$14,2))))</f>
        <v/>
      </c>
      <c r="G335" s="269" t="str">
        <f>IFERROR(AVERAGE(F335:F335),"")</f>
        <v/>
      </c>
      <c r="H335" s="530" t="str">
        <f>IFERROR(ROUND(AVERAGE(G335:G337),2),"")</f>
        <v/>
      </c>
      <c r="I335" s="487" t="str">
        <f>IF(H335="","",IF(H335&gt;0.69,"Functioning",IF(H335&gt;0.29,"Functioning At Risk",IF(H335&gt;-1,"Not Functioning"))))</f>
        <v/>
      </c>
    </row>
    <row r="336" spans="1:9" ht="15.75" x14ac:dyDescent="0.25">
      <c r="A336" s="514"/>
      <c r="B336" s="172" t="s">
        <v>259</v>
      </c>
      <c r="C336" s="274" t="s">
        <v>342</v>
      </c>
      <c r="D336" s="275"/>
      <c r="E336" s="34"/>
      <c r="F336" s="171" t="str">
        <f>IF(E336="","",IF(E336&lt;=3.2,1,IF(E336&gt;=100,0,ROUND(IF(E336&gt;10,E336*'Reference Curves'!$AA$46+'Reference Curves'!$AA$47,E336*'Reference Curves'!$AB$46+'Reference Curves'!$AB$47),2))))</f>
        <v/>
      </c>
      <c r="G336" s="171" t="str">
        <f>IFERROR(AVERAGE(F336),"")</f>
        <v/>
      </c>
      <c r="H336" s="531"/>
      <c r="I336" s="487"/>
    </row>
    <row r="337" spans="1:9" ht="15.75" x14ac:dyDescent="0.25">
      <c r="A337" s="515"/>
      <c r="B337" s="172" t="s">
        <v>260</v>
      </c>
      <c r="C337" s="169" t="s">
        <v>359</v>
      </c>
      <c r="D337" s="170"/>
      <c r="E337" s="34"/>
      <c r="F337" s="171" t="str">
        <f>IF(E337="","",IF(E337&gt;=75,1,IF(E337&lt;19,0,ROUND(E337*'Reference Curves'!$AA$79+'Reference Curves'!$AA$80,2))))</f>
        <v/>
      </c>
      <c r="G337" s="171" t="str">
        <f>IFERROR(AVERAGE(F337),"")</f>
        <v/>
      </c>
      <c r="H337" s="532"/>
      <c r="I337" s="487"/>
    </row>
    <row r="338" spans="1:9" ht="15.75" x14ac:dyDescent="0.25">
      <c r="A338" s="499" t="s">
        <v>48</v>
      </c>
      <c r="B338" s="145" t="s">
        <v>109</v>
      </c>
      <c r="C338" s="144" t="s">
        <v>370</v>
      </c>
      <c r="D338" s="70"/>
      <c r="E338" s="59"/>
      <c r="F338" s="239" t="str">
        <f>IF(E338="","", ROUND(IF(E338&gt;=81,0,IF(E338&lt;=36,1,IF(E338&gt;62,E338*'Reference Curves'!$AJ$14+'Reference Curves'!$AJ$15,IF(E338&gt;43,E338*'Reference Curves'!$AK$14+'Reference Curves'!$AK$15,E338*'Reference Curves'!$AL$14+'Reference Curves'!$AL$15)))),2))</f>
        <v/>
      </c>
      <c r="G338" s="146" t="str">
        <f>IFERROR(AVERAGE(F338),"")</f>
        <v/>
      </c>
      <c r="H338" s="505" t="str">
        <f>IFERROR(ROUND(AVERAGE(G338:G341),2),"")</f>
        <v/>
      </c>
      <c r="I338" s="487" t="str">
        <f>IF(H338="","",IF(H338&gt;0.69,"Functioning",IF(H338&gt;0.29,"Functioning At Risk",IF(H338&gt;-1,"Not Functioning"))))</f>
        <v/>
      </c>
    </row>
    <row r="339" spans="1:9" ht="15.75" x14ac:dyDescent="0.25">
      <c r="A339" s="500"/>
      <c r="B339" s="502" t="s">
        <v>56</v>
      </c>
      <c r="C339" s="144" t="s">
        <v>333</v>
      </c>
      <c r="D339" s="70"/>
      <c r="E339" s="66"/>
      <c r="F339" s="229" t="str">
        <f>IF(E339="","", IF('Quantification Tool'!$B$18="Anadromous",ROUND(IF(E339&lt;=0,0,IF(E339&gt;=100,1,IF(E339&lt;80,E339*'Reference Curves'!$AJ$48+'Reference Curves'!$AJ$49,E339*'Reference Curves'!$AK$48+'Reference Curves'!$AK$49))),2),
IF('Quantification Tool'!$B$18="Non-anadromous",ROUND(IF(E339&lt;=0,0,IF(E339&gt;=100,1,IF(E339&lt;60,E339*'Reference Curves'!$AL$48+'Reference Curves'!$AL$49,E339*'Reference Curves'!$AM$48+'Reference Curves'!$AM$49))),2))))</f>
        <v/>
      </c>
      <c r="G339" s="488" t="str">
        <f>IFERROR(AVERAGE(F339:F341),"")</f>
        <v/>
      </c>
      <c r="H339" s="506"/>
      <c r="I339" s="487"/>
    </row>
    <row r="340" spans="1:9" ht="15.75" x14ac:dyDescent="0.25">
      <c r="A340" s="500"/>
      <c r="B340" s="503"/>
      <c r="C340" s="362" t="s">
        <v>343</v>
      </c>
      <c r="D340" s="363"/>
      <c r="E340" s="64"/>
      <c r="F340" s="239" t="str">
        <f>IF(E340="","",IF(E340&lt;0,0,IF(E340&gt;=0.9,1,ROUND(E340*'Reference Curves'!$AJ$81+'Reference Curves'!$AJ$82,2))))</f>
        <v/>
      </c>
      <c r="G340" s="488"/>
      <c r="H340" s="506"/>
      <c r="I340" s="487"/>
    </row>
    <row r="341" spans="1:9" ht="15.75" x14ac:dyDescent="0.25">
      <c r="A341" s="501"/>
      <c r="B341" s="504"/>
      <c r="C341" s="228" t="s">
        <v>233</v>
      </c>
      <c r="D341" s="230"/>
      <c r="E341" s="277"/>
      <c r="F341" s="71" t="str">
        <f>IF(E341="","",IF(E341&lt;0,0,IF(E341&gt;=0.9,1,ROUND(E341*'Reference Curves'!$AJ$81+'Reference Curves'!$AJ$82,2))))</f>
        <v/>
      </c>
      <c r="G341" s="489"/>
      <c r="H341" s="506"/>
      <c r="I341" s="487"/>
    </row>
  </sheetData>
  <sheetProtection algorithmName="SHA-512" hashValue="X/ycxOy+wu8tNsbNcy/+QPA+ju0CVE9Lx7BD+B3ORguUv3Rejt1ni2i49xmxet0fahyuk3n1jZA7bGs4Y9Xo3g==" saltValue="DN36oi+pjuDEWYbMn74Thg==" spinCount="100000" sheet="1" formatColumns="0"/>
  <dataConsolidate link="1"/>
  <mergeCells count="341">
    <mergeCell ref="A86:A88"/>
    <mergeCell ref="A118:A120"/>
    <mergeCell ref="A149:A151"/>
    <mergeCell ref="A180:A182"/>
    <mergeCell ref="A211:A213"/>
    <mergeCell ref="A242:A244"/>
    <mergeCell ref="A72:A74"/>
    <mergeCell ref="D188:F188"/>
    <mergeCell ref="H180:H182"/>
    <mergeCell ref="D219:F219"/>
    <mergeCell ref="B228:B229"/>
    <mergeCell ref="G228:G229"/>
    <mergeCell ref="G219:I219"/>
    <mergeCell ref="H221:H227"/>
    <mergeCell ref="I221:I227"/>
    <mergeCell ref="H190:H196"/>
    <mergeCell ref="I159:I165"/>
    <mergeCell ref="I118:I120"/>
    <mergeCell ref="I169:I179"/>
    <mergeCell ref="H86:H88"/>
    <mergeCell ref="A159:A165"/>
    <mergeCell ref="H159:H165"/>
    <mergeCell ref="B177:B179"/>
    <mergeCell ref="G177:G179"/>
    <mergeCell ref="A65:A71"/>
    <mergeCell ref="A24:A26"/>
    <mergeCell ref="A34:A40"/>
    <mergeCell ref="H75:H85"/>
    <mergeCell ref="I75:I85"/>
    <mergeCell ref="B76:B78"/>
    <mergeCell ref="G76:G78"/>
    <mergeCell ref="B83:B85"/>
    <mergeCell ref="G83:G85"/>
    <mergeCell ref="B52:B54"/>
    <mergeCell ref="G52:G54"/>
    <mergeCell ref="D63:F63"/>
    <mergeCell ref="I65:I71"/>
    <mergeCell ref="B65:B67"/>
    <mergeCell ref="G65:G67"/>
    <mergeCell ref="B68:B71"/>
    <mergeCell ref="G68:G71"/>
    <mergeCell ref="H72:H74"/>
    <mergeCell ref="I72:I74"/>
    <mergeCell ref="A75:A85"/>
    <mergeCell ref="A55:A57"/>
    <mergeCell ref="G41:G42"/>
    <mergeCell ref="G32:I32"/>
    <mergeCell ref="D32:F32"/>
    <mergeCell ref="A293:A303"/>
    <mergeCell ref="I293:I303"/>
    <mergeCell ref="B294:B296"/>
    <mergeCell ref="G294:G296"/>
    <mergeCell ref="B301:B303"/>
    <mergeCell ref="I273:I275"/>
    <mergeCell ref="H314:H320"/>
    <mergeCell ref="H304:H306"/>
    <mergeCell ref="A335:A337"/>
    <mergeCell ref="G332:G334"/>
    <mergeCell ref="B325:B327"/>
    <mergeCell ref="G325:G327"/>
    <mergeCell ref="A324:A334"/>
    <mergeCell ref="B283:B285"/>
    <mergeCell ref="G283:G285"/>
    <mergeCell ref="B286:B289"/>
    <mergeCell ref="G286:G289"/>
    <mergeCell ref="A290:A292"/>
    <mergeCell ref="A307:A310"/>
    <mergeCell ref="I283:I289"/>
    <mergeCell ref="H290:H292"/>
    <mergeCell ref="I290:I292"/>
    <mergeCell ref="A273:A275"/>
    <mergeCell ref="A304:A306"/>
    <mergeCell ref="A283:A289"/>
    <mergeCell ref="B290:B291"/>
    <mergeCell ref="I211:I213"/>
    <mergeCell ref="B205:B207"/>
    <mergeCell ref="G205:G207"/>
    <mergeCell ref="A200:A210"/>
    <mergeCell ref="I200:I210"/>
    <mergeCell ref="B201:B203"/>
    <mergeCell ref="G201:G203"/>
    <mergeCell ref="A252:A258"/>
    <mergeCell ref="A262:A272"/>
    <mergeCell ref="I252:I258"/>
    <mergeCell ref="I231:I241"/>
    <mergeCell ref="I242:I244"/>
    <mergeCell ref="H252:H258"/>
    <mergeCell ref="G250:I250"/>
    <mergeCell ref="D250:F250"/>
    <mergeCell ref="H231:H241"/>
    <mergeCell ref="G236:G238"/>
    <mergeCell ref="A221:A227"/>
    <mergeCell ref="A231:A241"/>
    <mergeCell ref="H242:H244"/>
    <mergeCell ref="B232:B234"/>
    <mergeCell ref="G232:G234"/>
    <mergeCell ref="B298:B300"/>
    <mergeCell ref="G298:G300"/>
    <mergeCell ref="H283:H289"/>
    <mergeCell ref="H273:H275"/>
    <mergeCell ref="H293:H303"/>
    <mergeCell ref="G312:I312"/>
    <mergeCell ref="D312:F312"/>
    <mergeCell ref="D281:F281"/>
    <mergeCell ref="H335:H337"/>
    <mergeCell ref="I335:I337"/>
    <mergeCell ref="G290:G291"/>
    <mergeCell ref="G281:I281"/>
    <mergeCell ref="H324:H334"/>
    <mergeCell ref="I324:I334"/>
    <mergeCell ref="B332:B334"/>
    <mergeCell ref="G301:G303"/>
    <mergeCell ref="B321:B322"/>
    <mergeCell ref="G321:G322"/>
    <mergeCell ref="I314:I320"/>
    <mergeCell ref="I304:I306"/>
    <mergeCell ref="G1:I1"/>
    <mergeCell ref="A1:F1"/>
    <mergeCell ref="B10:B11"/>
    <mergeCell ref="G10:G11"/>
    <mergeCell ref="I13:I23"/>
    <mergeCell ref="G14:G16"/>
    <mergeCell ref="G21:G23"/>
    <mergeCell ref="A3:A9"/>
    <mergeCell ref="H3:H9"/>
    <mergeCell ref="B18:B20"/>
    <mergeCell ref="G18:G20"/>
    <mergeCell ref="I3:I9"/>
    <mergeCell ref="A10:A12"/>
    <mergeCell ref="I34:I40"/>
    <mergeCell ref="I86:I88"/>
    <mergeCell ref="H34:H40"/>
    <mergeCell ref="H65:H71"/>
    <mergeCell ref="B80:B82"/>
    <mergeCell ref="G80:G82"/>
    <mergeCell ref="G49:G51"/>
    <mergeCell ref="H55:H57"/>
    <mergeCell ref="H44:H54"/>
    <mergeCell ref="I44:I54"/>
    <mergeCell ref="B45:B47"/>
    <mergeCell ref="G45:G47"/>
    <mergeCell ref="I55:I57"/>
    <mergeCell ref="B72:B73"/>
    <mergeCell ref="G72:G73"/>
    <mergeCell ref="G63:I63"/>
    <mergeCell ref="B49:B51"/>
    <mergeCell ref="B41:B42"/>
    <mergeCell ref="B34:B36"/>
    <mergeCell ref="G34:G36"/>
    <mergeCell ref="B37:B40"/>
    <mergeCell ref="G37:G40"/>
    <mergeCell ref="G157:I157"/>
    <mergeCell ref="H138:H148"/>
    <mergeCell ref="I138:I148"/>
    <mergeCell ref="H118:H120"/>
    <mergeCell ref="G139:G141"/>
    <mergeCell ref="B146:B148"/>
    <mergeCell ref="G146:G148"/>
    <mergeCell ref="D126:F126"/>
    <mergeCell ref="G126:I126"/>
    <mergeCell ref="B135:B136"/>
    <mergeCell ref="D157:F157"/>
    <mergeCell ref="B139:B141"/>
    <mergeCell ref="B143:B145"/>
    <mergeCell ref="G135:G136"/>
    <mergeCell ref="B131:B134"/>
    <mergeCell ref="G131:G134"/>
    <mergeCell ref="B221:B223"/>
    <mergeCell ref="G221:G223"/>
    <mergeCell ref="B224:B227"/>
    <mergeCell ref="G224:G227"/>
    <mergeCell ref="B170:B172"/>
    <mergeCell ref="G170:G172"/>
    <mergeCell ref="B159:B161"/>
    <mergeCell ref="G159:G161"/>
    <mergeCell ref="B162:B165"/>
    <mergeCell ref="G162:G165"/>
    <mergeCell ref="A27:A30"/>
    <mergeCell ref="B28:B30"/>
    <mergeCell ref="G3:G5"/>
    <mergeCell ref="G6:G9"/>
    <mergeCell ref="H10:H12"/>
    <mergeCell ref="I10:I12"/>
    <mergeCell ref="H27:H30"/>
    <mergeCell ref="I27:I30"/>
    <mergeCell ref="G28:G30"/>
    <mergeCell ref="B3:B5"/>
    <mergeCell ref="B6:B9"/>
    <mergeCell ref="A13:A23"/>
    <mergeCell ref="B14:B16"/>
    <mergeCell ref="B21:B23"/>
    <mergeCell ref="H13:H23"/>
    <mergeCell ref="H24:H26"/>
    <mergeCell ref="I24:I26"/>
    <mergeCell ref="A41:A43"/>
    <mergeCell ref="H41:H43"/>
    <mergeCell ref="I41:I43"/>
    <mergeCell ref="A58:A61"/>
    <mergeCell ref="H58:H61"/>
    <mergeCell ref="I58:I61"/>
    <mergeCell ref="B59:B61"/>
    <mergeCell ref="G59:G61"/>
    <mergeCell ref="A44:A54"/>
    <mergeCell ref="A89:A92"/>
    <mergeCell ref="H89:H92"/>
    <mergeCell ref="I89:I92"/>
    <mergeCell ref="B90:B92"/>
    <mergeCell ref="G90:G92"/>
    <mergeCell ref="B97:B99"/>
    <mergeCell ref="G97:G99"/>
    <mergeCell ref="B100:B103"/>
    <mergeCell ref="G100:G103"/>
    <mergeCell ref="G95:I95"/>
    <mergeCell ref="A97:A103"/>
    <mergeCell ref="D95:F95"/>
    <mergeCell ref="H97:H103"/>
    <mergeCell ref="I97:I103"/>
    <mergeCell ref="A104:A106"/>
    <mergeCell ref="H104:H106"/>
    <mergeCell ref="I104:I106"/>
    <mergeCell ref="A121:A124"/>
    <mergeCell ref="H121:H124"/>
    <mergeCell ref="I121:I124"/>
    <mergeCell ref="B122:B124"/>
    <mergeCell ref="G122:G124"/>
    <mergeCell ref="B128:B130"/>
    <mergeCell ref="G128:G130"/>
    <mergeCell ref="A128:A134"/>
    <mergeCell ref="H128:H134"/>
    <mergeCell ref="A107:A117"/>
    <mergeCell ref="B104:B105"/>
    <mergeCell ref="G104:G105"/>
    <mergeCell ref="B112:B114"/>
    <mergeCell ref="B108:B110"/>
    <mergeCell ref="B115:B117"/>
    <mergeCell ref="G112:G114"/>
    <mergeCell ref="H107:H117"/>
    <mergeCell ref="I107:I117"/>
    <mergeCell ref="G108:G110"/>
    <mergeCell ref="G115:G117"/>
    <mergeCell ref="I128:I134"/>
    <mergeCell ref="A135:A137"/>
    <mergeCell ref="H135:H137"/>
    <mergeCell ref="I135:I137"/>
    <mergeCell ref="A152:A155"/>
    <mergeCell ref="H152:H155"/>
    <mergeCell ref="I152:I155"/>
    <mergeCell ref="B153:B155"/>
    <mergeCell ref="G153:G155"/>
    <mergeCell ref="A138:A148"/>
    <mergeCell ref="I149:I151"/>
    <mergeCell ref="H149:H151"/>
    <mergeCell ref="G143:G145"/>
    <mergeCell ref="A166:A168"/>
    <mergeCell ref="H166:H168"/>
    <mergeCell ref="I166:I168"/>
    <mergeCell ref="A183:A186"/>
    <mergeCell ref="H183:H186"/>
    <mergeCell ref="I183:I186"/>
    <mergeCell ref="B184:B186"/>
    <mergeCell ref="G184:G186"/>
    <mergeCell ref="B190:B192"/>
    <mergeCell ref="G190:G192"/>
    <mergeCell ref="A169:A179"/>
    <mergeCell ref="G188:I188"/>
    <mergeCell ref="A190:A196"/>
    <mergeCell ref="B193:B196"/>
    <mergeCell ref="G193:G196"/>
    <mergeCell ref="I180:I182"/>
    <mergeCell ref="I190:I196"/>
    <mergeCell ref="B166:B167"/>
    <mergeCell ref="B174:B176"/>
    <mergeCell ref="G166:G167"/>
    <mergeCell ref="G174:G176"/>
    <mergeCell ref="H169:H179"/>
    <mergeCell ref="A197:A199"/>
    <mergeCell ref="H197:H199"/>
    <mergeCell ref="I197:I199"/>
    <mergeCell ref="A214:A217"/>
    <mergeCell ref="H214:H217"/>
    <mergeCell ref="I214:I217"/>
    <mergeCell ref="B215:B217"/>
    <mergeCell ref="G215:G217"/>
    <mergeCell ref="G208:G210"/>
    <mergeCell ref="H211:H213"/>
    <mergeCell ref="B208:B210"/>
    <mergeCell ref="H200:H210"/>
    <mergeCell ref="B197:B198"/>
    <mergeCell ref="G197:G198"/>
    <mergeCell ref="A228:A230"/>
    <mergeCell ref="H228:H230"/>
    <mergeCell ref="I228:I230"/>
    <mergeCell ref="A245:A248"/>
    <mergeCell ref="H245:H248"/>
    <mergeCell ref="I245:I248"/>
    <mergeCell ref="B246:B248"/>
    <mergeCell ref="G246:G248"/>
    <mergeCell ref="B252:B254"/>
    <mergeCell ref="G252:G254"/>
    <mergeCell ref="B239:B241"/>
    <mergeCell ref="G239:G241"/>
    <mergeCell ref="B236:B238"/>
    <mergeCell ref="B255:B258"/>
    <mergeCell ref="G255:G258"/>
    <mergeCell ref="A259:A261"/>
    <mergeCell ref="H259:H261"/>
    <mergeCell ref="I259:I261"/>
    <mergeCell ref="A276:A279"/>
    <mergeCell ref="H276:H279"/>
    <mergeCell ref="I276:I279"/>
    <mergeCell ref="B277:B279"/>
    <mergeCell ref="G277:G279"/>
    <mergeCell ref="H262:H272"/>
    <mergeCell ref="I262:I272"/>
    <mergeCell ref="B263:B265"/>
    <mergeCell ref="G263:G265"/>
    <mergeCell ref="B270:B272"/>
    <mergeCell ref="G270:G272"/>
    <mergeCell ref="G267:G269"/>
    <mergeCell ref="B259:B260"/>
    <mergeCell ref="G259:G260"/>
    <mergeCell ref="B267:B269"/>
    <mergeCell ref="A338:A341"/>
    <mergeCell ref="H338:H341"/>
    <mergeCell ref="I338:I341"/>
    <mergeCell ref="B339:B341"/>
    <mergeCell ref="G339:G341"/>
    <mergeCell ref="H307:H310"/>
    <mergeCell ref="I307:I310"/>
    <mergeCell ref="B308:B310"/>
    <mergeCell ref="G308:G310"/>
    <mergeCell ref="B314:B316"/>
    <mergeCell ref="G314:G316"/>
    <mergeCell ref="B317:B320"/>
    <mergeCell ref="G317:G320"/>
    <mergeCell ref="A321:A323"/>
    <mergeCell ref="H321:H323"/>
    <mergeCell ref="I321:I323"/>
    <mergeCell ref="B329:B331"/>
    <mergeCell ref="G329:G331"/>
    <mergeCell ref="A314:A320"/>
  </mergeCells>
  <conditionalFormatting sqref="I3:I30">
    <cfRule type="containsText" dxfId="184" priority="298" stopIfTrue="1" operator="containsText" text="Functioning At Risk">
      <formula>NOT(ISERROR(SEARCH("Functioning At Risk",I3)))</formula>
    </cfRule>
    <cfRule type="containsText" dxfId="183" priority="299" stopIfTrue="1" operator="containsText" text="Not Functioning">
      <formula>NOT(ISERROR(SEARCH("Not Functioning",I3)))</formula>
    </cfRule>
    <cfRule type="containsText" dxfId="182" priority="300" operator="containsText" text="Functioning">
      <formula>NOT(ISERROR(SEARCH("Functioning",I3)))</formula>
    </cfRule>
  </conditionalFormatting>
  <conditionalFormatting sqref="F3:F30">
    <cfRule type="cellIs" dxfId="181" priority="301" operator="between">
      <formula>0.7</formula>
      <formula>1</formula>
    </cfRule>
    <cfRule type="cellIs" dxfId="180" priority="302" operator="between">
      <formula>0.6999999</formula>
      <formula>0.3</formula>
    </cfRule>
    <cfRule type="cellIs" dxfId="179" priority="303" operator="between">
      <formula>0</formula>
      <formula>0.299999</formula>
    </cfRule>
  </conditionalFormatting>
  <conditionalFormatting sqref="I34:I61">
    <cfRule type="containsText" dxfId="178" priority="292" stopIfTrue="1" operator="containsText" text="Functioning At Risk">
      <formula>NOT(ISERROR(SEARCH("Functioning At Risk",I34)))</formula>
    </cfRule>
    <cfRule type="containsText" dxfId="177" priority="293" stopIfTrue="1" operator="containsText" text="Not Functioning">
      <formula>NOT(ISERROR(SEARCH("Not Functioning",I34)))</formula>
    </cfRule>
    <cfRule type="containsText" dxfId="176" priority="294" operator="containsText" text="Functioning">
      <formula>NOT(ISERROR(SEARCH("Functioning",I34)))</formula>
    </cfRule>
  </conditionalFormatting>
  <conditionalFormatting sqref="I65:I92">
    <cfRule type="containsText" dxfId="175" priority="286" stopIfTrue="1" operator="containsText" text="Functioning At Risk">
      <formula>NOT(ISERROR(SEARCH("Functioning At Risk",I65)))</formula>
    </cfRule>
    <cfRule type="containsText" dxfId="174" priority="287" stopIfTrue="1" operator="containsText" text="Not Functioning">
      <formula>NOT(ISERROR(SEARCH("Not Functioning",I65)))</formula>
    </cfRule>
    <cfRule type="containsText" dxfId="173" priority="288" operator="containsText" text="Functioning">
      <formula>NOT(ISERROR(SEARCH("Functioning",I65)))</formula>
    </cfRule>
  </conditionalFormatting>
  <conditionalFormatting sqref="I97:I124">
    <cfRule type="containsText" dxfId="172" priority="280" stopIfTrue="1" operator="containsText" text="Functioning At Risk">
      <formula>NOT(ISERROR(SEARCH("Functioning At Risk",I97)))</formula>
    </cfRule>
    <cfRule type="containsText" dxfId="171" priority="281" stopIfTrue="1" operator="containsText" text="Not Functioning">
      <formula>NOT(ISERROR(SEARCH("Not Functioning",I97)))</formula>
    </cfRule>
    <cfRule type="containsText" dxfId="170" priority="282" operator="containsText" text="Functioning">
      <formula>NOT(ISERROR(SEARCH("Functioning",I97)))</formula>
    </cfRule>
  </conditionalFormatting>
  <conditionalFormatting sqref="I128:I155">
    <cfRule type="containsText" dxfId="169" priority="274" stopIfTrue="1" operator="containsText" text="Functioning At Risk">
      <formula>NOT(ISERROR(SEARCH("Functioning At Risk",I128)))</formula>
    </cfRule>
    <cfRule type="containsText" dxfId="168" priority="275" stopIfTrue="1" operator="containsText" text="Not Functioning">
      <formula>NOT(ISERROR(SEARCH("Not Functioning",I128)))</formula>
    </cfRule>
    <cfRule type="containsText" dxfId="167" priority="276" operator="containsText" text="Functioning">
      <formula>NOT(ISERROR(SEARCH("Functioning",I128)))</formula>
    </cfRule>
  </conditionalFormatting>
  <conditionalFormatting sqref="I159:I186">
    <cfRule type="containsText" dxfId="166" priority="268" stopIfTrue="1" operator="containsText" text="Functioning At Risk">
      <formula>NOT(ISERROR(SEARCH("Functioning At Risk",I159)))</formula>
    </cfRule>
    <cfRule type="containsText" dxfId="165" priority="269" stopIfTrue="1" operator="containsText" text="Not Functioning">
      <formula>NOT(ISERROR(SEARCH("Not Functioning",I159)))</formula>
    </cfRule>
    <cfRule type="containsText" dxfId="164" priority="270" operator="containsText" text="Functioning">
      <formula>NOT(ISERROR(SEARCH("Functioning",I159)))</formula>
    </cfRule>
  </conditionalFormatting>
  <conditionalFormatting sqref="I190:I217">
    <cfRule type="containsText" dxfId="163" priority="262" stopIfTrue="1" operator="containsText" text="Functioning At Risk">
      <formula>NOT(ISERROR(SEARCH("Functioning At Risk",I190)))</formula>
    </cfRule>
    <cfRule type="containsText" dxfId="162" priority="263" stopIfTrue="1" operator="containsText" text="Not Functioning">
      <formula>NOT(ISERROR(SEARCH("Not Functioning",I190)))</formula>
    </cfRule>
    <cfRule type="containsText" dxfId="161" priority="264" operator="containsText" text="Functioning">
      <formula>NOT(ISERROR(SEARCH("Functioning",I190)))</formula>
    </cfRule>
  </conditionalFormatting>
  <conditionalFormatting sqref="I221:I248">
    <cfRule type="containsText" dxfId="160" priority="256" stopIfTrue="1" operator="containsText" text="Functioning At Risk">
      <formula>NOT(ISERROR(SEARCH("Functioning At Risk",I221)))</formula>
    </cfRule>
    <cfRule type="containsText" dxfId="159" priority="257" stopIfTrue="1" operator="containsText" text="Not Functioning">
      <formula>NOT(ISERROR(SEARCH("Not Functioning",I221)))</formula>
    </cfRule>
    <cfRule type="containsText" dxfId="158" priority="258" operator="containsText" text="Functioning">
      <formula>NOT(ISERROR(SEARCH("Functioning",I221)))</formula>
    </cfRule>
  </conditionalFormatting>
  <conditionalFormatting sqref="I252:I279">
    <cfRule type="containsText" dxfId="157" priority="250" stopIfTrue="1" operator="containsText" text="Functioning At Risk">
      <formula>NOT(ISERROR(SEARCH("Functioning At Risk",I252)))</formula>
    </cfRule>
    <cfRule type="containsText" dxfId="156" priority="251" stopIfTrue="1" operator="containsText" text="Not Functioning">
      <formula>NOT(ISERROR(SEARCH("Not Functioning",I252)))</formula>
    </cfRule>
    <cfRule type="containsText" dxfId="155" priority="252" operator="containsText" text="Functioning">
      <formula>NOT(ISERROR(SEARCH("Functioning",I252)))</formula>
    </cfRule>
  </conditionalFormatting>
  <conditionalFormatting sqref="I283:I310">
    <cfRule type="containsText" dxfId="154" priority="244" stopIfTrue="1" operator="containsText" text="Functioning At Risk">
      <formula>NOT(ISERROR(SEARCH("Functioning At Risk",I283)))</formula>
    </cfRule>
    <cfRule type="containsText" dxfId="153" priority="245" stopIfTrue="1" operator="containsText" text="Not Functioning">
      <formula>NOT(ISERROR(SEARCH("Not Functioning",I283)))</formula>
    </cfRule>
    <cfRule type="containsText" dxfId="152" priority="246" operator="containsText" text="Functioning">
      <formula>NOT(ISERROR(SEARCH("Functioning",I283)))</formula>
    </cfRule>
  </conditionalFormatting>
  <conditionalFormatting sqref="I314:I341">
    <cfRule type="containsText" dxfId="151" priority="238" stopIfTrue="1" operator="containsText" text="Functioning At Risk">
      <formula>NOT(ISERROR(SEARCH("Functioning At Risk",I314)))</formula>
    </cfRule>
    <cfRule type="containsText" dxfId="150" priority="239" stopIfTrue="1" operator="containsText" text="Not Functioning">
      <formula>NOT(ISERROR(SEARCH("Not Functioning",I314)))</formula>
    </cfRule>
    <cfRule type="containsText" dxfId="149" priority="240" operator="containsText" text="Functioning">
      <formula>NOT(ISERROR(SEARCH("Functioning",I314)))</formula>
    </cfRule>
  </conditionalFormatting>
  <conditionalFormatting sqref="F34:F43 F61 F45:F57 F59">
    <cfRule type="cellIs" dxfId="148" priority="145" operator="between">
      <formula>0.7</formula>
      <formula>1</formula>
    </cfRule>
    <cfRule type="cellIs" dxfId="147" priority="146" operator="between">
      <formula>0.6999999</formula>
      <formula>0.3</formula>
    </cfRule>
    <cfRule type="cellIs" dxfId="146" priority="147" operator="between">
      <formula>0</formula>
      <formula>0.299999</formula>
    </cfRule>
  </conditionalFormatting>
  <conditionalFormatting sqref="F65:F74 F92 F76:F88 F90">
    <cfRule type="cellIs" dxfId="145" priority="142" operator="between">
      <formula>0.7</formula>
      <formula>1</formula>
    </cfRule>
    <cfRule type="cellIs" dxfId="144" priority="143" operator="between">
      <formula>0.6999999</formula>
      <formula>0.3</formula>
    </cfRule>
    <cfRule type="cellIs" dxfId="143" priority="144" operator="between">
      <formula>0</formula>
      <formula>0.299999</formula>
    </cfRule>
  </conditionalFormatting>
  <conditionalFormatting sqref="F97:F104 F106 F124 F108:F120 F122">
    <cfRule type="cellIs" dxfId="142" priority="139" operator="between">
      <formula>0.7</formula>
      <formula>1</formula>
    </cfRule>
    <cfRule type="cellIs" dxfId="141" priority="140" operator="between">
      <formula>0.6999999</formula>
      <formula>0.3</formula>
    </cfRule>
    <cfRule type="cellIs" dxfId="140" priority="141" operator="between">
      <formula>0</formula>
      <formula>0.299999</formula>
    </cfRule>
  </conditionalFormatting>
  <conditionalFormatting sqref="F128:F135 F137 F155 F139:F151 F153">
    <cfRule type="cellIs" dxfId="139" priority="136" operator="between">
      <formula>0.7</formula>
      <formula>1</formula>
    </cfRule>
    <cfRule type="cellIs" dxfId="138" priority="137" operator="between">
      <formula>0.6999999</formula>
      <formula>0.3</formula>
    </cfRule>
    <cfRule type="cellIs" dxfId="137" priority="138" operator="between">
      <formula>0</formula>
      <formula>0.299999</formula>
    </cfRule>
  </conditionalFormatting>
  <conditionalFormatting sqref="F159:F166 F168 F186 F170:F182 F184">
    <cfRule type="cellIs" dxfId="136" priority="133" operator="between">
      <formula>0.7</formula>
      <formula>1</formula>
    </cfRule>
    <cfRule type="cellIs" dxfId="135" priority="134" operator="between">
      <formula>0.6999999</formula>
      <formula>0.3</formula>
    </cfRule>
    <cfRule type="cellIs" dxfId="134" priority="135" operator="between">
      <formula>0</formula>
      <formula>0.299999</formula>
    </cfRule>
  </conditionalFormatting>
  <conditionalFormatting sqref="F190:F197 F199 F217 F201:F213 F215">
    <cfRule type="cellIs" dxfId="133" priority="130" operator="between">
      <formula>0.7</formula>
      <formula>1</formula>
    </cfRule>
    <cfRule type="cellIs" dxfId="132" priority="131" operator="between">
      <formula>0.6999999</formula>
      <formula>0.3</formula>
    </cfRule>
    <cfRule type="cellIs" dxfId="131" priority="132" operator="between">
      <formula>0</formula>
      <formula>0.299999</formula>
    </cfRule>
  </conditionalFormatting>
  <conditionalFormatting sqref="F221:F228 F230 F248 F232:F244 F246">
    <cfRule type="cellIs" dxfId="130" priority="127" operator="between">
      <formula>0.7</formula>
      <formula>1</formula>
    </cfRule>
    <cfRule type="cellIs" dxfId="129" priority="128" operator="between">
      <formula>0.6999999</formula>
      <formula>0.3</formula>
    </cfRule>
    <cfRule type="cellIs" dxfId="128" priority="129" operator="between">
      <formula>0</formula>
      <formula>0.299999</formula>
    </cfRule>
  </conditionalFormatting>
  <conditionalFormatting sqref="F252:F259 F261 F279 F263:F275 F277">
    <cfRule type="cellIs" dxfId="127" priority="124" operator="between">
      <formula>0.7</formula>
      <formula>1</formula>
    </cfRule>
    <cfRule type="cellIs" dxfId="126" priority="125" operator="between">
      <formula>0.6999999</formula>
      <formula>0.3</formula>
    </cfRule>
    <cfRule type="cellIs" dxfId="125" priority="126" operator="between">
      <formula>0</formula>
      <formula>0.299999</formula>
    </cfRule>
  </conditionalFormatting>
  <conditionalFormatting sqref="F283:F290 F292 F310 F294:F306 F308">
    <cfRule type="cellIs" dxfId="124" priority="121" operator="between">
      <formula>0.7</formula>
      <formula>1</formula>
    </cfRule>
    <cfRule type="cellIs" dxfId="123" priority="122" operator="between">
      <formula>0.6999999</formula>
      <formula>0.3</formula>
    </cfRule>
    <cfRule type="cellIs" dxfId="122" priority="123" operator="between">
      <formula>0</formula>
      <formula>0.299999</formula>
    </cfRule>
  </conditionalFormatting>
  <conditionalFormatting sqref="F314:F321 F323 F341 F325:F337 F339">
    <cfRule type="cellIs" dxfId="121" priority="118" operator="between">
      <formula>0.7</formula>
      <formula>1</formula>
    </cfRule>
    <cfRule type="cellIs" dxfId="120" priority="119" operator="between">
      <formula>0.6999999</formula>
      <formula>0.3</formula>
    </cfRule>
    <cfRule type="cellIs" dxfId="119" priority="120" operator="between">
      <formula>0</formula>
      <formula>0.299999</formula>
    </cfRule>
  </conditionalFormatting>
  <conditionalFormatting sqref="F105">
    <cfRule type="cellIs" dxfId="118" priority="115" operator="between">
      <formula>0.7</formula>
      <formula>1</formula>
    </cfRule>
    <cfRule type="cellIs" dxfId="117" priority="116" operator="between">
      <formula>0.6999999</formula>
      <formula>0.3</formula>
    </cfRule>
    <cfRule type="cellIs" dxfId="116" priority="117" operator="between">
      <formula>0</formula>
      <formula>0.299999</formula>
    </cfRule>
  </conditionalFormatting>
  <conditionalFormatting sqref="F136">
    <cfRule type="cellIs" dxfId="115" priority="112" operator="between">
      <formula>0.7</formula>
      <formula>1</formula>
    </cfRule>
    <cfRule type="cellIs" dxfId="114" priority="113" operator="between">
      <formula>0.6999999</formula>
      <formula>0.3</formula>
    </cfRule>
    <cfRule type="cellIs" dxfId="113" priority="114" operator="between">
      <formula>0</formula>
      <formula>0.299999</formula>
    </cfRule>
  </conditionalFormatting>
  <conditionalFormatting sqref="F167">
    <cfRule type="cellIs" dxfId="112" priority="109" operator="between">
      <formula>0.7</formula>
      <formula>1</formula>
    </cfRule>
    <cfRule type="cellIs" dxfId="111" priority="110" operator="between">
      <formula>0.6999999</formula>
      <formula>0.3</formula>
    </cfRule>
    <cfRule type="cellIs" dxfId="110" priority="111" operator="between">
      <formula>0</formula>
      <formula>0.299999</formula>
    </cfRule>
  </conditionalFormatting>
  <conditionalFormatting sqref="F198">
    <cfRule type="cellIs" dxfId="109" priority="106" operator="between">
      <formula>0.7</formula>
      <formula>1</formula>
    </cfRule>
    <cfRule type="cellIs" dxfId="108" priority="107" operator="between">
      <formula>0.6999999</formula>
      <formula>0.3</formula>
    </cfRule>
    <cfRule type="cellIs" dxfId="107" priority="108" operator="between">
      <formula>0</formula>
      <formula>0.299999</formula>
    </cfRule>
  </conditionalFormatting>
  <conditionalFormatting sqref="F229">
    <cfRule type="cellIs" dxfId="106" priority="103" operator="between">
      <formula>0.7</formula>
      <formula>1</formula>
    </cfRule>
    <cfRule type="cellIs" dxfId="105" priority="104" operator="between">
      <formula>0.6999999</formula>
      <formula>0.3</formula>
    </cfRule>
    <cfRule type="cellIs" dxfId="104" priority="105" operator="between">
      <formula>0</formula>
      <formula>0.299999</formula>
    </cfRule>
  </conditionalFormatting>
  <conditionalFormatting sqref="F260">
    <cfRule type="cellIs" dxfId="103" priority="100" operator="between">
      <formula>0.7</formula>
      <formula>1</formula>
    </cfRule>
    <cfRule type="cellIs" dxfId="102" priority="101" operator="between">
      <formula>0.6999999</formula>
      <formula>0.3</formula>
    </cfRule>
    <cfRule type="cellIs" dxfId="101" priority="102" operator="between">
      <formula>0</formula>
      <formula>0.299999</formula>
    </cfRule>
  </conditionalFormatting>
  <conditionalFormatting sqref="F291">
    <cfRule type="cellIs" dxfId="100" priority="97" operator="between">
      <formula>0.7</formula>
      <formula>1</formula>
    </cfRule>
    <cfRule type="cellIs" dxfId="99" priority="98" operator="between">
      <formula>0.6999999</formula>
      <formula>0.3</formula>
    </cfRule>
    <cfRule type="cellIs" dxfId="98" priority="99" operator="between">
      <formula>0</formula>
      <formula>0.299999</formula>
    </cfRule>
  </conditionalFormatting>
  <conditionalFormatting sqref="F322">
    <cfRule type="cellIs" dxfId="97" priority="94" operator="between">
      <formula>0.7</formula>
      <formula>1</formula>
    </cfRule>
    <cfRule type="cellIs" dxfId="96" priority="95" operator="between">
      <formula>0.6999999</formula>
      <formula>0.3</formula>
    </cfRule>
    <cfRule type="cellIs" dxfId="95" priority="96" operator="between">
      <formula>0</formula>
      <formula>0.299999</formula>
    </cfRule>
  </conditionalFormatting>
  <conditionalFormatting sqref="F60">
    <cfRule type="cellIs" dxfId="94" priority="91" operator="between">
      <formula>0.7</formula>
      <formula>1</formula>
    </cfRule>
    <cfRule type="cellIs" dxfId="93" priority="92" operator="between">
      <formula>0.6999999</formula>
      <formula>0.3</formula>
    </cfRule>
    <cfRule type="cellIs" dxfId="92" priority="93" operator="between">
      <formula>0</formula>
      <formula>0.299999</formula>
    </cfRule>
  </conditionalFormatting>
  <conditionalFormatting sqref="F91">
    <cfRule type="cellIs" dxfId="91" priority="88" operator="between">
      <formula>0.7</formula>
      <formula>1</formula>
    </cfRule>
    <cfRule type="cellIs" dxfId="90" priority="89" operator="between">
      <formula>0.6999999</formula>
      <formula>0.3</formula>
    </cfRule>
    <cfRule type="cellIs" dxfId="89" priority="90" operator="between">
      <formula>0</formula>
      <formula>0.299999</formula>
    </cfRule>
  </conditionalFormatting>
  <conditionalFormatting sqref="F123">
    <cfRule type="cellIs" dxfId="88" priority="85" operator="between">
      <formula>0.7</formula>
      <formula>1</formula>
    </cfRule>
    <cfRule type="cellIs" dxfId="87" priority="86" operator="between">
      <formula>0.6999999</formula>
      <formula>0.3</formula>
    </cfRule>
    <cfRule type="cellIs" dxfId="86" priority="87" operator="between">
      <formula>0</formula>
      <formula>0.299999</formula>
    </cfRule>
  </conditionalFormatting>
  <conditionalFormatting sqref="F154">
    <cfRule type="cellIs" dxfId="85" priority="82" operator="between">
      <formula>0.7</formula>
      <formula>1</formula>
    </cfRule>
    <cfRule type="cellIs" dxfId="84" priority="83" operator="between">
      <formula>0.6999999</formula>
      <formula>0.3</formula>
    </cfRule>
    <cfRule type="cellIs" dxfId="83" priority="84" operator="between">
      <formula>0</formula>
      <formula>0.299999</formula>
    </cfRule>
  </conditionalFormatting>
  <conditionalFormatting sqref="F185">
    <cfRule type="cellIs" dxfId="82" priority="79" operator="between">
      <formula>0.7</formula>
      <formula>1</formula>
    </cfRule>
    <cfRule type="cellIs" dxfId="81" priority="80" operator="between">
      <formula>0.6999999</formula>
      <formula>0.3</formula>
    </cfRule>
    <cfRule type="cellIs" dxfId="80" priority="81" operator="between">
      <formula>0</formula>
      <formula>0.299999</formula>
    </cfRule>
  </conditionalFormatting>
  <conditionalFormatting sqref="F216">
    <cfRule type="cellIs" dxfId="79" priority="76" operator="between">
      <formula>0.7</formula>
      <formula>1</formula>
    </cfRule>
    <cfRule type="cellIs" dxfId="78" priority="77" operator="between">
      <formula>0.6999999</formula>
      <formula>0.3</formula>
    </cfRule>
    <cfRule type="cellIs" dxfId="77" priority="78" operator="between">
      <formula>0</formula>
      <formula>0.299999</formula>
    </cfRule>
  </conditionalFormatting>
  <conditionalFormatting sqref="F247">
    <cfRule type="cellIs" dxfId="76" priority="73" operator="between">
      <formula>0.7</formula>
      <formula>1</formula>
    </cfRule>
    <cfRule type="cellIs" dxfId="75" priority="74" operator="between">
      <formula>0.6999999</formula>
      <formula>0.3</formula>
    </cfRule>
    <cfRule type="cellIs" dxfId="74" priority="75" operator="between">
      <formula>0</formula>
      <formula>0.299999</formula>
    </cfRule>
  </conditionalFormatting>
  <conditionalFormatting sqref="F278">
    <cfRule type="cellIs" dxfId="73" priority="70" operator="between">
      <formula>0.7</formula>
      <formula>1</formula>
    </cfRule>
    <cfRule type="cellIs" dxfId="72" priority="71" operator="between">
      <formula>0.6999999</formula>
      <formula>0.3</formula>
    </cfRule>
    <cfRule type="cellIs" dxfId="71" priority="72" operator="between">
      <formula>0</formula>
      <formula>0.299999</formula>
    </cfRule>
  </conditionalFormatting>
  <conditionalFormatting sqref="F309">
    <cfRule type="cellIs" dxfId="70" priority="67" operator="between">
      <formula>0.7</formula>
      <formula>1</formula>
    </cfRule>
    <cfRule type="cellIs" dxfId="69" priority="68" operator="between">
      <formula>0.6999999</formula>
      <formula>0.3</formula>
    </cfRule>
    <cfRule type="cellIs" dxfId="68" priority="69" operator="between">
      <formula>0</formula>
      <formula>0.299999</formula>
    </cfRule>
  </conditionalFormatting>
  <conditionalFormatting sqref="F340">
    <cfRule type="cellIs" dxfId="67" priority="64" operator="between">
      <formula>0.7</formula>
      <formula>1</formula>
    </cfRule>
    <cfRule type="cellIs" dxfId="66" priority="65" operator="between">
      <formula>0.6999999</formula>
      <formula>0.3</formula>
    </cfRule>
    <cfRule type="cellIs" dxfId="65" priority="66" operator="between">
      <formula>0</formula>
      <formula>0.299999</formula>
    </cfRule>
  </conditionalFormatting>
  <conditionalFormatting sqref="F44">
    <cfRule type="cellIs" dxfId="64" priority="61" operator="between">
      <formula>0.7</formula>
      <formula>1</formula>
    </cfRule>
    <cfRule type="cellIs" dxfId="63" priority="62" operator="between">
      <formula>0.6999999</formula>
      <formula>0.3</formula>
    </cfRule>
    <cfRule type="cellIs" dxfId="62" priority="63" operator="between">
      <formula>0</formula>
      <formula>0.299999</formula>
    </cfRule>
  </conditionalFormatting>
  <conditionalFormatting sqref="F75">
    <cfRule type="cellIs" dxfId="61" priority="58" operator="between">
      <formula>0.7</formula>
      <formula>1</formula>
    </cfRule>
    <cfRule type="cellIs" dxfId="60" priority="59" operator="between">
      <formula>0.6999999</formula>
      <formula>0.3</formula>
    </cfRule>
    <cfRule type="cellIs" dxfId="59" priority="60" operator="between">
      <formula>0</formula>
      <formula>0.299999</formula>
    </cfRule>
  </conditionalFormatting>
  <conditionalFormatting sqref="F107">
    <cfRule type="cellIs" dxfId="58" priority="55" operator="between">
      <formula>0.7</formula>
      <formula>1</formula>
    </cfRule>
    <cfRule type="cellIs" dxfId="57" priority="56" operator="between">
      <formula>0.6999999</formula>
      <formula>0.3</formula>
    </cfRule>
    <cfRule type="cellIs" dxfId="56" priority="57" operator="between">
      <formula>0</formula>
      <formula>0.299999</formula>
    </cfRule>
  </conditionalFormatting>
  <conditionalFormatting sqref="F138">
    <cfRule type="cellIs" dxfId="55" priority="52" operator="between">
      <formula>0.7</formula>
      <formula>1</formula>
    </cfRule>
    <cfRule type="cellIs" dxfId="54" priority="53" operator="between">
      <formula>0.6999999</formula>
      <formula>0.3</formula>
    </cfRule>
    <cfRule type="cellIs" dxfId="53" priority="54" operator="between">
      <formula>0</formula>
      <formula>0.299999</formula>
    </cfRule>
  </conditionalFormatting>
  <conditionalFormatting sqref="F169">
    <cfRule type="cellIs" dxfId="52" priority="49" operator="between">
      <formula>0.7</formula>
      <formula>1</formula>
    </cfRule>
    <cfRule type="cellIs" dxfId="51" priority="50" operator="between">
      <formula>0.6999999</formula>
      <formula>0.3</formula>
    </cfRule>
    <cfRule type="cellIs" dxfId="50" priority="51" operator="between">
      <formula>0</formula>
      <formula>0.299999</formula>
    </cfRule>
  </conditionalFormatting>
  <conditionalFormatting sqref="F200">
    <cfRule type="cellIs" dxfId="49" priority="43" operator="between">
      <formula>0.7</formula>
      <formula>1</formula>
    </cfRule>
    <cfRule type="cellIs" dxfId="48" priority="44" operator="between">
      <formula>0.6999999</formula>
      <formula>0.3</formula>
    </cfRule>
    <cfRule type="cellIs" dxfId="47" priority="45" operator="between">
      <formula>0</formula>
      <formula>0.299999</formula>
    </cfRule>
  </conditionalFormatting>
  <conditionalFormatting sqref="F231">
    <cfRule type="cellIs" dxfId="46" priority="40" operator="between">
      <formula>0.7</formula>
      <formula>1</formula>
    </cfRule>
    <cfRule type="cellIs" dxfId="45" priority="41" operator="between">
      <formula>0.6999999</formula>
      <formula>0.3</formula>
    </cfRule>
    <cfRule type="cellIs" dxfId="44" priority="42" operator="between">
      <formula>0</formula>
      <formula>0.299999</formula>
    </cfRule>
  </conditionalFormatting>
  <conditionalFormatting sqref="F262">
    <cfRule type="cellIs" dxfId="43" priority="37" operator="between">
      <formula>0.7</formula>
      <formula>1</formula>
    </cfRule>
    <cfRule type="cellIs" dxfId="42" priority="38" operator="between">
      <formula>0.6999999</formula>
      <formula>0.3</formula>
    </cfRule>
    <cfRule type="cellIs" dxfId="41" priority="39" operator="between">
      <formula>0</formula>
      <formula>0.299999</formula>
    </cfRule>
  </conditionalFormatting>
  <conditionalFormatting sqref="F293">
    <cfRule type="cellIs" dxfId="40" priority="34" operator="between">
      <formula>0.7</formula>
      <formula>1</formula>
    </cfRule>
    <cfRule type="cellIs" dxfId="39" priority="35" operator="between">
      <formula>0.6999999</formula>
      <formula>0.3</formula>
    </cfRule>
    <cfRule type="cellIs" dxfId="38" priority="36" operator="between">
      <formula>0</formula>
      <formula>0.299999</formula>
    </cfRule>
  </conditionalFormatting>
  <conditionalFormatting sqref="F324">
    <cfRule type="cellIs" dxfId="37" priority="31" operator="between">
      <formula>0.7</formula>
      <formula>1</formula>
    </cfRule>
    <cfRule type="cellIs" dxfId="36" priority="32" operator="between">
      <formula>0.6999999</formula>
      <formula>0.3</formula>
    </cfRule>
    <cfRule type="cellIs" dxfId="35" priority="33" operator="between">
      <formula>0</formula>
      <formula>0.299999</formula>
    </cfRule>
  </conditionalFormatting>
  <conditionalFormatting sqref="F58">
    <cfRule type="cellIs" dxfId="34" priority="28" operator="between">
      <formula>0.7</formula>
      <formula>1</formula>
    </cfRule>
    <cfRule type="cellIs" dxfId="33" priority="29" operator="between">
      <formula>0.6999999</formula>
      <formula>0.3</formula>
    </cfRule>
    <cfRule type="cellIs" dxfId="32" priority="30" operator="between">
      <formula>0</formula>
      <formula>0.299999</formula>
    </cfRule>
  </conditionalFormatting>
  <conditionalFormatting sqref="F89">
    <cfRule type="cellIs" dxfId="31" priority="25" operator="between">
      <formula>0.7</formula>
      <formula>1</formula>
    </cfRule>
    <cfRule type="cellIs" dxfId="30" priority="26" operator="between">
      <formula>0.6999999</formula>
      <formula>0.3</formula>
    </cfRule>
    <cfRule type="cellIs" dxfId="29" priority="27" operator="between">
      <formula>0</formula>
      <formula>0.299999</formula>
    </cfRule>
  </conditionalFormatting>
  <conditionalFormatting sqref="F121">
    <cfRule type="cellIs" dxfId="28" priority="22" operator="between">
      <formula>0.7</formula>
      <formula>1</formula>
    </cfRule>
    <cfRule type="cellIs" dxfId="27" priority="23" operator="between">
      <formula>0.6999999</formula>
      <formula>0.3</formula>
    </cfRule>
    <cfRule type="cellIs" dxfId="26" priority="24" operator="between">
      <formula>0</formula>
      <formula>0.299999</formula>
    </cfRule>
  </conditionalFormatting>
  <conditionalFormatting sqref="F152">
    <cfRule type="cellIs" dxfId="25" priority="19" operator="between">
      <formula>0.7</formula>
      <formula>1</formula>
    </cfRule>
    <cfRule type="cellIs" dxfId="24" priority="20" operator="between">
      <formula>0.6999999</formula>
      <formula>0.3</formula>
    </cfRule>
    <cfRule type="cellIs" dxfId="23" priority="21" operator="between">
      <formula>0</formula>
      <formula>0.299999</formula>
    </cfRule>
  </conditionalFormatting>
  <conditionalFormatting sqref="F183">
    <cfRule type="cellIs" dxfId="22" priority="16" operator="between">
      <formula>0.7</formula>
      <formula>1</formula>
    </cfRule>
    <cfRule type="cellIs" dxfId="21" priority="17" operator="between">
      <formula>0.6999999</formula>
      <formula>0.3</formula>
    </cfRule>
    <cfRule type="cellIs" dxfId="20" priority="18" operator="between">
      <formula>0</formula>
      <formula>0.299999</formula>
    </cfRule>
  </conditionalFormatting>
  <conditionalFormatting sqref="F214">
    <cfRule type="cellIs" dxfId="19" priority="13" operator="between">
      <formula>0.7</formula>
      <formula>1</formula>
    </cfRule>
    <cfRule type="cellIs" dxfId="18" priority="14" operator="between">
      <formula>0.6999999</formula>
      <formula>0.3</formula>
    </cfRule>
    <cfRule type="cellIs" dxfId="17" priority="15" operator="between">
      <formula>0</formula>
      <formula>0.299999</formula>
    </cfRule>
  </conditionalFormatting>
  <conditionalFormatting sqref="F245">
    <cfRule type="cellIs" dxfId="16" priority="10" operator="between">
      <formula>0.7</formula>
      <formula>1</formula>
    </cfRule>
    <cfRule type="cellIs" dxfId="15" priority="11" operator="between">
      <formula>0.6999999</formula>
      <formula>0.3</formula>
    </cfRule>
    <cfRule type="cellIs" dxfId="14" priority="12" operator="between">
      <formula>0</formula>
      <formula>0.299999</formula>
    </cfRule>
  </conditionalFormatting>
  <conditionalFormatting sqref="F276">
    <cfRule type="cellIs" dxfId="13" priority="7" operator="between">
      <formula>0.7</formula>
      <formula>1</formula>
    </cfRule>
    <cfRule type="cellIs" dxfId="12" priority="8" operator="between">
      <formula>0.6999999</formula>
      <formula>0.3</formula>
    </cfRule>
    <cfRule type="cellIs" dxfId="11" priority="9" operator="between">
      <formula>0</formula>
      <formula>0.299999</formula>
    </cfRule>
  </conditionalFormatting>
  <conditionalFormatting sqref="F307">
    <cfRule type="cellIs" dxfId="10" priority="4" operator="between">
      <formula>0.7</formula>
      <formula>1</formula>
    </cfRule>
    <cfRule type="cellIs" dxfId="9" priority="5" operator="between">
      <formula>0.6999999</formula>
      <formula>0.3</formula>
    </cfRule>
    <cfRule type="cellIs" dxfId="8" priority="6" operator="between">
      <formula>0</formula>
      <formula>0.299999</formula>
    </cfRule>
  </conditionalFormatting>
  <conditionalFormatting sqref="F338">
    <cfRule type="cellIs" dxfId="7" priority="1" operator="between">
      <formula>0.7</formula>
      <formula>1</formula>
    </cfRule>
    <cfRule type="cellIs" dxfId="6" priority="2" operator="between">
      <formula>0.6999999</formula>
      <formula>0.3</formula>
    </cfRule>
    <cfRule type="cellIs" dxfId="5" priority="3" operator="between">
      <formula>0</formula>
      <formula>0.299999</formula>
    </cfRule>
  </conditionalFormatting>
  <dataValidations disablePrompts="1" count="2">
    <dataValidation type="decimal" allowBlank="1" showErrorMessage="1" prompt="Select catchment conditon level from the completed catchment assessment form. " sqref="E159:E169 E283:E293 E190:E200 E128:E138 E252:E262 E221:E231 E314:E324 E3:E13 E34:E44 E65:E75" xr:uid="{00000000-0002-0000-0400-000000000000}">
      <formula1>0</formula1>
      <formula2>1000</formula2>
    </dataValidation>
    <dataValidation type="decimal" allowBlank="1" showInputMessage="1" showErrorMessage="1" sqref="E15:E30 E46:E61 E77:E92 E97:E107 E109:E124 E171:E186 E140:E155 E202:E217 E233:E248 E264:E279 E295:E310 E326:E341" xr:uid="{3932F574-77F6-423B-A5A8-79E45662F388}">
      <formula1>0</formula1>
      <formula2>1000</formula2>
    </dataValidation>
  </dataValidations>
  <pageMargins left="0.7" right="0.7" top="0.75" bottom="0.75" header="0.3" footer="0.3"/>
  <pageSetup paperSize="3" fitToWidth="0" fitToHeight="0" orientation="landscape" r:id="rId1"/>
  <headerFooter>
    <oddFooter>&amp;LAKSQTint v1.0 - SQT Workbook
Monitoring Data</oddFooter>
  </headerFooter>
  <rowBreaks count="10" manualBreakCount="10">
    <brk id="30" max="16383" man="1"/>
    <brk id="61" max="16383" man="1"/>
    <brk id="93" max="8" man="1"/>
    <brk id="124" max="16383" man="1"/>
    <brk id="155" max="16383" man="1"/>
    <brk id="186" max="16383" man="1"/>
    <brk id="217" max="16383" man="1"/>
    <brk id="248" max="16383" man="1"/>
    <brk id="279" max="16383" man="1"/>
    <brk id="310" max="16383" man="1"/>
  </rowBreaks>
  <extLst>
    <ext xmlns:x14="http://schemas.microsoft.com/office/spreadsheetml/2009/9/main" uri="{CCE6A557-97BC-4b89-ADB6-D9C93CAAB3DF}">
      <x14:dataValidations xmlns:xm="http://schemas.microsoft.com/office/excel/2006/main" disablePrompts="1" count="1">
        <x14:dataValidation type="list" allowBlank="1" showErrorMessage="1" prompt="Select the dominant BEHI/NBS.  _x000a_If erosion rate was measured select blank. The user should only input a value for either BEHI/NBS or Erosion Rate, not both. " xr:uid="{490E6AF5-FF42-46F3-952D-34A4FF0DF395}">
          <x14:formula1>
            <xm:f>'Pull Down Notes'!$B$22:$B$59</xm:f>
          </x14:formula1>
          <xm:sqref>E14 E294 E263 E232 E201 E170 E139 E108 E76 E45 E325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S33"/>
  <sheetViews>
    <sheetView zoomScaleNormal="100" workbookViewId="0">
      <selection activeCell="A23" sqref="A23:B23"/>
    </sheetView>
  </sheetViews>
  <sheetFormatPr defaultRowHeight="15" x14ac:dyDescent="0.25"/>
  <cols>
    <col min="1" max="1" width="19.7109375" bestFit="1" customWidth="1"/>
    <col min="2" max="2" width="31.28515625" bestFit="1" customWidth="1"/>
    <col min="3" max="3" width="14.7109375" customWidth="1"/>
    <col min="4" max="4" width="14.28515625" customWidth="1"/>
    <col min="5" max="5" width="10.28515625" customWidth="1"/>
    <col min="6" max="15" width="10.7109375" customWidth="1"/>
  </cols>
  <sheetData>
    <row r="2" spans="1:15" ht="29.1" customHeight="1" x14ac:dyDescent="0.25">
      <c r="A2" s="604" t="s">
        <v>88</v>
      </c>
      <c r="B2" s="605"/>
      <c r="C2" s="605"/>
      <c r="D2" s="605"/>
      <c r="E2" s="605"/>
      <c r="F2" s="605"/>
      <c r="G2" s="605"/>
      <c r="H2" s="605"/>
      <c r="I2" s="605"/>
      <c r="J2" s="605"/>
      <c r="K2" s="605"/>
      <c r="L2" s="605"/>
      <c r="M2" s="605"/>
      <c r="N2" s="605"/>
      <c r="O2" s="606"/>
    </row>
    <row r="3" spans="1:15" ht="18.75" x14ac:dyDescent="0.25">
      <c r="A3" s="599" t="s">
        <v>1</v>
      </c>
      <c r="B3" s="599" t="s">
        <v>2</v>
      </c>
      <c r="C3" s="607" t="s">
        <v>51</v>
      </c>
      <c r="D3" s="607" t="s">
        <v>52</v>
      </c>
      <c r="E3" s="599" t="s">
        <v>98</v>
      </c>
      <c r="F3" s="601" t="s">
        <v>101</v>
      </c>
      <c r="G3" s="602"/>
      <c r="H3" s="602"/>
      <c r="I3" s="602"/>
      <c r="J3" s="602"/>
      <c r="K3" s="602"/>
      <c r="L3" s="602"/>
      <c r="M3" s="602"/>
      <c r="N3" s="602"/>
      <c r="O3" s="603"/>
    </row>
    <row r="4" spans="1:15" ht="18.75" x14ac:dyDescent="0.25">
      <c r="A4" s="600"/>
      <c r="B4" s="600"/>
      <c r="C4" s="608"/>
      <c r="D4" s="608"/>
      <c r="E4" s="600"/>
      <c r="F4" s="24" t="e">
        <f>IF('Monitoring Data'!B32="",#N/A,'Monitoring Data'!B32)</f>
        <v>#N/A</v>
      </c>
      <c r="G4" s="24" t="e">
        <f>IF('Monitoring Data'!B63="",#N/A,'Monitoring Data'!B63)</f>
        <v>#N/A</v>
      </c>
      <c r="H4" s="24" t="e">
        <f>IF('Monitoring Data'!B95="",#N/A,'Monitoring Data'!B95)</f>
        <v>#N/A</v>
      </c>
      <c r="I4" s="24" t="e">
        <f>IF('Monitoring Data'!B126="",#N/A,'Monitoring Data'!B126)</f>
        <v>#N/A</v>
      </c>
      <c r="J4" s="24" t="e">
        <f>IF('Monitoring Data'!B157="",#N/A,'Monitoring Data'!B157)</f>
        <v>#N/A</v>
      </c>
      <c r="K4" s="24" t="e">
        <f>IF('Monitoring Data'!B188="",#N/A,'Monitoring Data'!B188)</f>
        <v>#N/A</v>
      </c>
      <c r="L4" s="24" t="e">
        <f>IF('Monitoring Data'!B219="",#N/A,'Monitoring Data'!B219)</f>
        <v>#N/A</v>
      </c>
      <c r="M4" s="24" t="e">
        <f>IF('Monitoring Data'!B250="",#N/A,'Monitoring Data'!B250)</f>
        <v>#N/A</v>
      </c>
      <c r="N4" s="24" t="e">
        <f>IF('Monitoring Data'!B281="",#N/A,'Monitoring Data'!B281)</f>
        <v>#N/A</v>
      </c>
      <c r="O4" s="24" t="e">
        <f>IF('Monitoring Data'!B312="",#N/A,'Monitoring Data'!B312)</f>
        <v>#N/A</v>
      </c>
    </row>
    <row r="5" spans="1:15" ht="15.75" x14ac:dyDescent="0.25">
      <c r="A5" s="619" t="s">
        <v>162</v>
      </c>
      <c r="B5" s="259" t="s">
        <v>258</v>
      </c>
      <c r="C5" s="20" t="str">
        <f>'Quantification Tool'!C24</f>
        <v/>
      </c>
      <c r="D5" s="20" t="str">
        <f>'Quantification Tool'!D24</f>
        <v/>
      </c>
      <c r="E5" s="358" t="str">
        <f>'Monitoring Data'!G3</f>
        <v/>
      </c>
      <c r="F5" s="7" t="str">
        <f>'Monitoring Data'!G34</f>
        <v/>
      </c>
      <c r="G5" s="7" t="str">
        <f>'Monitoring Data'!G65</f>
        <v/>
      </c>
      <c r="H5" s="7" t="str">
        <f>'Monitoring Data'!G97</f>
        <v/>
      </c>
      <c r="I5" s="7" t="str">
        <f>'Monitoring Data'!G128</f>
        <v/>
      </c>
      <c r="J5" s="7" t="str">
        <f>'Monitoring Data'!G159</f>
        <v/>
      </c>
      <c r="K5" s="7" t="str">
        <f>'Monitoring Data'!G190</f>
        <v/>
      </c>
      <c r="L5" s="7" t="str">
        <f>'Monitoring Data'!G221</f>
        <v/>
      </c>
      <c r="M5" s="7" t="str">
        <f>'Monitoring Data'!G252</f>
        <v/>
      </c>
      <c r="N5" s="7" t="str">
        <f>'Monitoring Data'!G283</f>
        <v/>
      </c>
      <c r="O5" s="7" t="str">
        <f>'Monitoring Data'!G314</f>
        <v/>
      </c>
    </row>
    <row r="6" spans="1:15" ht="15.75" x14ac:dyDescent="0.25">
      <c r="A6" s="620"/>
      <c r="B6" s="259" t="s">
        <v>95</v>
      </c>
      <c r="C6" s="20" t="str">
        <f>'Quantification Tool'!C25</f>
        <v/>
      </c>
      <c r="D6" s="20" t="str">
        <f>'Quantification Tool'!D25</f>
        <v/>
      </c>
      <c r="E6" s="7" t="str">
        <f>'Monitoring Data'!G6</f>
        <v/>
      </c>
      <c r="F6" s="7" t="str">
        <f>'Monitoring Data'!G37</f>
        <v/>
      </c>
      <c r="G6" s="7" t="str">
        <f>'Monitoring Data'!G68</f>
        <v/>
      </c>
      <c r="H6" s="7" t="str">
        <f>'Monitoring Data'!G100</f>
        <v/>
      </c>
      <c r="I6" s="7" t="str">
        <f>'Monitoring Data'!G131</f>
        <v/>
      </c>
      <c r="J6" s="7" t="str">
        <f>'Monitoring Data'!G162</f>
        <v/>
      </c>
      <c r="K6" s="7" t="str">
        <f>'Monitoring Data'!G193</f>
        <v/>
      </c>
      <c r="L6" s="7" t="str">
        <f>'Monitoring Data'!G224</f>
        <v/>
      </c>
      <c r="M6" s="7" t="str">
        <f>'Monitoring Data'!G255</f>
        <v/>
      </c>
      <c r="N6" s="7" t="str">
        <f>'Monitoring Data'!G286</f>
        <v/>
      </c>
      <c r="O6" s="7" t="str">
        <f>'Monitoring Data'!G317</f>
        <v/>
      </c>
    </row>
    <row r="7" spans="1:15" ht="15.75" x14ac:dyDescent="0.25">
      <c r="A7" s="586" t="s">
        <v>160</v>
      </c>
      <c r="B7" s="50" t="s">
        <v>5</v>
      </c>
      <c r="C7" s="20" t="str">
        <f>'Quantification Tool'!C26</f>
        <v/>
      </c>
      <c r="D7" s="20" t="str">
        <f>'Quantification Tool'!D26</f>
        <v/>
      </c>
      <c r="E7" s="7" t="str">
        <f>'Monitoring Data'!G10</f>
        <v/>
      </c>
      <c r="F7" s="7" t="str">
        <f>'Monitoring Data'!G41</f>
        <v/>
      </c>
      <c r="G7" s="7" t="str">
        <f>'Monitoring Data'!G72</f>
        <v/>
      </c>
      <c r="H7" s="7" t="str">
        <f>'Monitoring Data'!G104</f>
        <v/>
      </c>
      <c r="I7" s="7" t="str">
        <f>'Monitoring Data'!G135</f>
        <v/>
      </c>
      <c r="J7" s="7" t="str">
        <f>'Monitoring Data'!G166</f>
        <v/>
      </c>
      <c r="K7" s="7" t="str">
        <f>'Monitoring Data'!G197</f>
        <v/>
      </c>
      <c r="L7" s="7" t="str">
        <f>'Monitoring Data'!G228</f>
        <v/>
      </c>
      <c r="M7" s="7" t="str">
        <f>'Monitoring Data'!G259</f>
        <v/>
      </c>
      <c r="N7" s="7" t="str">
        <f>'Monitoring Data'!G290</f>
        <v/>
      </c>
      <c r="O7" s="7" t="str">
        <f>'Monitoring Data'!G321</f>
        <v/>
      </c>
    </row>
    <row r="8" spans="1:15" ht="15.75" x14ac:dyDescent="0.25">
      <c r="A8" s="587"/>
      <c r="B8" s="258" t="s">
        <v>210</v>
      </c>
      <c r="C8" s="20" t="str">
        <f>'Quantification Tool'!C27</f>
        <v/>
      </c>
      <c r="D8" s="20" t="str">
        <f>'Quantification Tool'!D27</f>
        <v/>
      </c>
      <c r="E8" s="7" t="str">
        <f>'Monitoring Data'!G12</f>
        <v/>
      </c>
      <c r="F8" s="7" t="str">
        <f>'Monitoring Data'!G43</f>
        <v/>
      </c>
      <c r="G8" s="7" t="str">
        <f>'Monitoring Data'!G74</f>
        <v/>
      </c>
      <c r="H8" s="7" t="str">
        <f>'Monitoring Data'!G106</f>
        <v/>
      </c>
      <c r="I8" s="7" t="str">
        <f>'Monitoring Data'!G137</f>
        <v/>
      </c>
      <c r="J8" s="7" t="str">
        <f>'Monitoring Data'!G168</f>
        <v/>
      </c>
      <c r="K8" s="7" t="str">
        <f>'Monitoring Data'!G199</f>
        <v/>
      </c>
      <c r="L8" s="7" t="str">
        <f>'Monitoring Data'!G230</f>
        <v/>
      </c>
      <c r="M8" s="7" t="str">
        <f>'Monitoring Data'!G261</f>
        <v/>
      </c>
      <c r="N8" s="7" t="str">
        <f>'Monitoring Data'!G292</f>
        <v/>
      </c>
      <c r="O8" s="7" t="str">
        <f>'Monitoring Data'!G323</f>
        <v/>
      </c>
    </row>
    <row r="9" spans="1:15" ht="15.75" x14ac:dyDescent="0.25">
      <c r="A9" s="613" t="s">
        <v>17</v>
      </c>
      <c r="B9" s="51" t="s">
        <v>18</v>
      </c>
      <c r="C9" s="20" t="str">
        <f>'Quantification Tool'!C28</f>
        <v/>
      </c>
      <c r="D9" s="20" t="str">
        <f>'Quantification Tool'!D28</f>
        <v/>
      </c>
      <c r="E9" s="7" t="str">
        <f>'Monitoring Data'!G13</f>
        <v/>
      </c>
      <c r="F9" s="7" t="str">
        <f>'Monitoring Data'!G44</f>
        <v/>
      </c>
      <c r="G9" s="7" t="str">
        <f>'Monitoring Data'!G75</f>
        <v/>
      </c>
      <c r="H9" s="7" t="str">
        <f>'Monitoring Data'!G107</f>
        <v/>
      </c>
      <c r="I9" s="7" t="str">
        <f>'Monitoring Data'!G138</f>
        <v/>
      </c>
      <c r="J9" s="7" t="str">
        <f>'Monitoring Data'!G169</f>
        <v/>
      </c>
      <c r="K9" s="7" t="str">
        <f>'Monitoring Data'!G200</f>
        <v/>
      </c>
      <c r="L9" s="7" t="str">
        <f>'Monitoring Data'!G231</f>
        <v/>
      </c>
      <c r="M9" s="7" t="str">
        <f>'Monitoring Data'!G262</f>
        <v/>
      </c>
      <c r="N9" s="7" t="str">
        <f>'Monitoring Data'!G293</f>
        <v/>
      </c>
      <c r="O9" s="7" t="str">
        <f>'Monitoring Data'!G324</f>
        <v/>
      </c>
    </row>
    <row r="10" spans="1:15" ht="15.75" x14ac:dyDescent="0.25">
      <c r="A10" s="614"/>
      <c r="B10" s="10" t="s">
        <v>157</v>
      </c>
      <c r="C10" s="20" t="str">
        <f>'Quantification Tool'!C29</f>
        <v/>
      </c>
      <c r="D10" s="20" t="str">
        <f>'Quantification Tool'!D29</f>
        <v/>
      </c>
      <c r="E10" s="7" t="str">
        <f>'Monitoring Data'!G14</f>
        <v/>
      </c>
      <c r="F10" s="7" t="str">
        <f>'Monitoring Data'!G45</f>
        <v/>
      </c>
      <c r="G10" s="7" t="str">
        <f>'Monitoring Data'!G76</f>
        <v/>
      </c>
      <c r="H10" s="7" t="str">
        <f>'Monitoring Data'!G108</f>
        <v/>
      </c>
      <c r="I10" s="7" t="str">
        <f>'Monitoring Data'!G139</f>
        <v/>
      </c>
      <c r="J10" s="7" t="str">
        <f>'Monitoring Data'!G170</f>
        <v/>
      </c>
      <c r="K10" s="7" t="str">
        <f>'Monitoring Data'!G201</f>
        <v/>
      </c>
      <c r="L10" s="7" t="str">
        <f>'Monitoring Data'!G232</f>
        <v/>
      </c>
      <c r="M10" s="7" t="str">
        <f>'Monitoring Data'!G263</f>
        <v/>
      </c>
      <c r="N10" s="7" t="str">
        <f>'Monitoring Data'!G294</f>
        <v/>
      </c>
      <c r="O10" s="7" t="str">
        <f>'Monitoring Data'!G325</f>
        <v/>
      </c>
    </row>
    <row r="11" spans="1:15" ht="15.75" x14ac:dyDescent="0.25">
      <c r="A11" s="614"/>
      <c r="B11" s="10" t="s">
        <v>82</v>
      </c>
      <c r="C11" s="20" t="str">
        <f>'Quantification Tool'!C30</f>
        <v/>
      </c>
      <c r="D11" s="20" t="str">
        <f>'Quantification Tool'!D30</f>
        <v/>
      </c>
      <c r="E11" s="7" t="str">
        <f>'Monitoring Data'!G17</f>
        <v/>
      </c>
      <c r="F11" s="7" t="str">
        <f>'Monitoring Data'!G48</f>
        <v/>
      </c>
      <c r="G11" s="7" t="str">
        <f>'Monitoring Data'!G79</f>
        <v/>
      </c>
      <c r="H11" s="7" t="str">
        <f>'Monitoring Data'!G111</f>
        <v/>
      </c>
      <c r="I11" s="7" t="str">
        <f>'Monitoring Data'!G142</f>
        <v/>
      </c>
      <c r="J11" s="7" t="str">
        <f>'Monitoring Data'!G173</f>
        <v/>
      </c>
      <c r="K11" s="7" t="str">
        <f>'Monitoring Data'!G204</f>
        <v/>
      </c>
      <c r="L11" s="7" t="str">
        <f>'Monitoring Data'!G235</f>
        <v/>
      </c>
      <c r="M11" s="7" t="str">
        <f>'Monitoring Data'!G266</f>
        <v/>
      </c>
      <c r="N11" s="7" t="str">
        <f>'Monitoring Data'!G297</f>
        <v/>
      </c>
      <c r="O11" s="7" t="str">
        <f>'Monitoring Data'!G328</f>
        <v/>
      </c>
    </row>
    <row r="12" spans="1:15" ht="15.75" x14ac:dyDescent="0.25">
      <c r="A12" s="614"/>
      <c r="B12" s="51" t="s">
        <v>42</v>
      </c>
      <c r="C12" s="20" t="str">
        <f>'Quantification Tool'!C31</f>
        <v/>
      </c>
      <c r="D12" s="20" t="str">
        <f>'Quantification Tool'!D31</f>
        <v/>
      </c>
      <c r="E12" s="7" t="str">
        <f>'Monitoring Data'!G18</f>
        <v/>
      </c>
      <c r="F12" s="7" t="str">
        <f>'Monitoring Data'!G49</f>
        <v/>
      </c>
      <c r="G12" s="7" t="str">
        <f>'Monitoring Data'!G80</f>
        <v/>
      </c>
      <c r="H12" s="7" t="str">
        <f>'Monitoring Data'!G112</f>
        <v/>
      </c>
      <c r="I12" s="7" t="str">
        <f>'Monitoring Data'!G143</f>
        <v/>
      </c>
      <c r="J12" s="7" t="str">
        <f>'Monitoring Data'!G174</f>
        <v/>
      </c>
      <c r="K12" s="7" t="str">
        <f>'Monitoring Data'!G205</f>
        <v/>
      </c>
      <c r="L12" s="7" t="str">
        <f>'Monitoring Data'!G236</f>
        <v/>
      </c>
      <c r="M12" s="7" t="str">
        <f>'Monitoring Data'!G267</f>
        <v/>
      </c>
      <c r="N12" s="7" t="str">
        <f>'Monitoring Data'!G298</f>
        <v/>
      </c>
      <c r="O12" s="7" t="str">
        <f>'Monitoring Data'!G329</f>
        <v/>
      </c>
    </row>
    <row r="13" spans="1:15" ht="15.75" x14ac:dyDescent="0.25">
      <c r="A13" s="615"/>
      <c r="B13" s="51" t="s">
        <v>41</v>
      </c>
      <c r="C13" s="20" t="str">
        <f>'Quantification Tool'!C32</f>
        <v/>
      </c>
      <c r="D13" s="20" t="str">
        <f>'Quantification Tool'!D32</f>
        <v/>
      </c>
      <c r="E13" s="7" t="str">
        <f>'Monitoring Data'!G21</f>
        <v/>
      </c>
      <c r="F13" s="7" t="str">
        <f>'Monitoring Data'!G52</f>
        <v/>
      </c>
      <c r="G13" s="7" t="str">
        <f>'Monitoring Data'!G83</f>
        <v/>
      </c>
      <c r="H13" s="7" t="str">
        <f>'Monitoring Data'!G115</f>
        <v/>
      </c>
      <c r="I13" s="7" t="str">
        <f>'Monitoring Data'!G146</f>
        <v/>
      </c>
      <c r="J13" s="7" t="str">
        <f>'Monitoring Data'!G177</f>
        <v/>
      </c>
      <c r="K13" s="7" t="str">
        <f>'Monitoring Data'!G208</f>
        <v/>
      </c>
      <c r="L13" s="7" t="str">
        <f>'Monitoring Data'!G239</f>
        <v/>
      </c>
      <c r="M13" s="7" t="str">
        <f>'Monitoring Data'!G270</f>
        <v/>
      </c>
      <c r="N13" s="7" t="str">
        <f>'Monitoring Data'!G301</f>
        <v/>
      </c>
      <c r="O13" s="7" t="str">
        <f>'Monitoring Data'!G332</f>
        <v/>
      </c>
    </row>
    <row r="14" spans="1:15" ht="15.75" x14ac:dyDescent="0.25">
      <c r="A14" s="616" t="s">
        <v>47</v>
      </c>
      <c r="B14" s="52" t="s">
        <v>60</v>
      </c>
      <c r="C14" s="20" t="str">
        <f>'Quantification Tool'!C33</f>
        <v/>
      </c>
      <c r="D14" s="20" t="str">
        <f>'Quantification Tool'!D33</f>
        <v/>
      </c>
      <c r="E14" s="7" t="str">
        <f>'Monitoring Data'!G24</f>
        <v/>
      </c>
      <c r="F14" s="7" t="str">
        <f>'Monitoring Data'!G55</f>
        <v/>
      </c>
      <c r="G14" s="7" t="str">
        <f>'Monitoring Data'!G86</f>
        <v/>
      </c>
      <c r="H14" s="7" t="str">
        <f>'Monitoring Data'!G118</f>
        <v/>
      </c>
      <c r="I14" s="7" t="str">
        <f>'Monitoring Data'!G149</f>
        <v/>
      </c>
      <c r="J14" s="7" t="str">
        <f>'Monitoring Data'!G180</f>
        <v/>
      </c>
      <c r="K14" s="7" t="str">
        <f>'Monitoring Data'!G211</f>
        <v/>
      </c>
      <c r="L14" s="7" t="str">
        <f>'Monitoring Data'!G242</f>
        <v/>
      </c>
      <c r="M14" s="7" t="str">
        <f>'Monitoring Data'!G273</f>
        <v/>
      </c>
      <c r="N14" s="7" t="str">
        <f>'Monitoring Data'!G304</f>
        <v/>
      </c>
      <c r="O14" s="7" t="str">
        <f>'Monitoring Data'!G335</f>
        <v/>
      </c>
    </row>
    <row r="15" spans="1:15" ht="15.75" x14ac:dyDescent="0.25">
      <c r="A15" s="617"/>
      <c r="B15" s="52" t="s">
        <v>259</v>
      </c>
      <c r="C15" s="20" t="str">
        <f>'Quantification Tool'!C34</f>
        <v/>
      </c>
      <c r="D15" s="20" t="str">
        <f>'Quantification Tool'!D34</f>
        <v/>
      </c>
      <c r="E15" s="7" t="str">
        <f>'Monitoring Data'!G25</f>
        <v/>
      </c>
      <c r="F15" s="7" t="str">
        <f>'Monitoring Data'!G56</f>
        <v/>
      </c>
      <c r="G15" s="7" t="str">
        <f>'Monitoring Data'!G87</f>
        <v/>
      </c>
      <c r="H15" s="7" t="str">
        <f>'Monitoring Data'!G119</f>
        <v/>
      </c>
      <c r="I15" s="7" t="str">
        <f>'Monitoring Data'!G150</f>
        <v/>
      </c>
      <c r="J15" s="7" t="str">
        <f>'Monitoring Data'!G181</f>
        <v/>
      </c>
      <c r="K15" s="7" t="str">
        <f>'Monitoring Data'!G212</f>
        <v/>
      </c>
      <c r="L15" s="7" t="str">
        <f>'Monitoring Data'!G243</f>
        <v/>
      </c>
      <c r="M15" s="7" t="str">
        <f>'Monitoring Data'!G274</f>
        <v/>
      </c>
      <c r="N15" s="7" t="str">
        <f>'Monitoring Data'!G305</f>
        <v/>
      </c>
      <c r="O15" s="7" t="str">
        <f>'Monitoring Data'!G336</f>
        <v/>
      </c>
    </row>
    <row r="16" spans="1:15" ht="15.75" x14ac:dyDescent="0.25">
      <c r="A16" s="618"/>
      <c r="B16" s="52" t="s">
        <v>260</v>
      </c>
      <c r="C16" s="20" t="str">
        <f>'Quantification Tool'!C35</f>
        <v/>
      </c>
      <c r="D16" s="20" t="str">
        <f>'Quantification Tool'!D35</f>
        <v/>
      </c>
      <c r="E16" s="7" t="str">
        <f>'Monitoring Data'!G26</f>
        <v/>
      </c>
      <c r="F16" s="7" t="str">
        <f>'Monitoring Data'!G57</f>
        <v/>
      </c>
      <c r="G16" s="7" t="str">
        <f>'Monitoring Data'!G88</f>
        <v/>
      </c>
      <c r="H16" s="7" t="str">
        <f>'Monitoring Data'!G120</f>
        <v/>
      </c>
      <c r="I16" s="7" t="str">
        <f>'Monitoring Data'!G151</f>
        <v/>
      </c>
      <c r="J16" s="7" t="str">
        <f>'Monitoring Data'!G182</f>
        <v/>
      </c>
      <c r="K16" s="7" t="str">
        <f>'Monitoring Data'!G213</f>
        <v/>
      </c>
      <c r="L16" s="7" t="str">
        <f>'Monitoring Data'!G244</f>
        <v/>
      </c>
      <c r="M16" s="7" t="str">
        <f>'Monitoring Data'!G275</f>
        <v/>
      </c>
      <c r="N16" s="7" t="str">
        <f>'Monitoring Data'!G306</f>
        <v/>
      </c>
      <c r="O16" s="7" t="str">
        <f>'Monitoring Data'!G337</f>
        <v/>
      </c>
    </row>
    <row r="17" spans="1:19" ht="15.75" x14ac:dyDescent="0.25">
      <c r="A17" s="590" t="s">
        <v>48</v>
      </c>
      <c r="B17" s="11" t="s">
        <v>109</v>
      </c>
      <c r="C17" s="20" t="str">
        <f>'Quantification Tool'!C36</f>
        <v/>
      </c>
      <c r="D17" s="20" t="str">
        <f>'Quantification Tool'!D36</f>
        <v/>
      </c>
      <c r="E17" s="7" t="str">
        <f>'Monitoring Data'!G27</f>
        <v/>
      </c>
      <c r="F17" s="7" t="str">
        <f>'Monitoring Data'!G58</f>
        <v/>
      </c>
      <c r="G17" s="7" t="str">
        <f>'Monitoring Data'!G89</f>
        <v/>
      </c>
      <c r="H17" s="7" t="str">
        <f>'Monitoring Data'!G121</f>
        <v/>
      </c>
      <c r="I17" s="7" t="str">
        <f>'Monitoring Data'!G152</f>
        <v/>
      </c>
      <c r="J17" s="7" t="str">
        <f>'Monitoring Data'!G183</f>
        <v/>
      </c>
      <c r="K17" s="7" t="str">
        <f>'Monitoring Data'!G214</f>
        <v/>
      </c>
      <c r="L17" s="7" t="str">
        <f>'Monitoring Data'!G245</f>
        <v/>
      </c>
      <c r="M17" s="7" t="str">
        <f>'Monitoring Data'!G276</f>
        <v/>
      </c>
      <c r="N17" s="7" t="str">
        <f>'Monitoring Data'!G307</f>
        <v/>
      </c>
      <c r="O17" s="7" t="str">
        <f>'Monitoring Data'!G338</f>
        <v/>
      </c>
    </row>
    <row r="18" spans="1:19" ht="15.75" x14ac:dyDescent="0.25">
      <c r="A18" s="591"/>
      <c r="B18" s="54" t="s">
        <v>56</v>
      </c>
      <c r="C18" s="20" t="str">
        <f>'Quantification Tool'!C37</f>
        <v/>
      </c>
      <c r="D18" s="20" t="str">
        <f>'Quantification Tool'!D37</f>
        <v/>
      </c>
      <c r="E18" s="7" t="str">
        <f>'Monitoring Data'!G28</f>
        <v/>
      </c>
      <c r="F18" s="7" t="str">
        <f>'Monitoring Data'!G59</f>
        <v/>
      </c>
      <c r="G18" s="7" t="str">
        <f>'Monitoring Data'!G90</f>
        <v/>
      </c>
      <c r="H18" s="7" t="str">
        <f>'Monitoring Data'!G122</f>
        <v/>
      </c>
      <c r="I18" s="7" t="str">
        <f>'Monitoring Data'!G153</f>
        <v/>
      </c>
      <c r="J18" s="7" t="str">
        <f>'Monitoring Data'!G184</f>
        <v/>
      </c>
      <c r="K18" s="7" t="str">
        <f>'Monitoring Data'!G215</f>
        <v/>
      </c>
      <c r="L18" s="7" t="str">
        <f>'Monitoring Data'!G246</f>
        <v/>
      </c>
      <c r="M18" s="7" t="str">
        <f>'Monitoring Data'!G277</f>
        <v/>
      </c>
      <c r="N18" s="7" t="str">
        <f>'Monitoring Data'!G308</f>
        <v/>
      </c>
      <c r="O18" s="7" t="str">
        <f>'Monitoring Data'!G339</f>
        <v/>
      </c>
    </row>
    <row r="20" spans="1:19" ht="32.450000000000003" customHeight="1" x14ac:dyDescent="0.25">
      <c r="A20" s="604" t="s">
        <v>78</v>
      </c>
      <c r="B20" s="605"/>
      <c r="C20" s="605"/>
      <c r="D20" s="605"/>
      <c r="E20" s="605"/>
      <c r="F20" s="605"/>
      <c r="G20" s="605"/>
      <c r="H20" s="605"/>
      <c r="I20" s="605"/>
      <c r="J20" s="605"/>
      <c r="K20" s="605"/>
      <c r="L20" s="605"/>
      <c r="M20" s="605"/>
      <c r="N20" s="605"/>
      <c r="O20" s="606"/>
    </row>
    <row r="21" spans="1:19" ht="18.75" x14ac:dyDescent="0.25">
      <c r="A21" s="609" t="s">
        <v>79</v>
      </c>
      <c r="B21" s="610"/>
      <c r="C21" s="597" t="s">
        <v>80</v>
      </c>
      <c r="D21" s="597" t="s">
        <v>81</v>
      </c>
      <c r="E21" s="599" t="s">
        <v>98</v>
      </c>
      <c r="F21" s="601" t="s">
        <v>101</v>
      </c>
      <c r="G21" s="602"/>
      <c r="H21" s="602"/>
      <c r="I21" s="602"/>
      <c r="J21" s="602"/>
      <c r="K21" s="602"/>
      <c r="L21" s="602"/>
      <c r="M21" s="602"/>
      <c r="N21" s="602"/>
      <c r="O21" s="603"/>
      <c r="P21" s="16"/>
      <c r="Q21" s="16"/>
    </row>
    <row r="22" spans="1:19" ht="18.75" x14ac:dyDescent="0.25">
      <c r="A22" s="611"/>
      <c r="B22" s="612"/>
      <c r="C22" s="598"/>
      <c r="D22" s="598"/>
      <c r="E22" s="600"/>
      <c r="F22" s="23" t="e">
        <f t="shared" ref="F22:O22" si="0">F4</f>
        <v>#N/A</v>
      </c>
      <c r="G22" s="23" t="e">
        <f t="shared" si="0"/>
        <v>#N/A</v>
      </c>
      <c r="H22" s="23" t="e">
        <f t="shared" si="0"/>
        <v>#N/A</v>
      </c>
      <c r="I22" s="23" t="e">
        <f t="shared" si="0"/>
        <v>#N/A</v>
      </c>
      <c r="J22" s="23" t="e">
        <f t="shared" si="0"/>
        <v>#N/A</v>
      </c>
      <c r="K22" s="23" t="e">
        <f t="shared" si="0"/>
        <v>#N/A</v>
      </c>
      <c r="L22" s="23" t="e">
        <f t="shared" si="0"/>
        <v>#N/A</v>
      </c>
      <c r="M22" s="23" t="e">
        <f t="shared" si="0"/>
        <v>#N/A</v>
      </c>
      <c r="N22" s="23" t="e">
        <f t="shared" si="0"/>
        <v>#N/A</v>
      </c>
      <c r="O22" s="23" t="e">
        <f t="shared" si="0"/>
        <v>#N/A</v>
      </c>
      <c r="P22" s="16"/>
      <c r="Q22" s="16"/>
    </row>
    <row r="23" spans="1:19" ht="18.75" x14ac:dyDescent="0.25">
      <c r="A23" s="594" t="s">
        <v>162</v>
      </c>
      <c r="B23" s="594"/>
      <c r="C23" s="21" t="str">
        <f>'Quantification Tool'!H24</f>
        <v/>
      </c>
      <c r="D23" s="21" t="str">
        <f>'Quantification Tool'!I24</f>
        <v/>
      </c>
      <c r="E23" s="18" t="str">
        <f>'Monitoring Data'!H3</f>
        <v/>
      </c>
      <c r="F23" s="18" t="str">
        <f>'Monitoring Data'!H34</f>
        <v/>
      </c>
      <c r="G23" s="18" t="str">
        <f>'Monitoring Data'!H65</f>
        <v/>
      </c>
      <c r="H23" s="18" t="str">
        <f>'Monitoring Data'!H97</f>
        <v/>
      </c>
      <c r="I23" s="18" t="str">
        <f>'Monitoring Data'!H128</f>
        <v/>
      </c>
      <c r="J23" s="18" t="str">
        <f>'Monitoring Data'!H159</f>
        <v/>
      </c>
      <c r="K23" s="18" t="str">
        <f>'Monitoring Data'!H190</f>
        <v/>
      </c>
      <c r="L23" s="18" t="str">
        <f>'Monitoring Data'!H221</f>
        <v/>
      </c>
      <c r="M23" s="18" t="str">
        <f>'Monitoring Data'!H252</f>
        <v/>
      </c>
      <c r="N23" s="18" t="str">
        <f>'Monitoring Data'!H283</f>
        <v/>
      </c>
      <c r="O23" s="18" t="str">
        <f>'Monitoring Data'!H314</f>
        <v/>
      </c>
      <c r="P23" s="14"/>
      <c r="Q23" s="15"/>
      <c r="R23" s="13"/>
      <c r="S23" s="13"/>
    </row>
    <row r="24" spans="1:19" ht="18.75" x14ac:dyDescent="0.25">
      <c r="A24" s="588" t="s">
        <v>160</v>
      </c>
      <c r="B24" s="589"/>
      <c r="C24" s="21" t="str">
        <f>'Quantification Tool'!H26</f>
        <v/>
      </c>
      <c r="D24" s="21" t="str">
        <f>'Quantification Tool'!I26</f>
        <v/>
      </c>
      <c r="E24" s="18" t="str">
        <f>'Monitoring Data'!H10</f>
        <v/>
      </c>
      <c r="F24" s="18" t="str">
        <f>'Monitoring Data'!H41</f>
        <v/>
      </c>
      <c r="G24" s="18" t="str">
        <f>'Monitoring Data'!H72</f>
        <v/>
      </c>
      <c r="H24" s="18" t="str">
        <f>'Monitoring Data'!H104</f>
        <v/>
      </c>
      <c r="I24" s="18" t="str">
        <f>'Monitoring Data'!H135</f>
        <v/>
      </c>
      <c r="J24" s="18" t="str">
        <f>'Monitoring Data'!H166</f>
        <v/>
      </c>
      <c r="K24" s="18" t="str">
        <f>'Monitoring Data'!H197</f>
        <v/>
      </c>
      <c r="L24" s="18" t="str">
        <f>'Monitoring Data'!H228</f>
        <v/>
      </c>
      <c r="M24" s="18" t="str">
        <f>'Monitoring Data'!H259</f>
        <v/>
      </c>
      <c r="N24" s="18" t="str">
        <f>'Monitoring Data'!H290</f>
        <v/>
      </c>
      <c r="O24" s="18" t="str">
        <f>'Monitoring Data'!H321</f>
        <v/>
      </c>
      <c r="P24" s="14"/>
      <c r="Q24" s="15"/>
      <c r="R24" s="13"/>
      <c r="S24" s="13"/>
    </row>
    <row r="25" spans="1:19" ht="18.75" x14ac:dyDescent="0.25">
      <c r="A25" s="595" t="s">
        <v>17</v>
      </c>
      <c r="B25" s="595"/>
      <c r="C25" s="21" t="str">
        <f>'Quantification Tool'!H28</f>
        <v/>
      </c>
      <c r="D25" s="21" t="str">
        <f>'Quantification Tool'!I28</f>
        <v/>
      </c>
      <c r="E25" s="18" t="str">
        <f>'Monitoring Data'!H13</f>
        <v/>
      </c>
      <c r="F25" s="18" t="str">
        <f>'Monitoring Data'!H44</f>
        <v/>
      </c>
      <c r="G25" s="18" t="str">
        <f>'Monitoring Data'!H75</f>
        <v/>
      </c>
      <c r="H25" s="18" t="str">
        <f>'Monitoring Data'!H107</f>
        <v/>
      </c>
      <c r="I25" s="18" t="str">
        <f>'Monitoring Data'!H138</f>
        <v/>
      </c>
      <c r="J25" s="18" t="str">
        <f>'Monitoring Data'!H169</f>
        <v/>
      </c>
      <c r="K25" s="18" t="str">
        <f>'Monitoring Data'!H200</f>
        <v/>
      </c>
      <c r="L25" s="18" t="str">
        <f>'Monitoring Data'!H231</f>
        <v/>
      </c>
      <c r="M25" s="18" t="str">
        <f>'Monitoring Data'!H262</f>
        <v/>
      </c>
      <c r="N25" s="18" t="str">
        <f>'Monitoring Data'!H293</f>
        <v/>
      </c>
      <c r="O25" s="18" t="str">
        <f>'Monitoring Data'!H324</f>
        <v/>
      </c>
      <c r="P25" s="14"/>
      <c r="Q25" s="15"/>
      <c r="R25" s="13"/>
      <c r="S25" s="13"/>
    </row>
    <row r="26" spans="1:19" ht="18.75" x14ac:dyDescent="0.25">
      <c r="A26" s="596" t="s">
        <v>47</v>
      </c>
      <c r="B26" s="596"/>
      <c r="C26" s="21" t="str">
        <f>'Quantification Tool'!H30</f>
        <v/>
      </c>
      <c r="D26" s="21" t="str">
        <f>'Quantification Tool'!I30</f>
        <v/>
      </c>
      <c r="E26" s="18" t="str">
        <f>'Monitoring Data'!H24</f>
        <v/>
      </c>
      <c r="F26" s="18" t="str">
        <f>'Monitoring Data'!H55</f>
        <v/>
      </c>
      <c r="G26" s="18" t="str">
        <f>'Monitoring Data'!H86</f>
        <v/>
      </c>
      <c r="H26" s="18" t="str">
        <f>'Monitoring Data'!H118</f>
        <v/>
      </c>
      <c r="I26" s="18" t="str">
        <f>'Monitoring Data'!H149</f>
        <v/>
      </c>
      <c r="J26" s="18" t="str">
        <f>'Monitoring Data'!H180</f>
        <v/>
      </c>
      <c r="K26" s="18" t="str">
        <f>'Monitoring Data'!H211</f>
        <v/>
      </c>
      <c r="L26" s="18" t="str">
        <f>'Monitoring Data'!H242</f>
        <v/>
      </c>
      <c r="M26" s="18" t="str">
        <f>'Monitoring Data'!H273</f>
        <v/>
      </c>
      <c r="N26" s="18" t="str">
        <f>'Monitoring Data'!H304</f>
        <v/>
      </c>
      <c r="O26" s="18" t="str">
        <f>'Monitoring Data'!H335</f>
        <v/>
      </c>
      <c r="P26" s="14"/>
      <c r="Q26" s="15"/>
      <c r="R26" s="13"/>
      <c r="S26" s="13"/>
    </row>
    <row r="27" spans="1:19" ht="18.75" x14ac:dyDescent="0.25">
      <c r="A27" s="593" t="s">
        <v>48</v>
      </c>
      <c r="B27" s="593"/>
      <c r="C27" s="21" t="str">
        <f>'Quantification Tool'!H32</f>
        <v/>
      </c>
      <c r="D27" s="21" t="str">
        <f>'Quantification Tool'!I32</f>
        <v/>
      </c>
      <c r="E27" s="18" t="str">
        <f>'Monitoring Data'!H27</f>
        <v/>
      </c>
      <c r="F27" s="18" t="str">
        <f>'Monitoring Data'!H58</f>
        <v/>
      </c>
      <c r="G27" s="18" t="str">
        <f>'Monitoring Data'!H89</f>
        <v/>
      </c>
      <c r="H27" s="18" t="str">
        <f>'Monitoring Data'!H121</f>
        <v/>
      </c>
      <c r="I27" s="18" t="str">
        <f>'Monitoring Data'!H152</f>
        <v/>
      </c>
      <c r="J27" s="18" t="str">
        <f>'Monitoring Data'!H183</f>
        <v/>
      </c>
      <c r="K27" s="18" t="str">
        <f>'Monitoring Data'!H214</f>
        <v/>
      </c>
      <c r="L27" s="18" t="str">
        <f>'Monitoring Data'!H245</f>
        <v/>
      </c>
      <c r="M27" s="18" t="str">
        <f>'Monitoring Data'!H276</f>
        <v/>
      </c>
      <c r="N27" s="18" t="str">
        <f>'Monitoring Data'!H307</f>
        <v/>
      </c>
      <c r="O27" s="18" t="str">
        <f>'Monitoring Data'!H338</f>
        <v/>
      </c>
      <c r="P27" s="14"/>
      <c r="Q27" s="14"/>
      <c r="R27" s="13"/>
      <c r="S27" s="13"/>
    </row>
    <row r="28" spans="1:19" ht="18.75" x14ac:dyDescent="0.3">
      <c r="A28" s="592" t="s">
        <v>99</v>
      </c>
      <c r="B28" s="592"/>
      <c r="C28" s="117">
        <f>ROUND(SUM(IF(C23="",0,C23*0.2),IF(C24="",0,C24*0.2),IF(C25="",0,C25*0.2),IF(C26="",0,C26*0.2),IF(C27="",0,C27*0.2)),2)</f>
        <v>0</v>
      </c>
      <c r="D28" s="117">
        <f t="shared" ref="D28:O28" si="1">ROUND(SUM(IF(D23="",0,D23*0.2),IF(D24="",0,D24*0.2),IF(D25="",0,D25*0.2),IF(D26="",0,D26*0.2),IF(D27="",0,D27*0.2)),2)</f>
        <v>0</v>
      </c>
      <c r="E28" s="117">
        <f t="shared" si="1"/>
        <v>0</v>
      </c>
      <c r="F28" s="117">
        <f t="shared" si="1"/>
        <v>0</v>
      </c>
      <c r="G28" s="117">
        <f t="shared" si="1"/>
        <v>0</v>
      </c>
      <c r="H28" s="117">
        <f t="shared" si="1"/>
        <v>0</v>
      </c>
      <c r="I28" s="117">
        <f t="shared" si="1"/>
        <v>0</v>
      </c>
      <c r="J28" s="117">
        <f t="shared" si="1"/>
        <v>0</v>
      </c>
      <c r="K28" s="117">
        <f t="shared" si="1"/>
        <v>0</v>
      </c>
      <c r="L28" s="117">
        <f t="shared" si="1"/>
        <v>0</v>
      </c>
      <c r="M28" s="117">
        <f t="shared" si="1"/>
        <v>0</v>
      </c>
      <c r="N28" s="117">
        <f t="shared" si="1"/>
        <v>0</v>
      </c>
      <c r="O28" s="117">
        <f t="shared" si="1"/>
        <v>0</v>
      </c>
    </row>
    <row r="29" spans="1:19" ht="18.75" x14ac:dyDescent="0.3">
      <c r="A29" s="592" t="s">
        <v>100</v>
      </c>
      <c r="B29" s="592"/>
      <c r="C29" s="118">
        <f>ROUND(C28*'Quantification Tool'!B7,0)</f>
        <v>0</v>
      </c>
      <c r="D29" s="119">
        <f>ROUND(D28*'Quantification Tool'!$B$8,0)</f>
        <v>0</v>
      </c>
      <c r="E29" s="120">
        <f>ROUND(E28*'Quantification Tool'!$B$8,0)</f>
        <v>0</v>
      </c>
      <c r="F29" s="120">
        <f>IFERROR(ROUND(F28*'Quantification Tool'!$B$8,0),"")</f>
        <v>0</v>
      </c>
      <c r="G29" s="120">
        <f>IFERROR(ROUND(G28*'Quantification Tool'!$B$8,0),"")</f>
        <v>0</v>
      </c>
      <c r="H29" s="120">
        <f>IFERROR(ROUND(H28*'Quantification Tool'!$B$8,0),"")</f>
        <v>0</v>
      </c>
      <c r="I29" s="120">
        <f>IFERROR(ROUND(I28*'Quantification Tool'!$B$8,0),"")</f>
        <v>0</v>
      </c>
      <c r="J29" s="120">
        <f>IFERROR(ROUND(J28*'Quantification Tool'!$B$8,0),"")</f>
        <v>0</v>
      </c>
      <c r="K29" s="120">
        <f>IFERROR(ROUND(K28*'Quantification Tool'!$B$8,0),"")</f>
        <v>0</v>
      </c>
      <c r="L29" s="120">
        <f>IFERROR(ROUND(L28*'Quantification Tool'!$B$8,0),"")</f>
        <v>0</v>
      </c>
      <c r="M29" s="120">
        <f>IFERROR(ROUND(M28*'Quantification Tool'!$B$8,0),"")</f>
        <v>0</v>
      </c>
      <c r="N29" s="120">
        <f>IFERROR(ROUND(N28*'Quantification Tool'!$B$8,0),"")</f>
        <v>0</v>
      </c>
      <c r="O29" s="120">
        <f>IFERROR(ROUND(O28*'Quantification Tool'!$B$8,0),"")</f>
        <v>0</v>
      </c>
    </row>
    <row r="30" spans="1:19" ht="18.75" x14ac:dyDescent="0.3">
      <c r="C30" s="17"/>
    </row>
    <row r="32" spans="1:19" x14ac:dyDescent="0.25">
      <c r="A32" s="22" t="s">
        <v>177</v>
      </c>
    </row>
    <row r="33" spans="1:1" x14ac:dyDescent="0.25">
      <c r="A33" s="196" t="b">
        <f>IF(ISNUMBER(O22),O22, IF(ISNUMBER(N22),N22, IF(ISNUMBER(M22),M22, IF(ISNUMBER(L22),L22, IF(ISNUMBER(K22),K22, IF(ISNUMBER(J22),J22, IF(ISNUMBER(I22),I22, IF(ISNUMBER(HL22),H22, IF(ISNUMBER(G22),G22, IF(ISNUMBER(FL22),F22))))))))))</f>
        <v>0</v>
      </c>
    </row>
  </sheetData>
  <sheetProtection algorithmName="SHA-512" hashValue="+J1l9aa49jOo5RIEkK9gLVHrwdAP8Nyx3ie3EX6oARE0dEyKVnFjp5Bk4IqMgsk55aDh2FOAyIywdDoA8xqdIw==" saltValue="n0h5J0fnOwYSrqXcMS1Gig==" spinCount="100000" sheet="1" formatRows="0" insertColumns="0"/>
  <mergeCells count="25">
    <mergeCell ref="C21:C22"/>
    <mergeCell ref="D21:D22"/>
    <mergeCell ref="E21:E22"/>
    <mergeCell ref="F21:O21"/>
    <mergeCell ref="A2:O2"/>
    <mergeCell ref="A20:O20"/>
    <mergeCell ref="A3:A4"/>
    <mergeCell ref="B3:B4"/>
    <mergeCell ref="C3:C4"/>
    <mergeCell ref="D3:D4"/>
    <mergeCell ref="E3:E4"/>
    <mergeCell ref="F3:O3"/>
    <mergeCell ref="A21:B22"/>
    <mergeCell ref="A9:A13"/>
    <mergeCell ref="A14:A16"/>
    <mergeCell ref="A5:A6"/>
    <mergeCell ref="A7:A8"/>
    <mergeCell ref="A24:B24"/>
    <mergeCell ref="A17:A18"/>
    <mergeCell ref="A29:B29"/>
    <mergeCell ref="A27:B27"/>
    <mergeCell ref="A28:B28"/>
    <mergeCell ref="A23:B23"/>
    <mergeCell ref="A25:B25"/>
    <mergeCell ref="A26:B26"/>
  </mergeCells>
  <conditionalFormatting sqref="F4:O4">
    <cfRule type="containsErrors" dxfId="4" priority="6">
      <formula>ISERROR(F4)</formula>
    </cfRule>
  </conditionalFormatting>
  <conditionalFormatting sqref="F22:O22">
    <cfRule type="containsErrors" dxfId="3" priority="5">
      <formula>ISERROR(F22)</formula>
    </cfRule>
  </conditionalFormatting>
  <conditionalFormatting sqref="C5:O18 C23:O27">
    <cfRule type="cellIs" dxfId="2" priority="1" operator="between">
      <formula>0.7</formula>
      <formula>1</formula>
    </cfRule>
    <cfRule type="cellIs" dxfId="1" priority="2" operator="between">
      <formula>0.6999999</formula>
      <formula>0.3</formula>
    </cfRule>
    <cfRule type="cellIs" dxfId="0" priority="3" operator="between">
      <formula>0</formula>
      <formula>0.299999</formula>
    </cfRule>
  </conditionalFormatting>
  <pageMargins left="0.7" right="0.7" top="0.75" bottom="0.75" header="0.3" footer="0.3"/>
  <pageSetup paperSize="3" fitToWidth="0" fitToHeight="0" orientation="landscape" r:id="rId1"/>
  <headerFooter>
    <oddFooter>&amp;LAKSQTint v1.0 - SQT Workbook
Data Summary</oddFooter>
  </headerFooter>
  <rowBreaks count="1" manualBreakCount="1">
    <brk id="30" max="16383" man="1"/>
  </rowBreaks>
  <colBreaks count="1" manualBreakCount="1">
    <brk id="15" max="1048575" man="1"/>
  </colBreaks>
  <ignoredErrors>
    <ignoredError sqref="G4:O4 G22:O22 F4 F22"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U855"/>
  <sheetViews>
    <sheetView topLeftCell="C1" zoomScaleNormal="100" zoomScalePageLayoutView="175" workbookViewId="0">
      <selection activeCell="R5" sqref="R5:X6"/>
    </sheetView>
  </sheetViews>
  <sheetFormatPr defaultColWidth="9.140625" defaultRowHeight="15" x14ac:dyDescent="0.25"/>
  <cols>
    <col min="1" max="1" width="11.7109375" style="72" customWidth="1"/>
    <col min="2" max="2" width="13.28515625" style="72" customWidth="1"/>
    <col min="3" max="9" width="11.7109375" style="72" customWidth="1"/>
    <col min="10" max="10" width="13" style="72" customWidth="1"/>
    <col min="11" max="17" width="11.7109375" style="72" customWidth="1"/>
    <col min="18" max="18" width="14.140625" style="72" customWidth="1"/>
    <col min="19" max="19" width="16.42578125" style="72" customWidth="1"/>
    <col min="20" max="25" width="11.7109375" style="72" customWidth="1"/>
    <col min="26" max="26" width="14.85546875" style="72" customWidth="1"/>
    <col min="27" max="29" width="11.7109375" style="72" customWidth="1"/>
    <col min="30" max="30" width="17.28515625" style="72" bestFit="1" customWidth="1"/>
    <col min="31" max="33" width="11.7109375" style="72" customWidth="1"/>
    <col min="34" max="34" width="7" style="72" customWidth="1"/>
    <col min="35" max="49" width="11.7109375" style="72" customWidth="1"/>
    <col min="50" max="16384" width="9.140625" style="72"/>
  </cols>
  <sheetData>
    <row r="1" spans="1:47" x14ac:dyDescent="0.25">
      <c r="A1" s="72" t="s">
        <v>93</v>
      </c>
    </row>
    <row r="2" spans="1:47" s="184" customFormat="1" x14ac:dyDescent="0.25">
      <c r="A2" s="183" t="s">
        <v>167</v>
      </c>
    </row>
    <row r="3" spans="1:47" x14ac:dyDescent="0.25">
      <c r="A3" s="72" t="s">
        <v>94</v>
      </c>
    </row>
    <row r="5" spans="1:47" ht="15" customHeight="1" x14ac:dyDescent="0.25">
      <c r="B5" s="622" t="s">
        <v>164</v>
      </c>
      <c r="C5" s="622"/>
      <c r="D5" s="622"/>
      <c r="E5" s="622"/>
      <c r="F5" s="622"/>
      <c r="G5" s="622"/>
      <c r="H5" s="622"/>
      <c r="J5" s="622" t="s">
        <v>165</v>
      </c>
      <c r="K5" s="622"/>
      <c r="L5" s="622"/>
      <c r="M5" s="622"/>
      <c r="N5" s="622"/>
      <c r="O5" s="622"/>
      <c r="P5" s="622"/>
      <c r="R5" s="622" t="s">
        <v>57</v>
      </c>
      <c r="S5" s="622"/>
      <c r="T5" s="622"/>
      <c r="U5" s="622"/>
      <c r="V5" s="622"/>
      <c r="W5" s="622"/>
      <c r="X5" s="622"/>
      <c r="Z5" s="629" t="s">
        <v>58</v>
      </c>
      <c r="AA5" s="629"/>
      <c r="AB5" s="629"/>
      <c r="AC5" s="629"/>
      <c r="AD5" s="629"/>
      <c r="AE5" s="629"/>
      <c r="AF5" s="629"/>
      <c r="AG5" s="629"/>
      <c r="AH5" s="73"/>
      <c r="AI5" s="629" t="s">
        <v>59</v>
      </c>
      <c r="AJ5" s="629"/>
      <c r="AK5" s="629"/>
      <c r="AL5" s="629"/>
      <c r="AM5" s="629"/>
      <c r="AN5" s="629"/>
      <c r="AO5" s="629"/>
    </row>
    <row r="6" spans="1:47" ht="15" customHeight="1" x14ac:dyDescent="0.25">
      <c r="A6" s="74"/>
      <c r="B6" s="622"/>
      <c r="C6" s="622"/>
      <c r="D6" s="622"/>
      <c r="E6" s="622"/>
      <c r="F6" s="622"/>
      <c r="G6" s="622"/>
      <c r="H6" s="622"/>
      <c r="J6" s="622"/>
      <c r="K6" s="622"/>
      <c r="L6" s="622"/>
      <c r="M6" s="622"/>
      <c r="N6" s="622"/>
      <c r="O6" s="622"/>
      <c r="P6" s="622"/>
      <c r="R6" s="622"/>
      <c r="S6" s="622"/>
      <c r="T6" s="622"/>
      <c r="U6" s="622"/>
      <c r="V6" s="622"/>
      <c r="W6" s="622"/>
      <c r="X6" s="622"/>
      <c r="Z6" s="629"/>
      <c r="AA6" s="629"/>
      <c r="AB6" s="629"/>
      <c r="AC6" s="629"/>
      <c r="AD6" s="629"/>
      <c r="AE6" s="629"/>
      <c r="AF6" s="629"/>
      <c r="AG6" s="629"/>
      <c r="AH6" s="73"/>
      <c r="AI6" s="629"/>
      <c r="AJ6" s="629"/>
      <c r="AK6" s="629"/>
      <c r="AL6" s="629"/>
      <c r="AM6" s="629"/>
      <c r="AN6" s="629"/>
      <c r="AO6" s="629"/>
    </row>
    <row r="7" spans="1:47" x14ac:dyDescent="0.25">
      <c r="B7" s="74"/>
      <c r="C7" s="74"/>
      <c r="D7" s="74"/>
      <c r="E7" s="74"/>
      <c r="F7" s="74"/>
      <c r="G7" s="74"/>
      <c r="H7" s="74"/>
      <c r="I7" s="73"/>
      <c r="J7" s="73"/>
      <c r="K7" s="73"/>
      <c r="L7" s="73"/>
      <c r="M7" s="73"/>
      <c r="N7" s="73"/>
      <c r="O7" s="73"/>
      <c r="P7" s="73"/>
      <c r="Q7" s="73"/>
      <c r="R7" s="73"/>
      <c r="S7" s="73"/>
      <c r="T7" s="73"/>
    </row>
    <row r="8" spans="1:47" ht="15.75" thickBot="1" x14ac:dyDescent="0.3">
      <c r="B8" s="183" t="s">
        <v>138</v>
      </c>
      <c r="C8" s="184"/>
      <c r="D8" s="184"/>
      <c r="E8" s="184"/>
      <c r="F8" s="184"/>
      <c r="G8" s="184"/>
      <c r="H8" s="184"/>
      <c r="J8" s="72" t="s">
        <v>0</v>
      </c>
      <c r="R8" s="191" t="s">
        <v>216</v>
      </c>
      <c r="S8" s="184"/>
      <c r="T8" s="184"/>
      <c r="U8" s="184"/>
      <c r="V8" s="184"/>
      <c r="W8" s="184"/>
      <c r="X8" s="184"/>
      <c r="Z8" s="183" t="s">
        <v>267</v>
      </c>
      <c r="AA8" s="184"/>
      <c r="AB8" s="184"/>
      <c r="AC8" s="184"/>
      <c r="AD8" s="184"/>
      <c r="AE8" s="184"/>
      <c r="AF8" s="184"/>
      <c r="AI8" t="s">
        <v>370</v>
      </c>
    </row>
    <row r="9" spans="1:47" x14ac:dyDescent="0.25">
      <c r="B9" s="103" t="s">
        <v>10</v>
      </c>
      <c r="C9" s="76">
        <v>86</v>
      </c>
      <c r="D9" s="76"/>
      <c r="E9" s="76">
        <v>22</v>
      </c>
      <c r="F9" s="76"/>
      <c r="G9" s="76">
        <v>16</v>
      </c>
      <c r="H9" s="77">
        <v>9</v>
      </c>
      <c r="J9" s="209" t="s">
        <v>10</v>
      </c>
      <c r="K9" s="330"/>
      <c r="L9" s="330"/>
      <c r="M9" s="330">
        <v>1.5</v>
      </c>
      <c r="N9" s="331"/>
      <c r="O9" s="330"/>
      <c r="P9" s="329">
        <v>1</v>
      </c>
      <c r="R9" s="75" t="s">
        <v>217</v>
      </c>
      <c r="S9" s="96">
        <v>0</v>
      </c>
      <c r="T9" s="96"/>
      <c r="U9" s="96">
        <v>0.8</v>
      </c>
      <c r="V9" s="96"/>
      <c r="W9" s="96">
        <v>1.5</v>
      </c>
      <c r="X9" s="97">
        <v>6.3</v>
      </c>
      <c r="Z9" s="159" t="s">
        <v>10</v>
      </c>
      <c r="AA9" s="331"/>
      <c r="AB9" s="348"/>
      <c r="AC9" s="331">
        <v>1.25</v>
      </c>
      <c r="AD9" s="331"/>
      <c r="AE9" s="331"/>
      <c r="AF9" s="345">
        <v>1.1000000000000001</v>
      </c>
      <c r="AI9" s="223" t="s">
        <v>10</v>
      </c>
      <c r="AJ9" s="352">
        <v>81</v>
      </c>
      <c r="AK9" s="353"/>
      <c r="AL9" s="353">
        <v>62</v>
      </c>
      <c r="AM9" s="353"/>
      <c r="AN9" s="352">
        <v>43</v>
      </c>
      <c r="AO9" s="354">
        <v>36</v>
      </c>
    </row>
    <row r="10" spans="1:47" ht="15.75" thickBot="1" x14ac:dyDescent="0.3">
      <c r="B10" s="80" t="s">
        <v>11</v>
      </c>
      <c r="C10" s="325">
        <v>0</v>
      </c>
      <c r="D10" s="325">
        <v>0.28999999999999998</v>
      </c>
      <c r="E10" s="94">
        <v>0.3</v>
      </c>
      <c r="F10" s="94">
        <v>0.69</v>
      </c>
      <c r="G10" s="326">
        <v>0.7</v>
      </c>
      <c r="H10" s="327">
        <v>1</v>
      </c>
      <c r="J10" s="80" t="s">
        <v>11</v>
      </c>
      <c r="K10" s="325">
        <v>0</v>
      </c>
      <c r="L10" s="325">
        <v>0.2</v>
      </c>
      <c r="M10" s="94">
        <v>0.3</v>
      </c>
      <c r="N10" s="328">
        <v>0.69</v>
      </c>
      <c r="O10" s="326">
        <v>0.7</v>
      </c>
      <c r="P10" s="327">
        <v>1</v>
      </c>
      <c r="R10" s="210" t="s">
        <v>218</v>
      </c>
      <c r="S10" s="220">
        <v>0</v>
      </c>
      <c r="T10" s="220"/>
      <c r="U10" s="220">
        <v>0.62</v>
      </c>
      <c r="V10" s="220"/>
      <c r="W10" s="220">
        <v>1.2</v>
      </c>
      <c r="X10" s="154">
        <v>4.2</v>
      </c>
      <c r="Z10" s="80" t="s">
        <v>4</v>
      </c>
      <c r="AA10" s="325">
        <v>0</v>
      </c>
      <c r="AB10" s="325">
        <v>0.28999999999999998</v>
      </c>
      <c r="AC10" s="94">
        <v>0.3</v>
      </c>
      <c r="AD10" s="94">
        <v>0.69</v>
      </c>
      <c r="AE10" s="326">
        <v>0.7</v>
      </c>
      <c r="AF10" s="327">
        <v>1</v>
      </c>
      <c r="AI10" s="279" t="s">
        <v>4</v>
      </c>
      <c r="AJ10" s="325">
        <v>0</v>
      </c>
      <c r="AK10" s="325">
        <v>0.28999999999999998</v>
      </c>
      <c r="AL10" s="94">
        <v>0.3</v>
      </c>
      <c r="AM10" s="94">
        <v>0.69</v>
      </c>
      <c r="AN10" s="326">
        <v>0.7</v>
      </c>
      <c r="AO10" s="327">
        <v>1</v>
      </c>
    </row>
    <row r="11" spans="1:47" ht="15" customHeight="1" thickBot="1" x14ac:dyDescent="0.3">
      <c r="C11"/>
      <c r="R11" s="80" t="s">
        <v>11</v>
      </c>
      <c r="S11" s="325">
        <v>0</v>
      </c>
      <c r="T11" s="325">
        <v>0.28999999999999998</v>
      </c>
      <c r="U11" s="94">
        <v>0.3</v>
      </c>
      <c r="V11" s="94">
        <v>0.69</v>
      </c>
      <c r="W11" s="326">
        <v>0.7</v>
      </c>
      <c r="X11" s="327">
        <v>1</v>
      </c>
    </row>
    <row r="12" spans="1:47" ht="15" customHeight="1" x14ac:dyDescent="0.25">
      <c r="C12" s="22" t="s">
        <v>86</v>
      </c>
      <c r="D12" s="22" t="s">
        <v>119</v>
      </c>
      <c r="E12" s="158" t="s">
        <v>62</v>
      </c>
      <c r="J12" t="s">
        <v>155</v>
      </c>
      <c r="K12" s="158"/>
      <c r="L12" s="158"/>
      <c r="R12" s="73"/>
      <c r="S12" s="73"/>
      <c r="T12" s="73"/>
      <c r="U12" s="73"/>
      <c r="V12" s="73"/>
      <c r="W12" s="73"/>
      <c r="X12" s="73"/>
      <c r="Z12" s="72" t="s">
        <v>132</v>
      </c>
      <c r="AI12" s="81"/>
      <c r="AJ12" s="267" t="s">
        <v>86</v>
      </c>
      <c r="AK12" s="267" t="s">
        <v>119</v>
      </c>
      <c r="AL12" s="267" t="s">
        <v>62</v>
      </c>
    </row>
    <row r="13" spans="1:47" ht="15.75" customHeight="1" x14ac:dyDescent="0.25">
      <c r="B13" t="s">
        <v>155</v>
      </c>
      <c r="C13" s="83"/>
      <c r="E13" s="83"/>
      <c r="F13" s="191"/>
      <c r="J13" s="22" t="s">
        <v>84</v>
      </c>
      <c r="K13" s="201">
        <v>-1.4</v>
      </c>
      <c r="L13" s="201"/>
      <c r="O13" s="82"/>
      <c r="R13" s="73"/>
      <c r="S13" s="621" t="str">
        <f>R9</f>
        <v>Alaska Range</v>
      </c>
      <c r="T13" s="621"/>
      <c r="U13" s="621" t="str">
        <f>R10</f>
        <v>Brooks Range</v>
      </c>
      <c r="V13" s="621"/>
      <c r="W13" s="84"/>
      <c r="X13" s="84"/>
      <c r="Z13" s="81" t="s">
        <v>84</v>
      </c>
      <c r="AA13" s="87">
        <v>-4.6666999999999996</v>
      </c>
      <c r="AB13" s="160"/>
      <c r="AC13" s="82"/>
      <c r="AE13" s="87"/>
      <c r="AI13" s="72" t="s">
        <v>132</v>
      </c>
      <c r="AJ13"/>
      <c r="AK13"/>
      <c r="AL13"/>
    </row>
    <row r="14" spans="1:47" x14ac:dyDescent="0.25">
      <c r="B14" s="22" t="s">
        <v>84</v>
      </c>
      <c r="C14" s="190">
        <v>-4.7000000000000002E-3</v>
      </c>
      <c r="D14" s="72">
        <v>-6.6699999999999995E-2</v>
      </c>
      <c r="E14" s="83">
        <v>-4.2900000000000001E-2</v>
      </c>
      <c r="J14" s="22" t="s">
        <v>85</v>
      </c>
      <c r="K14" s="202">
        <v>2.4</v>
      </c>
      <c r="L14" s="201"/>
      <c r="M14" s="84"/>
      <c r="S14" s="150" t="s">
        <v>156</v>
      </c>
      <c r="T14" s="150" t="s">
        <v>62</v>
      </c>
      <c r="U14" s="150" t="s">
        <v>156</v>
      </c>
      <c r="V14" s="150" t="s">
        <v>62</v>
      </c>
      <c r="W14" s="150"/>
      <c r="X14" s="150"/>
      <c r="Z14" s="81" t="s">
        <v>85</v>
      </c>
      <c r="AA14" s="87">
        <v>6.1333000000000002</v>
      </c>
      <c r="AB14" s="160"/>
      <c r="AC14" s="82"/>
      <c r="AE14" s="87"/>
      <c r="AI14" s="81" t="s">
        <v>84</v>
      </c>
      <c r="AJ14" s="193">
        <v>-1.5800000000000002E-2</v>
      </c>
      <c r="AK14" s="195">
        <v>-2.1100000000000001E-2</v>
      </c>
      <c r="AL14" s="195">
        <v>-4.2900000000000001E-2</v>
      </c>
      <c r="AS14" s="219"/>
      <c r="AT14" s="219"/>
      <c r="AU14" s="219"/>
    </row>
    <row r="15" spans="1:47" x14ac:dyDescent="0.25">
      <c r="B15" s="22" t="s">
        <v>85</v>
      </c>
      <c r="C15" s="83">
        <v>0.40310000000000001</v>
      </c>
      <c r="D15">
        <v>1.7666999999999999</v>
      </c>
      <c r="E15" s="72">
        <v>1.3856999999999999</v>
      </c>
      <c r="L15" s="84"/>
      <c r="R15" t="s">
        <v>155</v>
      </c>
      <c r="U15"/>
      <c r="AI15" s="81" t="s">
        <v>85</v>
      </c>
      <c r="AJ15" s="193">
        <v>1.2788999999999999</v>
      </c>
      <c r="AK15" s="194">
        <v>1.6052999999999999</v>
      </c>
      <c r="AL15" s="195">
        <v>2.5428999999999999</v>
      </c>
      <c r="AS15"/>
      <c r="AT15"/>
      <c r="AU15"/>
    </row>
    <row r="16" spans="1:47" x14ac:dyDescent="0.25">
      <c r="B16" s="81"/>
      <c r="R16" s="22" t="s">
        <v>84</v>
      </c>
      <c r="S16" s="72">
        <v>0.46449699999999999</v>
      </c>
      <c r="T16" s="72">
        <v>6.25E-2</v>
      </c>
      <c r="U16" s="72">
        <v>0.58219200000000004</v>
      </c>
      <c r="V16" s="150">
        <v>0.1</v>
      </c>
      <c r="AI16" s="81"/>
      <c r="AS16"/>
      <c r="AT16"/>
      <c r="AU16"/>
    </row>
    <row r="17" spans="18:47" x14ac:dyDescent="0.25">
      <c r="R17" s="22" t="s">
        <v>85</v>
      </c>
      <c r="S17" s="87">
        <v>-2.2780999999999999E-2</v>
      </c>
      <c r="T17" s="304">
        <v>0.60624999999999996</v>
      </c>
      <c r="U17" s="72">
        <v>-1.9862999999999999E-2</v>
      </c>
      <c r="V17" s="72">
        <v>0.57999999999999996</v>
      </c>
      <c r="AI17" s="81"/>
      <c r="AK17" s="84"/>
      <c r="AL17" s="84"/>
      <c r="AS17" s="194"/>
      <c r="AT17" s="194"/>
      <c r="AU17" s="194"/>
    </row>
    <row r="18" spans="18:47" x14ac:dyDescent="0.25">
      <c r="AK18" s="84"/>
      <c r="AS18" s="194"/>
      <c r="AT18" s="194"/>
      <c r="AU18" s="194"/>
    </row>
    <row r="19" spans="18:47" x14ac:dyDescent="0.25">
      <c r="AK19" s="84"/>
    </row>
    <row r="21" spans="18:47" x14ac:dyDescent="0.25">
      <c r="Y21" s="87"/>
    </row>
    <row r="39" spans="2:45" ht="15.75" thickBot="1" x14ac:dyDescent="0.3">
      <c r="B39" s="183" t="s">
        <v>330</v>
      </c>
      <c r="C39" s="184"/>
      <c r="D39" s="184"/>
      <c r="E39" s="184"/>
      <c r="F39" s="184"/>
      <c r="G39" s="184"/>
      <c r="H39" s="184"/>
    </row>
    <row r="40" spans="2:45" ht="15.75" thickBot="1" x14ac:dyDescent="0.3">
      <c r="B40" s="103" t="s">
        <v>10</v>
      </c>
      <c r="C40" s="76"/>
      <c r="D40" s="76"/>
      <c r="E40" s="76"/>
      <c r="F40" s="76"/>
      <c r="G40" s="76">
        <v>10</v>
      </c>
      <c r="H40" s="77">
        <v>0</v>
      </c>
      <c r="Z40" s="183" t="s">
        <v>335</v>
      </c>
      <c r="AA40" s="184"/>
      <c r="AB40" s="184"/>
      <c r="AC40" s="184"/>
      <c r="AD40" s="184"/>
      <c r="AE40" s="184"/>
      <c r="AF40" s="184"/>
      <c r="AI40" t="s">
        <v>224</v>
      </c>
    </row>
    <row r="41" spans="2:45" ht="15.75" thickBot="1" x14ac:dyDescent="0.3">
      <c r="B41" s="80" t="s">
        <v>11</v>
      </c>
      <c r="C41" s="325">
        <v>0</v>
      </c>
      <c r="D41" s="325">
        <v>0.28999999999999998</v>
      </c>
      <c r="E41" s="94">
        <v>0.3</v>
      </c>
      <c r="F41" s="94">
        <v>0.69</v>
      </c>
      <c r="G41" s="326">
        <v>0.7</v>
      </c>
      <c r="H41" s="327">
        <v>1</v>
      </c>
      <c r="J41" s="191" t="s">
        <v>220</v>
      </c>
      <c r="K41" s="184"/>
      <c r="L41" s="184"/>
      <c r="M41" s="184"/>
      <c r="N41" s="184"/>
      <c r="O41" s="184"/>
      <c r="P41" s="184"/>
      <c r="Z41" s="159" t="s">
        <v>10</v>
      </c>
      <c r="AA41" s="76">
        <v>100</v>
      </c>
      <c r="AB41" s="104"/>
      <c r="AC41" s="76"/>
      <c r="AD41" s="76"/>
      <c r="AE41" s="76">
        <v>10</v>
      </c>
      <c r="AF41" s="77">
        <v>3</v>
      </c>
      <c r="AI41" s="223" t="s">
        <v>265</v>
      </c>
      <c r="AJ41" s="352">
        <v>0</v>
      </c>
      <c r="AK41" s="353"/>
      <c r="AL41" s="353"/>
      <c r="AM41" s="353"/>
      <c r="AN41" s="352">
        <v>80</v>
      </c>
      <c r="AO41" s="354">
        <v>100</v>
      </c>
    </row>
    <row r="42" spans="2:45" ht="15.75" thickBot="1" x14ac:dyDescent="0.3">
      <c r="C42"/>
      <c r="J42" s="75" t="s">
        <v>10</v>
      </c>
      <c r="K42" s="96"/>
      <c r="L42" s="96"/>
      <c r="M42" s="96">
        <v>2</v>
      </c>
      <c r="N42" s="96"/>
      <c r="O42" s="96">
        <v>2.4</v>
      </c>
      <c r="P42" s="97">
        <v>4.4000000000000004</v>
      </c>
      <c r="Z42" s="80" t="s">
        <v>4</v>
      </c>
      <c r="AA42" s="325">
        <v>0</v>
      </c>
      <c r="AB42" s="325">
        <v>0.28999999999999998</v>
      </c>
      <c r="AC42" s="94">
        <v>0.3</v>
      </c>
      <c r="AD42" s="94">
        <v>0.69</v>
      </c>
      <c r="AE42" s="326">
        <v>0.7</v>
      </c>
      <c r="AF42" s="327">
        <v>1</v>
      </c>
      <c r="AI42" s="276" t="s">
        <v>266</v>
      </c>
      <c r="AJ42" s="355">
        <v>0</v>
      </c>
      <c r="AK42" s="356"/>
      <c r="AL42" s="356"/>
      <c r="AM42" s="356"/>
      <c r="AN42" s="355">
        <v>60</v>
      </c>
      <c r="AO42" s="357">
        <v>100</v>
      </c>
    </row>
    <row r="43" spans="2:45" ht="15.75" thickBot="1" x14ac:dyDescent="0.3">
      <c r="B43" t="s">
        <v>155</v>
      </c>
      <c r="C43" s="83"/>
      <c r="E43" s="83"/>
      <c r="F43" s="191"/>
      <c r="J43" s="80" t="s">
        <v>11</v>
      </c>
      <c r="K43" s="325">
        <v>0</v>
      </c>
      <c r="L43" s="325">
        <v>0.28999999999999998</v>
      </c>
      <c r="M43" s="94">
        <v>0.3</v>
      </c>
      <c r="N43" s="94">
        <v>0.69</v>
      </c>
      <c r="O43" s="326">
        <v>0.7</v>
      </c>
      <c r="P43" s="327">
        <v>1</v>
      </c>
      <c r="R43" s="191" t="s">
        <v>216</v>
      </c>
      <c r="S43" s="184"/>
      <c r="T43" s="184"/>
      <c r="U43" s="184"/>
      <c r="V43" s="184"/>
      <c r="W43" s="184"/>
      <c r="X43" s="184"/>
      <c r="AI43" s="80" t="s">
        <v>4</v>
      </c>
      <c r="AJ43" s="325">
        <v>0</v>
      </c>
      <c r="AK43" s="325">
        <v>0.28999999999999998</v>
      </c>
      <c r="AL43" s="94">
        <v>0.3</v>
      </c>
      <c r="AM43" s="94">
        <v>0.69</v>
      </c>
      <c r="AN43" s="326">
        <v>0.7</v>
      </c>
      <c r="AO43" s="327">
        <v>1</v>
      </c>
      <c r="AR43"/>
    </row>
    <row r="44" spans="2:45" x14ac:dyDescent="0.25">
      <c r="B44" s="262" t="s">
        <v>84</v>
      </c>
      <c r="C44" s="190">
        <v>-0.03</v>
      </c>
      <c r="E44" s="83"/>
      <c r="R44" s="207" t="s">
        <v>213</v>
      </c>
      <c r="S44" s="96">
        <v>0</v>
      </c>
      <c r="T44" s="96"/>
      <c r="U44" s="96">
        <v>3.7</v>
      </c>
      <c r="V44" s="96"/>
      <c r="W44" s="96">
        <v>4.7</v>
      </c>
      <c r="X44" s="97">
        <v>54.5</v>
      </c>
      <c r="AA44" s="27" t="s">
        <v>156</v>
      </c>
      <c r="AB44" s="86" t="s">
        <v>62</v>
      </c>
      <c r="AP44"/>
      <c r="AQ44"/>
      <c r="AR44"/>
    </row>
    <row r="45" spans="2:45" x14ac:dyDescent="0.25">
      <c r="B45" s="262" t="s">
        <v>85</v>
      </c>
      <c r="C45" s="83">
        <v>1</v>
      </c>
      <c r="D45"/>
      <c r="K45" s="215" t="s">
        <v>156</v>
      </c>
      <c r="L45" s="215" t="s">
        <v>62</v>
      </c>
      <c r="R45" s="208" t="s">
        <v>219</v>
      </c>
      <c r="S45" s="220">
        <v>0</v>
      </c>
      <c r="T45" s="220"/>
      <c r="U45" s="220">
        <v>0.6</v>
      </c>
      <c r="V45" s="220"/>
      <c r="W45" s="220">
        <v>1.3</v>
      </c>
      <c r="X45" s="154">
        <v>24.1</v>
      </c>
      <c r="Z45" s="72" t="s">
        <v>132</v>
      </c>
      <c r="AJ45" s="628" t="str">
        <f>AI41</f>
        <v>Anadromous</v>
      </c>
      <c r="AK45" s="628"/>
      <c r="AL45" s="628" t="str">
        <f>AI42</f>
        <v>Non-anadromous</v>
      </c>
      <c r="AM45" s="628"/>
      <c r="AP45"/>
      <c r="AQ45"/>
      <c r="AR45" s="143"/>
    </row>
    <row r="46" spans="2:45" ht="15.75" thickBot="1" x14ac:dyDescent="0.3">
      <c r="B46" s="263"/>
      <c r="J46" s="72" t="s">
        <v>132</v>
      </c>
      <c r="N46" s="191"/>
      <c r="R46" s="80" t="s">
        <v>11</v>
      </c>
      <c r="S46" s="325">
        <v>0</v>
      </c>
      <c r="T46" s="325">
        <v>0.28999999999999998</v>
      </c>
      <c r="U46" s="94">
        <v>0.3</v>
      </c>
      <c r="V46" s="94">
        <v>0.69</v>
      </c>
      <c r="W46" s="326">
        <v>0.7</v>
      </c>
      <c r="X46" s="327">
        <v>1</v>
      </c>
      <c r="Z46" s="271" t="s">
        <v>84</v>
      </c>
      <c r="AA46" s="87">
        <v>-7.7999999999999996E-3</v>
      </c>
      <c r="AB46" s="160">
        <v>-4.2900000000000001E-2</v>
      </c>
      <c r="AC46" s="82"/>
      <c r="AE46" s="87"/>
      <c r="AI46" s="81"/>
      <c r="AJ46" s="267" t="s">
        <v>156</v>
      </c>
      <c r="AK46" s="267" t="s">
        <v>62</v>
      </c>
      <c r="AL46" s="267" t="s">
        <v>156</v>
      </c>
      <c r="AM46" s="267" t="s">
        <v>62</v>
      </c>
      <c r="AN46"/>
      <c r="AO46"/>
      <c r="AQ46"/>
      <c r="AR46" s="143"/>
      <c r="AS46"/>
    </row>
    <row r="47" spans="2:45" x14ac:dyDescent="0.25">
      <c r="J47" s="81" t="s">
        <v>84</v>
      </c>
      <c r="K47" s="72">
        <v>1</v>
      </c>
      <c r="L47" s="72">
        <v>0.15</v>
      </c>
      <c r="N47" s="191"/>
      <c r="Z47" s="271" t="s">
        <v>85</v>
      </c>
      <c r="AA47" s="87">
        <v>0.77780000000000005</v>
      </c>
      <c r="AB47" s="160">
        <v>1.1286</v>
      </c>
      <c r="AC47" s="82"/>
      <c r="AE47" s="87"/>
      <c r="AI47" s="72" t="s">
        <v>132</v>
      </c>
      <c r="AJ47"/>
      <c r="AK47"/>
      <c r="AL47"/>
      <c r="AM47"/>
      <c r="AN47"/>
      <c r="AO47"/>
      <c r="AQ47" s="143"/>
      <c r="AS47"/>
    </row>
    <row r="48" spans="2:45" ht="15" customHeight="1" x14ac:dyDescent="0.25">
      <c r="J48" s="81" t="s">
        <v>85</v>
      </c>
      <c r="K48" s="72">
        <v>-1.7</v>
      </c>
      <c r="L48" s="72">
        <v>0.34</v>
      </c>
      <c r="S48" s="621" t="str">
        <f>R44</f>
        <v>Interior Bottomlands</v>
      </c>
      <c r="T48" s="621"/>
      <c r="U48" s="621"/>
      <c r="V48" s="84" t="str">
        <f>R45</f>
        <v>Interior Forested Lowlands/Uplands and Highlands</v>
      </c>
      <c r="W48" s="84"/>
      <c r="X48" s="84"/>
      <c r="AI48" s="81" t="s">
        <v>84</v>
      </c>
      <c r="AJ48">
        <v>8.8000000000000005E-3</v>
      </c>
      <c r="AK48" s="193">
        <v>1.4999999999999999E-2</v>
      </c>
      <c r="AL48">
        <v>1.17E-2</v>
      </c>
      <c r="AM48" s="224">
        <v>7.4999999999999997E-3</v>
      </c>
      <c r="AN48" s="142"/>
      <c r="AO48" s="142"/>
      <c r="AP48" s="142"/>
      <c r="AQ48" s="143"/>
      <c r="AS48" s="142"/>
    </row>
    <row r="49" spans="10:45" x14ac:dyDescent="0.25">
      <c r="J49" s="81"/>
      <c r="L49" s="84"/>
      <c r="S49" s="150" t="s">
        <v>86</v>
      </c>
      <c r="T49" s="150" t="s">
        <v>119</v>
      </c>
      <c r="U49" s="150" t="s">
        <v>62</v>
      </c>
      <c r="V49" s="150" t="s">
        <v>156</v>
      </c>
      <c r="W49" s="150" t="s">
        <v>62</v>
      </c>
      <c r="X49" s="150"/>
      <c r="AI49" s="81" t="s">
        <v>85</v>
      </c>
      <c r="AJ49">
        <v>0</v>
      </c>
      <c r="AK49" s="193">
        <v>-0.5</v>
      </c>
      <c r="AL49">
        <v>0</v>
      </c>
      <c r="AM49" s="142">
        <v>0.25</v>
      </c>
      <c r="AN49" s="142"/>
      <c r="AO49" s="142"/>
      <c r="AS49" s="142"/>
    </row>
    <row r="50" spans="10:45" x14ac:dyDescent="0.25">
      <c r="R50" s="72" t="s">
        <v>132</v>
      </c>
      <c r="U50"/>
      <c r="AI50" s="81"/>
    </row>
    <row r="51" spans="10:45" x14ac:dyDescent="0.25">
      <c r="R51" s="22" t="s">
        <v>84</v>
      </c>
      <c r="S51" s="88">
        <v>8.1081E-2</v>
      </c>
      <c r="T51" s="88">
        <v>0.4</v>
      </c>
      <c r="U51" s="72">
        <v>6.0239999999999998E-3</v>
      </c>
      <c r="V51" s="72">
        <v>0.53937000000000002</v>
      </c>
      <c r="W51" s="72">
        <v>1.3158E-2</v>
      </c>
      <c r="AI51" s="81"/>
      <c r="AK51" s="84"/>
      <c r="AL51" s="84"/>
    </row>
    <row r="52" spans="10:45" x14ac:dyDescent="0.25">
      <c r="R52" s="22" t="s">
        <v>85</v>
      </c>
      <c r="S52" s="88">
        <v>0</v>
      </c>
      <c r="T52" s="88">
        <v>-1.18</v>
      </c>
      <c r="U52" s="72">
        <v>0.67168700000000003</v>
      </c>
      <c r="V52" s="72">
        <v>-8.2679999999999993E-3</v>
      </c>
      <c r="W52" s="72">
        <v>0.68289500000000003</v>
      </c>
      <c r="AK52" s="84"/>
    </row>
    <row r="53" spans="10:45" x14ac:dyDescent="0.25">
      <c r="AK53" s="84"/>
    </row>
    <row r="64" spans="10:45" x14ac:dyDescent="0.25">
      <c r="J64" s="74"/>
    </row>
    <row r="69" spans="2:42" ht="15.75" thickBot="1" x14ac:dyDescent="0.3">
      <c r="B69" s="183" t="s">
        <v>331</v>
      </c>
      <c r="C69" s="184"/>
      <c r="D69" s="184"/>
      <c r="E69" s="184"/>
      <c r="F69" s="184"/>
      <c r="G69" s="184"/>
      <c r="H69" s="184"/>
    </row>
    <row r="70" spans="2:42" x14ac:dyDescent="0.25">
      <c r="B70" s="103" t="s">
        <v>10</v>
      </c>
      <c r="C70" s="76"/>
      <c r="D70" s="76"/>
      <c r="E70" s="76">
        <v>50</v>
      </c>
      <c r="F70" s="76"/>
      <c r="G70" s="76">
        <v>35</v>
      </c>
      <c r="H70" s="77">
        <v>0</v>
      </c>
    </row>
    <row r="71" spans="2:42" ht="15.75" thickBot="1" x14ac:dyDescent="0.3">
      <c r="B71" s="80" t="s">
        <v>11</v>
      </c>
      <c r="C71" s="325">
        <v>0</v>
      </c>
      <c r="D71" s="325">
        <v>0.28999999999999998</v>
      </c>
      <c r="E71" s="94">
        <v>0.3</v>
      </c>
      <c r="F71" s="94">
        <v>0.69</v>
      </c>
      <c r="G71" s="326">
        <v>0.7</v>
      </c>
      <c r="H71" s="327">
        <v>1</v>
      </c>
    </row>
    <row r="72" spans="2:42" x14ac:dyDescent="0.25">
      <c r="C72"/>
    </row>
    <row r="73" spans="2:42" ht="15.75" thickBot="1" x14ac:dyDescent="0.3">
      <c r="C73" s="262" t="s">
        <v>156</v>
      </c>
      <c r="D73" s="158" t="s">
        <v>62</v>
      </c>
      <c r="Z73" s="183" t="s">
        <v>359</v>
      </c>
      <c r="AA73" s="184"/>
      <c r="AB73" s="184"/>
      <c r="AC73" s="184"/>
      <c r="AD73" s="184"/>
      <c r="AE73" s="184"/>
      <c r="AF73" s="184"/>
    </row>
    <row r="74" spans="2:42" x14ac:dyDescent="0.25">
      <c r="B74" t="s">
        <v>155</v>
      </c>
      <c r="C74" s="83"/>
      <c r="E74" s="83"/>
      <c r="F74" s="191"/>
      <c r="Z74" s="159" t="s">
        <v>10</v>
      </c>
      <c r="AA74" s="76"/>
      <c r="AB74" s="104"/>
      <c r="AC74" s="76"/>
      <c r="AD74" s="76"/>
      <c r="AE74" s="76">
        <v>58</v>
      </c>
      <c r="AF74" s="77">
        <v>75</v>
      </c>
    </row>
    <row r="75" spans="2:42" ht="15.75" thickBot="1" x14ac:dyDescent="0.3">
      <c r="B75" s="262" t="s">
        <v>84</v>
      </c>
      <c r="C75" s="190">
        <v>-2.6700000000000002E-2</v>
      </c>
      <c r="D75" s="72">
        <v>-8.6E-3</v>
      </c>
      <c r="E75" s="83"/>
      <c r="Z75" s="80" t="s">
        <v>4</v>
      </c>
      <c r="AA75" s="325">
        <v>0</v>
      </c>
      <c r="AB75" s="325">
        <v>0.28999999999999998</v>
      </c>
      <c r="AC75" s="94">
        <v>0.3</v>
      </c>
      <c r="AD75" s="94">
        <v>0.69</v>
      </c>
      <c r="AE75" s="326">
        <v>0.7</v>
      </c>
      <c r="AF75" s="327">
        <v>1</v>
      </c>
    </row>
    <row r="76" spans="2:42" ht="15.75" thickBot="1" x14ac:dyDescent="0.3">
      <c r="B76" s="262" t="s">
        <v>85</v>
      </c>
      <c r="C76" s="83">
        <v>1.6333</v>
      </c>
      <c r="D76">
        <v>1</v>
      </c>
      <c r="J76" s="191" t="s">
        <v>221</v>
      </c>
      <c r="K76" s="184"/>
      <c r="L76" s="184"/>
      <c r="M76" s="184"/>
      <c r="N76" s="184"/>
      <c r="O76" s="184"/>
      <c r="P76" s="184"/>
      <c r="AI76" t="s">
        <v>344</v>
      </c>
    </row>
    <row r="77" spans="2:42" x14ac:dyDescent="0.25">
      <c r="B77" s="263"/>
      <c r="J77" s="75" t="s">
        <v>10</v>
      </c>
      <c r="K77" s="96"/>
      <c r="L77" s="96"/>
      <c r="M77" s="96">
        <v>2</v>
      </c>
      <c r="N77" s="96"/>
      <c r="O77" s="96">
        <v>2.4</v>
      </c>
      <c r="P77" s="97">
        <v>6.5</v>
      </c>
      <c r="Z77"/>
      <c r="AA77"/>
      <c r="AB77"/>
      <c r="AC77"/>
      <c r="AI77" s="223" t="s">
        <v>10</v>
      </c>
      <c r="AJ77" s="349">
        <v>0</v>
      </c>
      <c r="AK77" s="350"/>
      <c r="AL77" s="350"/>
      <c r="AM77" s="350"/>
      <c r="AN77" s="349"/>
      <c r="AO77" s="351">
        <v>0.9</v>
      </c>
    </row>
    <row r="78" spans="2:42" ht="15.75" thickBot="1" x14ac:dyDescent="0.3">
      <c r="J78" s="80" t="s">
        <v>11</v>
      </c>
      <c r="K78" s="325">
        <v>0</v>
      </c>
      <c r="L78" s="325">
        <v>0.28999999999999998</v>
      </c>
      <c r="M78" s="94">
        <v>0.3</v>
      </c>
      <c r="N78" s="94">
        <v>0.69</v>
      </c>
      <c r="O78" s="326">
        <v>0.7</v>
      </c>
      <c r="P78" s="327">
        <v>1</v>
      </c>
      <c r="Z78" s="72" t="s">
        <v>132</v>
      </c>
      <c r="AI78" s="80" t="s">
        <v>4</v>
      </c>
      <c r="AJ78" s="325">
        <v>0</v>
      </c>
      <c r="AK78" s="325">
        <v>0.28999999999999998</v>
      </c>
      <c r="AL78" s="94">
        <v>0.3</v>
      </c>
      <c r="AM78" s="94">
        <v>0.69</v>
      </c>
      <c r="AN78" s="326">
        <v>0.7</v>
      </c>
      <c r="AO78" s="327">
        <v>1</v>
      </c>
    </row>
    <row r="79" spans="2:42" ht="15.75" thickBot="1" x14ac:dyDescent="0.3">
      <c r="R79" s="72" t="s">
        <v>65</v>
      </c>
      <c r="Z79" s="218" t="s">
        <v>84</v>
      </c>
      <c r="AA79" s="160">
        <v>1.7646999999999999E-2</v>
      </c>
      <c r="AB79" s="160"/>
      <c r="AC79" s="82"/>
      <c r="AE79" s="87"/>
    </row>
    <row r="80" spans="2:42" x14ac:dyDescent="0.25">
      <c r="K80" s="215" t="s">
        <v>156</v>
      </c>
      <c r="L80" s="215" t="s">
        <v>62</v>
      </c>
      <c r="R80" s="75" t="s">
        <v>10</v>
      </c>
      <c r="S80" s="78">
        <v>75</v>
      </c>
      <c r="T80" s="78"/>
      <c r="U80" s="78"/>
      <c r="V80" s="78"/>
      <c r="W80" s="78">
        <v>10</v>
      </c>
      <c r="X80" s="79">
        <v>5</v>
      </c>
      <c r="Z80" s="218" t="s">
        <v>85</v>
      </c>
      <c r="AA80" s="160">
        <v>-0.32352900000000001</v>
      </c>
      <c r="AB80" s="160"/>
      <c r="AC80" s="82"/>
      <c r="AE80" s="87"/>
      <c r="AI80" s="72" t="s">
        <v>132</v>
      </c>
      <c r="AJ80"/>
      <c r="AK80"/>
      <c r="AL80"/>
      <c r="AM80"/>
      <c r="AN80"/>
      <c r="AO80"/>
      <c r="AP80" s="142"/>
    </row>
    <row r="81" spans="10:42" ht="15.75" thickBot="1" x14ac:dyDescent="0.3">
      <c r="J81" s="72" t="s">
        <v>132</v>
      </c>
      <c r="N81" s="191"/>
      <c r="R81" s="80" t="s">
        <v>11</v>
      </c>
      <c r="S81" s="325">
        <v>0</v>
      </c>
      <c r="T81" s="325">
        <v>0.28999999999999998</v>
      </c>
      <c r="U81" s="94">
        <v>0.3</v>
      </c>
      <c r="V81" s="94">
        <v>0.69</v>
      </c>
      <c r="W81" s="326">
        <v>0.7</v>
      </c>
      <c r="X81" s="327">
        <v>1</v>
      </c>
      <c r="AI81" s="218" t="s">
        <v>84</v>
      </c>
      <c r="AJ81">
        <v>1.1111</v>
      </c>
      <c r="AK81" s="193"/>
      <c r="AL81"/>
      <c r="AM81" s="224"/>
      <c r="AN81" s="142"/>
      <c r="AO81" s="142"/>
      <c r="AP81" s="142"/>
    </row>
    <row r="82" spans="10:42" x14ac:dyDescent="0.25">
      <c r="J82" s="218" t="s">
        <v>84</v>
      </c>
      <c r="K82" s="72">
        <v>1</v>
      </c>
      <c r="L82" s="72">
        <v>7.3200000000000001E-2</v>
      </c>
      <c r="N82" s="191"/>
      <c r="AI82" s="218" t="s">
        <v>85</v>
      </c>
      <c r="AJ82">
        <v>0</v>
      </c>
      <c r="AK82" s="193"/>
      <c r="AL82"/>
      <c r="AM82" s="142"/>
      <c r="AN82" s="142"/>
      <c r="AO82" s="142"/>
    </row>
    <row r="83" spans="10:42" x14ac:dyDescent="0.25">
      <c r="J83" s="218" t="s">
        <v>85</v>
      </c>
      <c r="K83" s="72">
        <v>-1.7</v>
      </c>
      <c r="L83" s="72">
        <v>0.52439999999999998</v>
      </c>
      <c r="R83" s="81"/>
      <c r="S83" s="27" t="s">
        <v>156</v>
      </c>
      <c r="T83" s="86" t="s">
        <v>62</v>
      </c>
      <c r="AI83" s="218"/>
    </row>
    <row r="84" spans="10:42" x14ac:dyDescent="0.25">
      <c r="J84" s="218"/>
      <c r="L84" s="84"/>
      <c r="R84" t="s">
        <v>141</v>
      </c>
      <c r="V84" s="191"/>
      <c r="AI84" s="218"/>
      <c r="AK84" s="84"/>
      <c r="AL84" s="84"/>
    </row>
    <row r="85" spans="10:42" x14ac:dyDescent="0.25">
      <c r="R85" s="22" t="s">
        <v>84</v>
      </c>
      <c r="S85" s="184">
        <v>-1.0800000000000001E-2</v>
      </c>
      <c r="T85" s="87">
        <v>-0.06</v>
      </c>
      <c r="AK85" s="84"/>
    </row>
    <row r="86" spans="10:42" x14ac:dyDescent="0.25">
      <c r="R86" s="22" t="s">
        <v>85</v>
      </c>
      <c r="S86" s="184">
        <v>0.80769999999999997</v>
      </c>
      <c r="T86" s="176">
        <v>1.3</v>
      </c>
      <c r="AK86" s="84"/>
    </row>
    <row r="99" spans="2:24" x14ac:dyDescent="0.25">
      <c r="J99" s="74"/>
    </row>
    <row r="100" spans="2:24" ht="15.75" thickBot="1" x14ac:dyDescent="0.3">
      <c r="B100" s="191" t="s">
        <v>166</v>
      </c>
      <c r="C100" s="184"/>
    </row>
    <row r="101" spans="2:24" x14ac:dyDescent="0.25">
      <c r="B101" s="103" t="s">
        <v>10</v>
      </c>
      <c r="C101" s="332"/>
      <c r="D101" s="333"/>
      <c r="E101" s="333"/>
      <c r="F101" s="333"/>
      <c r="G101" s="333">
        <v>1</v>
      </c>
      <c r="H101" s="334">
        <v>0</v>
      </c>
    </row>
    <row r="102" spans="2:24" ht="15.75" thickBot="1" x14ac:dyDescent="0.3">
      <c r="B102" s="80" t="s">
        <v>11</v>
      </c>
      <c r="C102" s="325">
        <v>0</v>
      </c>
      <c r="D102" s="325">
        <v>0.28999999999999998</v>
      </c>
      <c r="E102" s="94">
        <v>0.3</v>
      </c>
      <c r="F102" s="94">
        <v>0.69</v>
      </c>
      <c r="G102" s="326">
        <v>0.7</v>
      </c>
      <c r="H102" s="327">
        <v>1</v>
      </c>
    </row>
    <row r="104" spans="2:24" x14ac:dyDescent="0.25">
      <c r="B104" t="s">
        <v>155</v>
      </c>
      <c r="C104" s="83"/>
      <c r="E104" s="83"/>
    </row>
    <row r="105" spans="2:24" x14ac:dyDescent="0.25">
      <c r="B105" s="22" t="s">
        <v>84</v>
      </c>
      <c r="C105" s="85">
        <v>-0.3</v>
      </c>
      <c r="E105" s="83"/>
    </row>
    <row r="106" spans="2:24" x14ac:dyDescent="0.25">
      <c r="B106" s="22" t="s">
        <v>85</v>
      </c>
      <c r="C106" s="83">
        <v>1</v>
      </c>
    </row>
    <row r="107" spans="2:24" x14ac:dyDescent="0.25">
      <c r="B107" s="81"/>
    </row>
    <row r="111" spans="2:24" ht="15.75" thickBot="1" x14ac:dyDescent="0.3">
      <c r="J111" s="150" t="s">
        <v>201</v>
      </c>
      <c r="R111" t="s">
        <v>255</v>
      </c>
    </row>
    <row r="112" spans="2:24" x14ac:dyDescent="0.25">
      <c r="J112" s="75" t="s">
        <v>10</v>
      </c>
      <c r="K112" s="96">
        <v>1</v>
      </c>
      <c r="L112" s="96"/>
      <c r="M112" s="96"/>
      <c r="N112" s="96"/>
      <c r="O112" s="96">
        <v>1.4</v>
      </c>
      <c r="P112" s="97">
        <v>2.2000000000000002</v>
      </c>
      <c r="R112" s="75" t="s">
        <v>10</v>
      </c>
      <c r="S112" s="76">
        <v>30</v>
      </c>
      <c r="T112" s="76"/>
      <c r="U112" s="76"/>
      <c r="V112" s="76"/>
      <c r="W112" s="76"/>
      <c r="X112" s="77">
        <v>0</v>
      </c>
    </row>
    <row r="113" spans="10:24" ht="15.75" thickBot="1" x14ac:dyDescent="0.3">
      <c r="J113" s="80" t="s">
        <v>11</v>
      </c>
      <c r="K113" s="325">
        <v>0</v>
      </c>
      <c r="L113" s="325">
        <v>0.28999999999999998</v>
      </c>
      <c r="M113" s="94">
        <v>0.3</v>
      </c>
      <c r="N113" s="94">
        <v>0.69</v>
      </c>
      <c r="O113" s="326">
        <v>0.7</v>
      </c>
      <c r="P113" s="327">
        <v>1</v>
      </c>
      <c r="R113" s="80" t="s">
        <v>11</v>
      </c>
      <c r="S113" s="325">
        <v>0</v>
      </c>
      <c r="T113" s="325">
        <v>0.28999999999999998</v>
      </c>
      <c r="U113" s="94">
        <v>0.3</v>
      </c>
      <c r="V113" s="94">
        <v>0.69</v>
      </c>
      <c r="W113" s="326">
        <v>0.7</v>
      </c>
      <c r="X113" s="327">
        <v>1</v>
      </c>
    </row>
    <row r="115" spans="10:24" x14ac:dyDescent="0.25">
      <c r="K115" s="192" t="s">
        <v>156</v>
      </c>
      <c r="L115" s="81" t="s">
        <v>62</v>
      </c>
      <c r="R115" t="s">
        <v>141</v>
      </c>
      <c r="S115"/>
      <c r="T115"/>
      <c r="U115"/>
    </row>
    <row r="116" spans="10:24" x14ac:dyDescent="0.25">
      <c r="J116" s="72" t="s">
        <v>132</v>
      </c>
      <c r="K116" s="81"/>
      <c r="L116" s="81"/>
      <c r="N116" s="191"/>
      <c r="R116" s="22" t="s">
        <v>84</v>
      </c>
      <c r="S116" s="92">
        <v>-3.3300000000000003E-2</v>
      </c>
      <c r="T116"/>
    </row>
    <row r="117" spans="10:24" x14ac:dyDescent="0.25">
      <c r="J117" s="81" t="s">
        <v>84</v>
      </c>
      <c r="K117" s="72">
        <v>1.75</v>
      </c>
      <c r="L117" s="72">
        <v>0.375</v>
      </c>
      <c r="N117" s="191"/>
      <c r="R117" s="22" t="s">
        <v>85</v>
      </c>
      <c r="S117" s="92">
        <v>1</v>
      </c>
    </row>
    <row r="118" spans="10:24" x14ac:dyDescent="0.25">
      <c r="J118" s="81" t="s">
        <v>85</v>
      </c>
      <c r="K118" s="72">
        <v>-1.75</v>
      </c>
      <c r="L118" s="72">
        <v>0.17499999999999999</v>
      </c>
      <c r="R118" s="81"/>
      <c r="U118"/>
    </row>
    <row r="119" spans="10:24" x14ac:dyDescent="0.25">
      <c r="J119" s="81"/>
      <c r="L119" s="84"/>
    </row>
    <row r="130" spans="10:29" x14ac:dyDescent="0.25">
      <c r="N130" s="73"/>
      <c r="O130" s="73"/>
      <c r="P130" s="73"/>
    </row>
    <row r="131" spans="10:29" x14ac:dyDescent="0.25">
      <c r="N131" s="73"/>
      <c r="O131" s="73"/>
      <c r="P131" s="73"/>
    </row>
    <row r="136" spans="10:29" x14ac:dyDescent="0.25">
      <c r="N136" s="73"/>
      <c r="O136" s="73"/>
      <c r="P136" s="73"/>
    </row>
    <row r="137" spans="10:29" ht="16.5" customHeight="1" x14ac:dyDescent="0.25">
      <c r="N137" s="73"/>
      <c r="O137" s="73"/>
      <c r="P137" s="73"/>
    </row>
    <row r="142" spans="10:29" ht="15.75" thickBot="1" x14ac:dyDescent="0.3">
      <c r="R142" s="191" t="s">
        <v>261</v>
      </c>
      <c r="S142" s="184"/>
      <c r="T142" s="184"/>
      <c r="U142" s="184"/>
      <c r="V142" s="184"/>
      <c r="W142" s="184"/>
      <c r="X142" s="184"/>
    </row>
    <row r="143" spans="10:29" x14ac:dyDescent="0.25">
      <c r="R143" s="159" t="s">
        <v>262</v>
      </c>
      <c r="S143" s="78"/>
      <c r="T143" s="78"/>
      <c r="U143" s="78">
        <v>37</v>
      </c>
      <c r="V143" s="78"/>
      <c r="W143" s="78">
        <v>15</v>
      </c>
      <c r="X143" s="180">
        <v>3</v>
      </c>
    </row>
    <row r="144" spans="10:29" ht="15.75" thickBot="1" x14ac:dyDescent="0.3">
      <c r="J144" s="150" t="s">
        <v>270</v>
      </c>
      <c r="R144" s="222" t="s">
        <v>268</v>
      </c>
      <c r="S144" s="168"/>
      <c r="T144" s="168"/>
      <c r="U144" s="168">
        <v>10</v>
      </c>
      <c r="V144" s="168"/>
      <c r="W144" s="168">
        <v>5</v>
      </c>
      <c r="X144" s="266">
        <v>0</v>
      </c>
      <c r="AC144" s="84"/>
    </row>
    <row r="145" spans="10:28" ht="15.75" thickBot="1" x14ac:dyDescent="0.3">
      <c r="J145" s="623" t="s">
        <v>10</v>
      </c>
      <c r="K145" s="78">
        <v>20</v>
      </c>
      <c r="L145" s="78"/>
      <c r="M145" s="78"/>
      <c r="N145" s="78"/>
      <c r="O145" s="78"/>
      <c r="P145" s="79">
        <v>100</v>
      </c>
      <c r="R145" s="80" t="s">
        <v>11</v>
      </c>
      <c r="S145" s="325">
        <v>0</v>
      </c>
      <c r="T145" s="325">
        <v>0.28999999999999998</v>
      </c>
      <c r="U145" s="94">
        <v>0.3</v>
      </c>
      <c r="V145" s="94">
        <v>0.69</v>
      </c>
      <c r="W145" s="326">
        <v>0.7</v>
      </c>
      <c r="X145" s="327">
        <v>1</v>
      </c>
      <c r="AB145" s="84"/>
    </row>
    <row r="146" spans="10:28" x14ac:dyDescent="0.25">
      <c r="J146" s="624"/>
      <c r="K146" s="168">
        <v>180</v>
      </c>
      <c r="L146" s="168"/>
      <c r="M146" s="168"/>
      <c r="N146" s="168"/>
      <c r="O146" s="168"/>
      <c r="P146" s="89">
        <v>100</v>
      </c>
    </row>
    <row r="147" spans="10:28" ht="15.75" thickBot="1" x14ac:dyDescent="0.3">
      <c r="J147" s="80" t="s">
        <v>11</v>
      </c>
      <c r="K147" s="325">
        <v>0</v>
      </c>
      <c r="L147" s="325">
        <v>0.28999999999999998</v>
      </c>
      <c r="M147" s="94">
        <v>0.3</v>
      </c>
      <c r="N147" s="94">
        <v>0.69</v>
      </c>
      <c r="O147" s="326">
        <v>0.7</v>
      </c>
      <c r="P147" s="327">
        <v>1</v>
      </c>
      <c r="S147" s="628" t="str">
        <f>R143</f>
        <v xml:space="preserve">Gravel Bed </v>
      </c>
      <c r="T147" s="628"/>
      <c r="U147" s="219" t="str">
        <f>R144</f>
        <v>Cobble, Boulders, Bedrock</v>
      </c>
      <c r="V147" s="219"/>
    </row>
    <row r="148" spans="10:28" x14ac:dyDescent="0.25">
      <c r="S148" s="158" t="s">
        <v>156</v>
      </c>
      <c r="T148" s="158" t="s">
        <v>62</v>
      </c>
      <c r="U148" s="158" t="s">
        <v>156</v>
      </c>
      <c r="V148" s="158" t="s">
        <v>62</v>
      </c>
    </row>
    <row r="149" spans="10:28" x14ac:dyDescent="0.25">
      <c r="K149" s="192" t="s">
        <v>234</v>
      </c>
      <c r="L149" s="158" t="s">
        <v>115</v>
      </c>
      <c r="R149" s="72" t="s">
        <v>131</v>
      </c>
    </row>
    <row r="150" spans="10:28" x14ac:dyDescent="0.25">
      <c r="J150" s="72" t="s">
        <v>132</v>
      </c>
      <c r="K150" s="218"/>
      <c r="L150" s="218"/>
      <c r="N150" s="191"/>
      <c r="R150" s="81" t="s">
        <v>84</v>
      </c>
      <c r="S150" s="177">
        <v>-1.8200000000000001E-2</v>
      </c>
      <c r="T150" s="72">
        <v>-2.5000000000000001E-2</v>
      </c>
      <c r="U150" s="72">
        <v>-0.08</v>
      </c>
      <c r="V150" s="150">
        <v>-0.06</v>
      </c>
    </row>
    <row r="151" spans="10:28" x14ac:dyDescent="0.25">
      <c r="J151" s="218" t="s">
        <v>84</v>
      </c>
      <c r="K151" s="72">
        <v>1.2500000000000001E-2</v>
      </c>
      <c r="L151" s="72">
        <v>-1.2500000000000001E-2</v>
      </c>
      <c r="N151" s="191"/>
      <c r="R151" s="81" t="s">
        <v>85</v>
      </c>
      <c r="S151" s="72">
        <v>0.97270000000000001</v>
      </c>
      <c r="T151" s="72">
        <v>1.075</v>
      </c>
      <c r="U151" s="95">
        <v>1.1000000000000001</v>
      </c>
      <c r="V151" s="150">
        <v>1</v>
      </c>
    </row>
    <row r="152" spans="10:28" ht="21" x14ac:dyDescent="0.35">
      <c r="J152" s="218" t="s">
        <v>85</v>
      </c>
      <c r="K152" s="72">
        <v>-0.25</v>
      </c>
      <c r="L152" s="72">
        <v>2.25</v>
      </c>
      <c r="R152" s="81"/>
      <c r="V152" s="93"/>
    </row>
    <row r="153" spans="10:28" x14ac:dyDescent="0.25">
      <c r="J153" s="218"/>
      <c r="L153" s="84"/>
      <c r="R153" s="81"/>
      <c r="T153" s="84"/>
      <c r="X153" s="84"/>
    </row>
    <row r="154" spans="10:28" ht="17.45" customHeight="1" x14ac:dyDescent="0.25">
      <c r="T154" s="84"/>
      <c r="X154" s="84"/>
    </row>
    <row r="164" spans="14:30" x14ac:dyDescent="0.25">
      <c r="N164" s="73"/>
      <c r="O164" s="73"/>
      <c r="P164" s="73"/>
    </row>
    <row r="165" spans="14:30" x14ac:dyDescent="0.25">
      <c r="N165" s="73"/>
      <c r="O165" s="73"/>
      <c r="P165" s="73"/>
    </row>
    <row r="170" spans="14:30" x14ac:dyDescent="0.25">
      <c r="N170" s="73"/>
      <c r="O170" s="73"/>
      <c r="P170" s="73"/>
    </row>
    <row r="171" spans="14:30" x14ac:dyDescent="0.25">
      <c r="N171" s="73"/>
      <c r="O171" s="73"/>
      <c r="P171" s="73"/>
    </row>
    <row r="176" spans="14:30" x14ac:dyDescent="0.25">
      <c r="AC176" s="73"/>
      <c r="AD176" s="73"/>
    </row>
    <row r="179" spans="18:24" ht="15.75" thickBot="1" x14ac:dyDescent="0.3">
      <c r="R179" s="150" t="s">
        <v>202</v>
      </c>
    </row>
    <row r="180" spans="18:24" x14ac:dyDescent="0.25">
      <c r="R180" s="75" t="s">
        <v>10</v>
      </c>
      <c r="S180" s="96">
        <v>6</v>
      </c>
      <c r="T180" s="78"/>
      <c r="U180" s="78"/>
      <c r="V180" s="78"/>
      <c r="W180" s="96">
        <v>3.9</v>
      </c>
      <c r="X180" s="97">
        <v>2</v>
      </c>
    </row>
    <row r="181" spans="18:24" ht="15.75" thickBot="1" x14ac:dyDescent="0.3">
      <c r="R181" s="80" t="s">
        <v>11</v>
      </c>
      <c r="S181" s="325">
        <v>0</v>
      </c>
      <c r="T181" s="325">
        <v>0.28999999999999998</v>
      </c>
      <c r="U181" s="94">
        <v>0.3</v>
      </c>
      <c r="V181" s="94">
        <v>0.69</v>
      </c>
      <c r="W181" s="326">
        <v>0.7</v>
      </c>
      <c r="X181" s="336">
        <v>1</v>
      </c>
    </row>
    <row r="183" spans="18:24" ht="14.45" customHeight="1" x14ac:dyDescent="0.25">
      <c r="S183" s="192" t="s">
        <v>156</v>
      </c>
      <c r="T183" s="206" t="s">
        <v>62</v>
      </c>
    </row>
    <row r="184" spans="18:24" ht="14.1" customHeight="1" x14ac:dyDescent="0.25">
      <c r="R184" s="72" t="s">
        <v>132</v>
      </c>
      <c r="S184" s="206"/>
      <c r="T184" s="206"/>
      <c r="V184" s="191"/>
    </row>
    <row r="185" spans="18:24" ht="12.6" customHeight="1" x14ac:dyDescent="0.25">
      <c r="R185" s="206" t="s">
        <v>84</v>
      </c>
      <c r="S185" s="72">
        <v>-0.33329999999999999</v>
      </c>
      <c r="T185" s="72">
        <v>-0.15790000000000001</v>
      </c>
      <c r="U185" s="84"/>
    </row>
    <row r="186" spans="18:24" x14ac:dyDescent="0.25">
      <c r="R186" s="206" t="s">
        <v>85</v>
      </c>
      <c r="S186" s="72">
        <v>2</v>
      </c>
      <c r="T186" s="72">
        <v>1.3158000000000001</v>
      </c>
    </row>
    <row r="187" spans="18:24" x14ac:dyDescent="0.25">
      <c r="R187" s="206"/>
      <c r="T187" s="84"/>
    </row>
    <row r="211" spans="18:28" ht="15.75" thickBot="1" x14ac:dyDescent="0.3">
      <c r="R211" s="184" t="s">
        <v>112</v>
      </c>
      <c r="S211" s="184"/>
      <c r="T211" s="184"/>
      <c r="U211" s="184"/>
      <c r="V211" s="184"/>
      <c r="W211" s="184"/>
      <c r="X211" s="184"/>
    </row>
    <row r="212" spans="18:28" x14ac:dyDescent="0.25">
      <c r="R212" s="75" t="s">
        <v>10</v>
      </c>
      <c r="S212" s="151"/>
      <c r="T212" s="151"/>
      <c r="U212" s="152"/>
      <c r="V212" s="152"/>
      <c r="W212" s="151">
        <v>6</v>
      </c>
      <c r="X212" s="155">
        <v>3.4</v>
      </c>
    </row>
    <row r="213" spans="18:28" ht="15.75" thickBot="1" x14ac:dyDescent="0.3">
      <c r="R213" s="80" t="s">
        <v>11</v>
      </c>
      <c r="S213" s="325">
        <v>0</v>
      </c>
      <c r="T213" s="325">
        <v>0.28999999999999998</v>
      </c>
      <c r="U213" s="94">
        <v>0.3</v>
      </c>
      <c r="V213" s="94">
        <v>0.69</v>
      </c>
      <c r="W213" s="326">
        <v>0.7</v>
      </c>
      <c r="X213" s="327">
        <v>1</v>
      </c>
    </row>
    <row r="216" spans="18:28" x14ac:dyDescent="0.25">
      <c r="R216" s="72" t="s">
        <v>132</v>
      </c>
    </row>
    <row r="217" spans="18:28" x14ac:dyDescent="0.25">
      <c r="R217" s="147" t="s">
        <v>84</v>
      </c>
      <c r="S217" s="147">
        <v>-0.1154</v>
      </c>
    </row>
    <row r="218" spans="18:28" x14ac:dyDescent="0.25">
      <c r="R218" s="147" t="s">
        <v>85</v>
      </c>
      <c r="S218" s="147">
        <v>1.3923000000000001</v>
      </c>
      <c r="T218" s="84"/>
      <c r="AB218" s="73"/>
    </row>
    <row r="234" spans="2:4" x14ac:dyDescent="0.25">
      <c r="B234" s="81"/>
    </row>
    <row r="235" spans="2:4" x14ac:dyDescent="0.25">
      <c r="B235" s="81"/>
      <c r="D235" s="84"/>
    </row>
    <row r="243" spans="2:24" ht="15.75" thickBot="1" x14ac:dyDescent="0.3">
      <c r="B243" s="81"/>
      <c r="R243" s="183" t="s">
        <v>204</v>
      </c>
      <c r="S243" s="184"/>
      <c r="T243" s="184"/>
      <c r="U243" s="184"/>
      <c r="V243" s="184"/>
      <c r="W243" s="184"/>
      <c r="X243" s="184"/>
    </row>
    <row r="244" spans="2:24" x14ac:dyDescent="0.25">
      <c r="B244" s="81"/>
      <c r="D244" s="84"/>
      <c r="R244" s="626" t="s">
        <v>10</v>
      </c>
      <c r="S244" s="96">
        <v>3</v>
      </c>
      <c r="T244" s="78"/>
      <c r="U244" s="78"/>
      <c r="V244" s="78"/>
      <c r="W244" s="78">
        <v>3.7</v>
      </c>
      <c r="X244" s="97">
        <v>4</v>
      </c>
    </row>
    <row r="245" spans="2:24" x14ac:dyDescent="0.25">
      <c r="R245" s="627"/>
      <c r="S245" s="98">
        <v>9.3000000000000007</v>
      </c>
      <c r="T245" s="73"/>
      <c r="U245" s="73"/>
      <c r="V245" s="73"/>
      <c r="W245" s="73">
        <v>7</v>
      </c>
      <c r="X245" s="154">
        <v>6</v>
      </c>
    </row>
    <row r="246" spans="2:24" ht="15.75" thickBot="1" x14ac:dyDescent="0.3">
      <c r="R246" s="80" t="s">
        <v>11</v>
      </c>
      <c r="S246" s="325">
        <v>0</v>
      </c>
      <c r="T246" s="325">
        <v>0.28999999999999998</v>
      </c>
      <c r="U246" s="94">
        <v>0.3</v>
      </c>
      <c r="V246" s="94">
        <v>0.69</v>
      </c>
      <c r="W246" s="326">
        <v>0.7</v>
      </c>
      <c r="X246" s="327">
        <v>1</v>
      </c>
    </row>
    <row r="248" spans="2:24" x14ac:dyDescent="0.25">
      <c r="S248" s="153" t="s">
        <v>113</v>
      </c>
      <c r="T248" s="153" t="s">
        <v>114</v>
      </c>
    </row>
    <row r="249" spans="2:24" x14ac:dyDescent="0.25">
      <c r="R249" t="s">
        <v>155</v>
      </c>
    </row>
    <row r="250" spans="2:24" x14ac:dyDescent="0.25">
      <c r="R250" s="153" t="s">
        <v>84</v>
      </c>
      <c r="S250" s="181">
        <v>1</v>
      </c>
      <c r="T250" s="181">
        <v>-0.30330000000000001</v>
      </c>
    </row>
    <row r="251" spans="2:24" x14ac:dyDescent="0.25">
      <c r="R251" s="153" t="s">
        <v>85</v>
      </c>
      <c r="S251" s="181">
        <v>-3</v>
      </c>
      <c r="T251" s="181">
        <v>2.8209</v>
      </c>
      <c r="U251" s="84"/>
    </row>
    <row r="276" spans="18:24" ht="15.75" thickBot="1" x14ac:dyDescent="0.3">
      <c r="R276" s="183" t="s">
        <v>205</v>
      </c>
      <c r="S276" s="184"/>
      <c r="T276" s="184"/>
      <c r="U276" s="184"/>
      <c r="V276" s="184"/>
      <c r="W276" s="184"/>
      <c r="X276" s="184"/>
    </row>
    <row r="277" spans="18:24" x14ac:dyDescent="0.25">
      <c r="R277" s="626" t="s">
        <v>10</v>
      </c>
      <c r="S277" s="96">
        <v>1.8</v>
      </c>
      <c r="T277" s="96"/>
      <c r="U277" s="96"/>
      <c r="V277" s="96"/>
      <c r="W277" s="96">
        <v>3</v>
      </c>
      <c r="X277" s="97">
        <v>3.5</v>
      </c>
    </row>
    <row r="278" spans="18:24" x14ac:dyDescent="0.25">
      <c r="R278" s="627"/>
      <c r="S278" s="98">
        <v>8.3000000000000007</v>
      </c>
      <c r="T278" s="98"/>
      <c r="U278" s="98"/>
      <c r="V278" s="98"/>
      <c r="W278" s="98">
        <v>6</v>
      </c>
      <c r="X278" s="154">
        <v>5</v>
      </c>
    </row>
    <row r="279" spans="18:24" ht="15.75" thickBot="1" x14ac:dyDescent="0.3">
      <c r="R279" s="80" t="s">
        <v>11</v>
      </c>
      <c r="S279" s="325">
        <v>0</v>
      </c>
      <c r="T279" s="325">
        <v>0.28999999999999998</v>
      </c>
      <c r="U279" s="94">
        <v>0.3</v>
      </c>
      <c r="V279" s="94">
        <v>0.69</v>
      </c>
      <c r="W279" s="326">
        <v>0.7</v>
      </c>
      <c r="X279" s="327">
        <v>1</v>
      </c>
    </row>
    <row r="281" spans="18:24" x14ac:dyDescent="0.25">
      <c r="S281" s="206" t="s">
        <v>113</v>
      </c>
      <c r="T281" s="206" t="s">
        <v>114</v>
      </c>
    </row>
    <row r="282" spans="18:24" x14ac:dyDescent="0.25">
      <c r="R282" t="s">
        <v>155</v>
      </c>
    </row>
    <row r="283" spans="18:24" x14ac:dyDescent="0.25">
      <c r="R283" s="206" t="s">
        <v>84</v>
      </c>
      <c r="S283" s="181">
        <v>0.58730000000000004</v>
      </c>
      <c r="T283" s="181">
        <v>-0.30330000000000001</v>
      </c>
    </row>
    <row r="284" spans="18:24" x14ac:dyDescent="0.25">
      <c r="R284" s="206" t="s">
        <v>85</v>
      </c>
      <c r="S284" s="181">
        <v>-1.0583</v>
      </c>
      <c r="T284" s="181">
        <v>2.5175999999999998</v>
      </c>
      <c r="U284" s="84"/>
    </row>
    <row r="307" spans="13:24" ht="17.45" customHeight="1" x14ac:dyDescent="0.25"/>
    <row r="310" spans="13:24" ht="15.75" thickBot="1" x14ac:dyDescent="0.3">
      <c r="R310" s="72" t="s">
        <v>43</v>
      </c>
    </row>
    <row r="311" spans="13:24" x14ac:dyDescent="0.25">
      <c r="M311" s="27"/>
      <c r="R311" s="221" t="s">
        <v>222</v>
      </c>
      <c r="S311" s="96">
        <v>1</v>
      </c>
      <c r="T311" s="78"/>
      <c r="U311" s="78"/>
      <c r="V311" s="78"/>
      <c r="W311" s="96">
        <v>1.8</v>
      </c>
      <c r="X311" s="97">
        <v>2.8</v>
      </c>
    </row>
    <row r="312" spans="13:24" x14ac:dyDescent="0.25">
      <c r="R312" s="222" t="s">
        <v>223</v>
      </c>
      <c r="S312" s="220">
        <v>1</v>
      </c>
      <c r="T312" s="168"/>
      <c r="U312" s="168"/>
      <c r="V312" s="168"/>
      <c r="W312" s="220">
        <v>2.2000000000000002</v>
      </c>
      <c r="X312" s="154">
        <v>3.2</v>
      </c>
    </row>
    <row r="313" spans="13:24" ht="15.75" thickBot="1" x14ac:dyDescent="0.3">
      <c r="R313" s="80" t="s">
        <v>11</v>
      </c>
      <c r="S313" s="325">
        <v>0</v>
      </c>
      <c r="T313" s="325">
        <v>0.28999999999999998</v>
      </c>
      <c r="U313" s="94">
        <v>0.3</v>
      </c>
      <c r="V313" s="94">
        <v>0.69</v>
      </c>
      <c r="W313" s="326">
        <v>0.7</v>
      </c>
      <c r="X313" s="327">
        <v>1</v>
      </c>
    </row>
    <row r="315" spans="13:24" x14ac:dyDescent="0.25">
      <c r="S315" s="628" t="str">
        <f>R311</f>
        <v>B &amp; Ba Streams</v>
      </c>
      <c r="T315" s="628"/>
      <c r="U315" s="628" t="str">
        <f>R312</f>
        <v>All other Streams</v>
      </c>
      <c r="V315" s="628"/>
    </row>
    <row r="316" spans="13:24" x14ac:dyDescent="0.25">
      <c r="R316" s="81"/>
      <c r="S316" s="22" t="s">
        <v>156</v>
      </c>
      <c r="T316" s="81" t="s">
        <v>62</v>
      </c>
      <c r="U316" s="215" t="s">
        <v>156</v>
      </c>
      <c r="V316" s="218" t="s">
        <v>62</v>
      </c>
    </row>
    <row r="317" spans="13:24" x14ac:dyDescent="0.25">
      <c r="R317" s="27" t="s">
        <v>133</v>
      </c>
    </row>
    <row r="318" spans="13:24" x14ac:dyDescent="0.25">
      <c r="R318" s="149" t="s">
        <v>84</v>
      </c>
      <c r="S318">
        <v>0.875</v>
      </c>
      <c r="T318" s="181">
        <v>0.3</v>
      </c>
      <c r="U318">
        <v>0.58330000000000004</v>
      </c>
      <c r="V318" s="181">
        <v>0.3</v>
      </c>
    </row>
    <row r="319" spans="13:24" x14ac:dyDescent="0.25">
      <c r="R319" s="22" t="s">
        <v>85</v>
      </c>
      <c r="S319">
        <v>-0.875</v>
      </c>
      <c r="T319" s="181">
        <v>0.16</v>
      </c>
      <c r="U319">
        <v>-0.58330000000000004</v>
      </c>
      <c r="V319" s="181">
        <v>0.04</v>
      </c>
    </row>
    <row r="320" spans="13:24" x14ac:dyDescent="0.25">
      <c r="T320" s="84"/>
    </row>
    <row r="328" spans="17:18" x14ac:dyDescent="0.25">
      <c r="Q328" s="73"/>
      <c r="R328" s="73"/>
    </row>
    <row r="329" spans="17:18" x14ac:dyDescent="0.25">
      <c r="Q329" s="73"/>
      <c r="R329" s="73"/>
    </row>
    <row r="331" spans="17:18" x14ac:dyDescent="0.25">
      <c r="R331" s="73"/>
    </row>
    <row r="332" spans="17:18" x14ac:dyDescent="0.25">
      <c r="R332" s="73"/>
    </row>
    <row r="339" spans="18:24" x14ac:dyDescent="0.25">
      <c r="R339" s="73"/>
    </row>
    <row r="340" spans="18:24" x14ac:dyDescent="0.25">
      <c r="R340" s="73"/>
    </row>
    <row r="342" spans="18:24" x14ac:dyDescent="0.25">
      <c r="R342" s="73"/>
      <c r="S342" s="73"/>
      <c r="T342" s="73"/>
      <c r="U342" s="73"/>
      <c r="V342" s="73"/>
      <c r="W342" s="73"/>
      <c r="X342" s="73"/>
    </row>
    <row r="343" spans="18:24" x14ac:dyDescent="0.25">
      <c r="R343" s="73"/>
    </row>
    <row r="344" spans="18:24" ht="15.75" thickBot="1" x14ac:dyDescent="0.3">
      <c r="R344" s="191" t="s">
        <v>207</v>
      </c>
      <c r="S344" s="184"/>
      <c r="T344" s="184"/>
      <c r="U344" s="184"/>
      <c r="V344" s="184"/>
      <c r="W344" s="184"/>
      <c r="X344" s="184"/>
    </row>
    <row r="345" spans="18:24" x14ac:dyDescent="0.25">
      <c r="R345" s="623" t="s">
        <v>10</v>
      </c>
      <c r="S345" s="90">
        <v>0</v>
      </c>
      <c r="T345" s="78"/>
      <c r="U345" s="78"/>
      <c r="V345" s="78"/>
      <c r="W345" s="78">
        <v>62</v>
      </c>
      <c r="X345" s="100">
        <v>68</v>
      </c>
    </row>
    <row r="346" spans="18:24" x14ac:dyDescent="0.25">
      <c r="R346" s="624"/>
      <c r="S346" s="102">
        <v>100</v>
      </c>
      <c r="T346" s="73"/>
      <c r="U346" s="73"/>
      <c r="V346" s="73"/>
      <c r="W346" s="73">
        <v>87</v>
      </c>
      <c r="X346" s="101">
        <v>85</v>
      </c>
    </row>
    <row r="347" spans="18:24" ht="15.75" thickBot="1" x14ac:dyDescent="0.3">
      <c r="R347" s="80" t="s">
        <v>11</v>
      </c>
      <c r="S347" s="325">
        <v>0</v>
      </c>
      <c r="T347" s="325">
        <v>0.28999999999999998</v>
      </c>
      <c r="U347" s="94">
        <v>0.3</v>
      </c>
      <c r="V347" s="94">
        <v>0.69</v>
      </c>
      <c r="W347" s="326">
        <v>0.7</v>
      </c>
      <c r="X347" s="327">
        <v>1</v>
      </c>
    </row>
    <row r="349" spans="18:24" x14ac:dyDescent="0.25">
      <c r="S349" s="628" t="s">
        <v>113</v>
      </c>
      <c r="T349" s="628"/>
      <c r="U349" s="628" t="s">
        <v>115</v>
      </c>
      <c r="V349" s="628"/>
    </row>
    <row r="350" spans="18:24" x14ac:dyDescent="0.25">
      <c r="S350" s="215" t="s">
        <v>156</v>
      </c>
      <c r="T350" s="218" t="s">
        <v>62</v>
      </c>
      <c r="U350" s="215" t="s">
        <v>156</v>
      </c>
      <c r="V350" s="218" t="s">
        <v>62</v>
      </c>
    </row>
    <row r="351" spans="18:24" x14ac:dyDescent="0.25">
      <c r="R351" t="s">
        <v>141</v>
      </c>
    </row>
    <row r="352" spans="18:24" x14ac:dyDescent="0.25">
      <c r="R352" s="22" t="s">
        <v>84</v>
      </c>
      <c r="S352">
        <v>1.1299999999999999E-2</v>
      </c>
      <c r="T352">
        <v>0.05</v>
      </c>
      <c r="U352" s="72">
        <v>-5.3800000000000001E-2</v>
      </c>
      <c r="V352">
        <v>-0.15</v>
      </c>
    </row>
    <row r="353" spans="9:24" x14ac:dyDescent="0.25">
      <c r="R353" s="22" t="s">
        <v>85</v>
      </c>
      <c r="S353">
        <v>0</v>
      </c>
      <c r="T353">
        <v>-2.4</v>
      </c>
      <c r="U353" s="72">
        <v>5.3845999999999998</v>
      </c>
      <c r="V353" s="2">
        <v>13.75</v>
      </c>
    </row>
    <row r="354" spans="9:24" x14ac:dyDescent="0.25">
      <c r="T354" s="84"/>
    </row>
    <row r="361" spans="9:24" x14ac:dyDescent="0.25">
      <c r="I361" s="73"/>
    </row>
    <row r="362" spans="9:24" x14ac:dyDescent="0.25">
      <c r="I362" s="73"/>
    </row>
    <row r="368" spans="9:24" x14ac:dyDescent="0.25">
      <c r="S368" s="73"/>
      <c r="T368" s="73"/>
      <c r="U368" s="73"/>
      <c r="V368" s="73"/>
      <c r="W368" s="73"/>
      <c r="X368" s="73"/>
    </row>
    <row r="369" spans="18:24" x14ac:dyDescent="0.25">
      <c r="S369" s="73"/>
      <c r="T369" s="73"/>
      <c r="U369" s="73"/>
      <c r="V369" s="73"/>
      <c r="W369" s="73"/>
      <c r="X369" s="73"/>
    </row>
    <row r="374" spans="18:24" x14ac:dyDescent="0.25">
      <c r="S374" s="73"/>
      <c r="T374" s="73"/>
      <c r="U374" s="73"/>
      <c r="V374" s="73"/>
      <c r="W374" s="73"/>
      <c r="X374" s="73"/>
    </row>
    <row r="375" spans="18:24" x14ac:dyDescent="0.25">
      <c r="S375" s="73"/>
      <c r="T375" s="73"/>
      <c r="U375" s="73"/>
      <c r="V375" s="73"/>
      <c r="W375" s="73"/>
      <c r="X375" s="73"/>
    </row>
    <row r="378" spans="18:24" ht="15.75" thickBot="1" x14ac:dyDescent="0.3">
      <c r="R378" s="191" t="s">
        <v>208</v>
      </c>
      <c r="S378" s="184"/>
      <c r="T378" s="184"/>
      <c r="U378" s="184"/>
      <c r="V378" s="184"/>
      <c r="W378" s="184"/>
      <c r="X378" s="184"/>
    </row>
    <row r="379" spans="18:24" x14ac:dyDescent="0.25">
      <c r="R379" s="625" t="s">
        <v>10</v>
      </c>
      <c r="S379" s="90">
        <v>0</v>
      </c>
      <c r="T379" s="78"/>
      <c r="U379" s="78"/>
      <c r="V379" s="78"/>
      <c r="W379" s="78">
        <v>39</v>
      </c>
      <c r="X379" s="79">
        <v>50</v>
      </c>
    </row>
    <row r="380" spans="18:24" x14ac:dyDescent="0.25">
      <c r="R380" s="624"/>
      <c r="S380" s="102">
        <v>100</v>
      </c>
      <c r="T380" s="73"/>
      <c r="U380" s="73"/>
      <c r="V380" s="73"/>
      <c r="W380" s="73">
        <v>69</v>
      </c>
      <c r="X380" s="89">
        <v>60</v>
      </c>
    </row>
    <row r="381" spans="18:24" ht="15.75" thickBot="1" x14ac:dyDescent="0.3">
      <c r="R381" s="135" t="s">
        <v>11</v>
      </c>
      <c r="S381" s="325">
        <v>0</v>
      </c>
      <c r="T381" s="325">
        <v>0.28999999999999998</v>
      </c>
      <c r="U381" s="94">
        <v>0.3</v>
      </c>
      <c r="V381" s="94">
        <v>0.69</v>
      </c>
      <c r="W381" s="326">
        <v>0.7</v>
      </c>
      <c r="X381" s="327">
        <v>1</v>
      </c>
    </row>
    <row r="383" spans="18:24" x14ac:dyDescent="0.25">
      <c r="S383" s="628" t="s">
        <v>113</v>
      </c>
      <c r="T383" s="628"/>
      <c r="U383" s="628" t="s">
        <v>115</v>
      </c>
      <c r="V383" s="628"/>
    </row>
    <row r="384" spans="18:24" x14ac:dyDescent="0.25">
      <c r="S384" s="215" t="s">
        <v>156</v>
      </c>
      <c r="T384" s="218" t="s">
        <v>62</v>
      </c>
      <c r="U384" s="215" t="s">
        <v>156</v>
      </c>
      <c r="V384" s="218" t="s">
        <v>62</v>
      </c>
    </row>
    <row r="385" spans="10:22" x14ac:dyDescent="0.25">
      <c r="R385" t="s">
        <v>141</v>
      </c>
    </row>
    <row r="386" spans="10:22" x14ac:dyDescent="0.25">
      <c r="R386" s="22" t="s">
        <v>84</v>
      </c>
      <c r="S386">
        <v>1.7899999999999999E-2</v>
      </c>
      <c r="T386">
        <v>2.7300000000000001E-2</v>
      </c>
      <c r="U386" s="72">
        <v>-2.2599999999999999E-2</v>
      </c>
      <c r="V386">
        <v>-3.3300000000000003E-2</v>
      </c>
    </row>
    <row r="387" spans="10:22" x14ac:dyDescent="0.25">
      <c r="R387" s="22" t="s">
        <v>85</v>
      </c>
      <c r="S387" s="2">
        <v>0</v>
      </c>
      <c r="T387" s="181">
        <v>-0.36359999999999998</v>
      </c>
      <c r="U387" s="72">
        <v>2.2581000000000002</v>
      </c>
      <c r="V387">
        <v>3</v>
      </c>
    </row>
    <row r="397" spans="10:22" x14ac:dyDescent="0.25">
      <c r="J397" s="73"/>
      <c r="K397" s="73"/>
      <c r="L397" s="73"/>
      <c r="M397" s="73"/>
      <c r="N397" s="73"/>
      <c r="O397" s="73"/>
      <c r="P397" s="73"/>
    </row>
    <row r="398" spans="10:22" x14ac:dyDescent="0.25">
      <c r="J398" s="73"/>
      <c r="K398" s="73"/>
      <c r="L398" s="73"/>
      <c r="M398" s="73"/>
      <c r="N398" s="73"/>
      <c r="O398" s="73"/>
      <c r="P398" s="73"/>
    </row>
    <row r="413" spans="18:24" ht="15.75" thickBot="1" x14ac:dyDescent="0.3">
      <c r="R413" s="183" t="s">
        <v>206</v>
      </c>
      <c r="S413" s="184"/>
      <c r="T413" s="184"/>
      <c r="U413" s="184"/>
      <c r="V413" s="184"/>
      <c r="W413" s="184"/>
      <c r="X413" s="184"/>
    </row>
    <row r="414" spans="18:24" x14ac:dyDescent="0.25">
      <c r="R414" s="133" t="s">
        <v>158</v>
      </c>
      <c r="S414" s="76">
        <v>0</v>
      </c>
      <c r="T414" s="76"/>
      <c r="U414" s="106"/>
      <c r="V414" s="106"/>
      <c r="W414" s="106"/>
      <c r="X414" s="107">
        <v>100</v>
      </c>
    </row>
    <row r="415" spans="18:24" x14ac:dyDescent="0.25">
      <c r="R415" s="12" t="s">
        <v>159</v>
      </c>
      <c r="S415" s="72">
        <v>0</v>
      </c>
      <c r="U415" s="108">
        <v>60</v>
      </c>
      <c r="V415" s="99"/>
      <c r="W415" s="99"/>
      <c r="X415" s="109">
        <v>100</v>
      </c>
    </row>
    <row r="416" spans="18:24" ht="15.75" thickBot="1" x14ac:dyDescent="0.3">
      <c r="R416" s="80" t="s">
        <v>11</v>
      </c>
      <c r="S416" s="325">
        <v>0</v>
      </c>
      <c r="T416" s="325">
        <v>0.28999999999999998</v>
      </c>
      <c r="U416" s="94">
        <v>0.3</v>
      </c>
      <c r="V416" s="94">
        <v>0.69</v>
      </c>
      <c r="W416" s="326">
        <v>0.7</v>
      </c>
      <c r="X416" s="327">
        <v>1</v>
      </c>
    </row>
    <row r="418" spans="18:21" x14ac:dyDescent="0.25">
      <c r="S418" s="91" t="s">
        <v>128</v>
      </c>
      <c r="T418" s="91" t="str">
        <f>R415</f>
        <v>Confined Alluvial or Colluvial/V-Shaped Valleys</v>
      </c>
      <c r="U418" s="86"/>
    </row>
    <row r="419" spans="18:21" x14ac:dyDescent="0.25">
      <c r="R419" t="s">
        <v>141</v>
      </c>
      <c r="T419" t="s">
        <v>86</v>
      </c>
      <c r="U419" s="150" t="s">
        <v>209</v>
      </c>
    </row>
    <row r="420" spans="18:21" x14ac:dyDescent="0.25">
      <c r="R420" s="81" t="s">
        <v>84</v>
      </c>
      <c r="S420" s="72">
        <v>0.01</v>
      </c>
      <c r="T420" s="87">
        <v>5.0000000000000001E-3</v>
      </c>
      <c r="U420" s="72">
        <v>1.7500000000000002E-2</v>
      </c>
    </row>
    <row r="421" spans="18:21" x14ac:dyDescent="0.25">
      <c r="R421" s="81" t="s">
        <v>85</v>
      </c>
      <c r="S421" s="72">
        <v>0</v>
      </c>
      <c r="T421" s="87">
        <v>0</v>
      </c>
      <c r="U421" s="72">
        <v>-0.75</v>
      </c>
    </row>
    <row r="447" spans="18:24" ht="15.75" thickBot="1" x14ac:dyDescent="0.3">
      <c r="R447" s="183" t="s">
        <v>251</v>
      </c>
      <c r="S447" s="184"/>
      <c r="T447" s="184"/>
      <c r="U447" s="184"/>
      <c r="V447" s="184"/>
      <c r="W447" s="184"/>
      <c r="X447" s="184"/>
    </row>
    <row r="448" spans="18:24" x14ac:dyDescent="0.25">
      <c r="R448" s="166" t="s">
        <v>211</v>
      </c>
      <c r="S448" s="330">
        <v>0</v>
      </c>
      <c r="T448" s="341"/>
      <c r="U448" s="330">
        <v>0.06</v>
      </c>
      <c r="V448" s="341"/>
      <c r="W448" s="330">
        <v>0.83</v>
      </c>
      <c r="X448" s="342">
        <v>1.57</v>
      </c>
    </row>
    <row r="449" spans="18:24" x14ac:dyDescent="0.25">
      <c r="R449" s="167" t="s">
        <v>212</v>
      </c>
      <c r="S449" s="335">
        <v>0</v>
      </c>
      <c r="T449" s="343"/>
      <c r="U449" s="335">
        <v>0.94</v>
      </c>
      <c r="V449" s="343"/>
      <c r="W449" s="335">
        <v>1.21</v>
      </c>
      <c r="X449" s="344">
        <v>1.67</v>
      </c>
    </row>
    <row r="450" spans="18:24" ht="15.75" thickBot="1" x14ac:dyDescent="0.3">
      <c r="R450" s="80" t="s">
        <v>11</v>
      </c>
      <c r="S450" s="337">
        <v>0</v>
      </c>
      <c r="T450" s="337">
        <v>0.28999999999999998</v>
      </c>
      <c r="U450" s="338">
        <v>0.3</v>
      </c>
      <c r="V450" s="338">
        <v>0.69</v>
      </c>
      <c r="W450" s="339">
        <v>0.7</v>
      </c>
      <c r="X450" s="340">
        <v>1</v>
      </c>
    </row>
    <row r="452" spans="18:24" x14ac:dyDescent="0.25">
      <c r="S452" s="621" t="str">
        <f>R448</f>
        <v>Alaska &amp; Brooks Range</v>
      </c>
      <c r="T452" s="621"/>
      <c r="U452" s="621"/>
      <c r="V452" s="621" t="str">
        <f>R449</f>
        <v>Interior Highlands</v>
      </c>
      <c r="W452" s="621"/>
      <c r="X452" s="621"/>
    </row>
    <row r="453" spans="18:24" x14ac:dyDescent="0.25">
      <c r="S453" s="150" t="s">
        <v>86</v>
      </c>
      <c r="T453" s="150" t="s">
        <v>119</v>
      </c>
      <c r="U453" s="150" t="s">
        <v>62</v>
      </c>
      <c r="V453" s="150" t="s">
        <v>86</v>
      </c>
      <c r="W453" s="150" t="s">
        <v>119</v>
      </c>
      <c r="X453" s="150" t="s">
        <v>62</v>
      </c>
    </row>
    <row r="454" spans="18:24" x14ac:dyDescent="0.25">
      <c r="R454" t="s">
        <v>141</v>
      </c>
      <c r="V454"/>
    </row>
    <row r="455" spans="18:24" x14ac:dyDescent="0.25">
      <c r="R455" s="158" t="s">
        <v>84</v>
      </c>
      <c r="S455" s="72">
        <v>5</v>
      </c>
      <c r="T455" s="72">
        <v>0.51949999999999996</v>
      </c>
      <c r="U455" s="72">
        <v>0.40539999999999998</v>
      </c>
      <c r="V455" s="72">
        <v>0.31909999999999999</v>
      </c>
      <c r="W455" s="191">
        <v>1.4815</v>
      </c>
      <c r="X455" s="191">
        <v>0.6522</v>
      </c>
    </row>
    <row r="456" spans="18:24" x14ac:dyDescent="0.25">
      <c r="R456" s="158" t="s">
        <v>85</v>
      </c>
      <c r="S456" s="72">
        <v>0</v>
      </c>
      <c r="T456" s="72">
        <v>0.26879999999999998</v>
      </c>
      <c r="U456" s="72">
        <v>0.36349999999999999</v>
      </c>
      <c r="V456" s="72">
        <v>0</v>
      </c>
      <c r="W456" s="150">
        <v>-1.0926</v>
      </c>
      <c r="X456" s="150">
        <v>-8.9099999999999999E-2</v>
      </c>
    </row>
    <row r="457" spans="18:24" x14ac:dyDescent="0.25">
      <c r="R457" s="81"/>
    </row>
    <row r="482" spans="18:24" ht="15.75" thickBot="1" x14ac:dyDescent="0.3">
      <c r="R482" s="183" t="s">
        <v>251</v>
      </c>
      <c r="S482" s="184"/>
      <c r="T482" s="184"/>
      <c r="U482" s="184"/>
      <c r="V482" s="184"/>
      <c r="W482" s="184"/>
      <c r="X482" s="184"/>
    </row>
    <row r="483" spans="18:24" x14ac:dyDescent="0.25">
      <c r="R483" s="209" t="s">
        <v>213</v>
      </c>
      <c r="S483" s="331">
        <v>0</v>
      </c>
      <c r="T483" s="331"/>
      <c r="U483" s="331">
        <v>1.19</v>
      </c>
      <c r="V483" s="331"/>
      <c r="W483" s="331">
        <v>1.37</v>
      </c>
      <c r="X483" s="345">
        <v>1.82</v>
      </c>
    </row>
    <row r="484" spans="18:24" x14ac:dyDescent="0.25">
      <c r="R484" s="210" t="s">
        <v>214</v>
      </c>
      <c r="S484" s="346">
        <v>0</v>
      </c>
      <c r="T484" s="346"/>
      <c r="U484" s="346">
        <v>1.24</v>
      </c>
      <c r="V484" s="346"/>
      <c r="W484" s="346">
        <v>1.45</v>
      </c>
      <c r="X484" s="347">
        <v>1.87</v>
      </c>
    </row>
    <row r="485" spans="18:24" ht="15.75" thickBot="1" x14ac:dyDescent="0.3">
      <c r="R485" s="80" t="s">
        <v>11</v>
      </c>
      <c r="S485" s="325">
        <v>0</v>
      </c>
      <c r="T485" s="325">
        <v>0.28999999999999998</v>
      </c>
      <c r="U485" s="94">
        <v>0.3</v>
      </c>
      <c r="V485" s="94">
        <v>0.69</v>
      </c>
      <c r="W485" s="326">
        <v>0.7</v>
      </c>
      <c r="X485" s="327">
        <v>1</v>
      </c>
    </row>
    <row r="487" spans="18:24" x14ac:dyDescent="0.25">
      <c r="S487" s="621" t="str">
        <f>R483</f>
        <v>Interior Bottomlands</v>
      </c>
      <c r="T487" s="621"/>
      <c r="U487" s="621"/>
      <c r="V487" s="621" t="str">
        <f>R484</f>
        <v>Interior Forested Lowlands/Uplands</v>
      </c>
      <c r="W487" s="621"/>
      <c r="X487" s="621"/>
    </row>
    <row r="488" spans="18:24" x14ac:dyDescent="0.25">
      <c r="S488" s="150" t="s">
        <v>86</v>
      </c>
      <c r="T488" s="150" t="s">
        <v>119</v>
      </c>
      <c r="U488" s="150" t="s">
        <v>62</v>
      </c>
      <c r="V488" s="150" t="s">
        <v>86</v>
      </c>
      <c r="W488" s="150" t="s">
        <v>119</v>
      </c>
      <c r="X488" s="150" t="s">
        <v>62</v>
      </c>
    </row>
    <row r="489" spans="18:24" x14ac:dyDescent="0.25">
      <c r="R489" t="s">
        <v>141</v>
      </c>
      <c r="U489"/>
    </row>
    <row r="490" spans="18:24" x14ac:dyDescent="0.25">
      <c r="R490" s="22" t="s">
        <v>84</v>
      </c>
      <c r="S490" s="72">
        <v>0.25209999999999999</v>
      </c>
      <c r="T490" s="72">
        <v>2.2222</v>
      </c>
      <c r="U490" s="72">
        <v>0.66669999999999996</v>
      </c>
      <c r="V490" s="150">
        <v>0.2419</v>
      </c>
      <c r="W490" s="150">
        <v>1.9048</v>
      </c>
      <c r="X490" s="150">
        <v>0.71430000000000005</v>
      </c>
    </row>
    <row r="491" spans="18:24" x14ac:dyDescent="0.25">
      <c r="R491" s="22" t="s">
        <v>85</v>
      </c>
      <c r="S491" s="72">
        <v>0</v>
      </c>
      <c r="T491" s="72">
        <v>-2.3443999999999998</v>
      </c>
      <c r="U491">
        <v>-0.21329999999999999</v>
      </c>
      <c r="V491" s="72">
        <v>0</v>
      </c>
      <c r="W491" s="150">
        <v>-2.0619000000000001</v>
      </c>
      <c r="X491" s="150">
        <v>-0.3357</v>
      </c>
    </row>
    <row r="492" spans="18:24" x14ac:dyDescent="0.25">
      <c r="R492" s="81"/>
    </row>
    <row r="516" spans="18:24" ht="15.75" thickBot="1" x14ac:dyDescent="0.3">
      <c r="R516" s="183" t="s">
        <v>215</v>
      </c>
      <c r="S516" s="184"/>
      <c r="T516" s="184"/>
      <c r="U516" s="184"/>
      <c r="V516" s="184"/>
      <c r="W516" s="184"/>
      <c r="X516" s="184"/>
    </row>
    <row r="517" spans="18:24" x14ac:dyDescent="0.25">
      <c r="R517" s="134" t="s">
        <v>10</v>
      </c>
      <c r="S517" s="76"/>
      <c r="T517" s="76"/>
      <c r="U517" s="76"/>
      <c r="V517" s="76"/>
      <c r="W517" s="76">
        <v>95</v>
      </c>
      <c r="X517" s="77">
        <v>100</v>
      </c>
    </row>
    <row r="518" spans="18:24" ht="15.75" thickBot="1" x14ac:dyDescent="0.3">
      <c r="R518" s="80" t="s">
        <v>11</v>
      </c>
      <c r="S518" s="325">
        <v>0</v>
      </c>
      <c r="T518" s="325">
        <v>0.28999999999999998</v>
      </c>
      <c r="U518" s="94">
        <v>0.3</v>
      </c>
      <c r="V518" s="94">
        <v>0.69</v>
      </c>
      <c r="W518" s="326">
        <v>0.7</v>
      </c>
      <c r="X518" s="327">
        <v>1</v>
      </c>
    </row>
    <row r="520" spans="18:24" x14ac:dyDescent="0.25">
      <c r="R520" t="s">
        <v>141</v>
      </c>
      <c r="S520"/>
      <c r="T520"/>
      <c r="U520"/>
    </row>
    <row r="521" spans="18:24" x14ac:dyDescent="0.25">
      <c r="R521" s="22" t="s">
        <v>84</v>
      </c>
      <c r="S521" s="182">
        <v>0.06</v>
      </c>
      <c r="T521"/>
    </row>
    <row r="522" spans="18:24" x14ac:dyDescent="0.25">
      <c r="R522" s="22" t="s">
        <v>85</v>
      </c>
      <c r="S522" s="182">
        <v>-5</v>
      </c>
    </row>
    <row r="523" spans="18:24" x14ac:dyDescent="0.25">
      <c r="R523" s="81"/>
      <c r="U523"/>
    </row>
    <row r="656" spans="25:25" x14ac:dyDescent="0.25">
      <c r="Y656" s="73"/>
    </row>
    <row r="657" spans="25:25" x14ac:dyDescent="0.25">
      <c r="Y657" s="73"/>
    </row>
    <row r="662" spans="25:25" x14ac:dyDescent="0.25">
      <c r="Y662" s="73"/>
    </row>
    <row r="663" spans="25:25" x14ac:dyDescent="0.25">
      <c r="Y663" s="73"/>
    </row>
    <row r="668" spans="25:25" x14ac:dyDescent="0.25">
      <c r="Y668" s="73"/>
    </row>
    <row r="669" spans="25:25" x14ac:dyDescent="0.25">
      <c r="Y669" s="73"/>
    </row>
    <row r="696" ht="14.45" customHeight="1" x14ac:dyDescent="0.25"/>
    <row r="853" ht="18.600000000000001" customHeight="1" x14ac:dyDescent="0.25"/>
    <row r="854" ht="23.45" customHeight="1" x14ac:dyDescent="0.25"/>
    <row r="855" ht="20.45" customHeight="1" x14ac:dyDescent="0.25"/>
  </sheetData>
  <sheetProtection algorithmName="SHA-512" hashValue="XNVewQFh3S1NnwvfuW/oSyK2aQ5NK2NaLvtKQX1czfNY8PGzm+OzKTvV4LycwnVVPTXyJabQX5TvCaGtzl269A==" saltValue="M/UxpfCtpT0B499vdIIvYA==" spinCount="100000" sheet="1" formatColumns="0" formatRows="0"/>
  <mergeCells count="26">
    <mergeCell ref="S452:U452"/>
    <mergeCell ref="V452:X452"/>
    <mergeCell ref="Z5:AG6"/>
    <mergeCell ref="S48:U48"/>
    <mergeCell ref="AI5:AO6"/>
    <mergeCell ref="S13:T13"/>
    <mergeCell ref="U13:V13"/>
    <mergeCell ref="S147:T147"/>
    <mergeCell ref="AJ45:AK45"/>
    <mergeCell ref="AL45:AM45"/>
    <mergeCell ref="S487:U487"/>
    <mergeCell ref="V487:X487"/>
    <mergeCell ref="B5:H6"/>
    <mergeCell ref="R5:X6"/>
    <mergeCell ref="J5:P6"/>
    <mergeCell ref="R345:R346"/>
    <mergeCell ref="R379:R380"/>
    <mergeCell ref="R244:R245"/>
    <mergeCell ref="S315:T315"/>
    <mergeCell ref="U315:V315"/>
    <mergeCell ref="S349:T349"/>
    <mergeCell ref="U349:V349"/>
    <mergeCell ref="S383:T383"/>
    <mergeCell ref="U383:V383"/>
    <mergeCell ref="J145:J146"/>
    <mergeCell ref="R277:R278"/>
  </mergeCells>
  <printOptions gridLines="1"/>
  <pageMargins left="0.7" right="0.7" top="0.75" bottom="0.75" header="0.3" footer="0.3"/>
  <pageSetup scale="10" fitToWidth="0" orientation="landscape" r:id="rId1"/>
  <headerFooter>
    <oddFooter xml:space="preserve">&amp;LAKSQTint v1.0 - SQT Workbook
Reference Curves </oddFooter>
  </headerFooter>
  <rowBreaks count="5" manualBreakCount="5">
    <brk id="165" max="16383" man="1"/>
    <brk id="209" max="16383" man="1"/>
    <brk id="360" max="16383" man="1"/>
    <brk id="517" max="16383" man="1"/>
    <brk id="676" max="16383" man="1"/>
  </rowBreaks>
  <colBreaks count="1" manualBreakCount="1">
    <brk id="2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109"/>
  <sheetViews>
    <sheetView topLeftCell="A81" workbookViewId="0">
      <selection activeCell="B98" sqref="B98"/>
    </sheetView>
  </sheetViews>
  <sheetFormatPr defaultRowHeight="15" x14ac:dyDescent="0.25"/>
  <cols>
    <col min="1" max="1" width="8.85546875" style="1"/>
    <col min="2" max="2" width="15.5703125" customWidth="1"/>
  </cols>
  <sheetData>
    <row r="1" spans="1:2" x14ac:dyDescent="0.25">
      <c r="A1" s="1" t="s">
        <v>104</v>
      </c>
      <c r="B1" s="1"/>
    </row>
    <row r="2" spans="1:2" x14ac:dyDescent="0.25">
      <c r="B2" t="s">
        <v>15</v>
      </c>
    </row>
    <row r="3" spans="1:2" x14ac:dyDescent="0.25">
      <c r="B3" t="s">
        <v>110</v>
      </c>
    </row>
    <row r="4" spans="1:2" x14ac:dyDescent="0.25">
      <c r="B4" t="s">
        <v>8</v>
      </c>
    </row>
    <row r="5" spans="1:2" x14ac:dyDescent="0.25">
      <c r="B5" t="s">
        <v>9</v>
      </c>
    </row>
    <row r="6" spans="1:2" x14ac:dyDescent="0.25">
      <c r="B6" t="s">
        <v>6</v>
      </c>
    </row>
    <row r="7" spans="1:2" x14ac:dyDescent="0.25">
      <c r="B7" t="s">
        <v>111</v>
      </c>
    </row>
    <row r="8" spans="1:2" x14ac:dyDescent="0.25">
      <c r="B8" t="s">
        <v>181</v>
      </c>
    </row>
    <row r="9" spans="1:2" x14ac:dyDescent="0.25">
      <c r="B9" t="s">
        <v>7</v>
      </c>
    </row>
    <row r="10" spans="1:2" x14ac:dyDescent="0.25">
      <c r="B10" t="s">
        <v>62</v>
      </c>
    </row>
    <row r="11" spans="1:2" x14ac:dyDescent="0.25">
      <c r="B11" t="s">
        <v>63</v>
      </c>
    </row>
    <row r="12" spans="1:2" x14ac:dyDescent="0.25">
      <c r="B12" t="s">
        <v>66</v>
      </c>
    </row>
    <row r="14" spans="1:2" x14ac:dyDescent="0.25">
      <c r="A14" s="1" t="s">
        <v>105</v>
      </c>
      <c r="B14" s="1"/>
    </row>
    <row r="15" spans="1:2" x14ac:dyDescent="0.25">
      <c r="B15" t="s">
        <v>145</v>
      </c>
    </row>
    <row r="16" spans="1:2" x14ac:dyDescent="0.25">
      <c r="B16" t="s">
        <v>16</v>
      </c>
    </row>
    <row r="17" spans="1:2" x14ac:dyDescent="0.25">
      <c r="B17" t="s">
        <v>146</v>
      </c>
    </row>
    <row r="18" spans="1:2" x14ac:dyDescent="0.25">
      <c r="B18" t="s">
        <v>147</v>
      </c>
    </row>
    <row r="19" spans="1:2" x14ac:dyDescent="0.25">
      <c r="B19" t="s">
        <v>148</v>
      </c>
    </row>
    <row r="20" spans="1:2" x14ac:dyDescent="0.25">
      <c r="B20" t="s">
        <v>149</v>
      </c>
    </row>
    <row r="22" spans="1:2" x14ac:dyDescent="0.25">
      <c r="A22" s="1" t="s">
        <v>106</v>
      </c>
      <c r="B22" s="1"/>
    </row>
    <row r="23" spans="1:2" x14ac:dyDescent="0.25">
      <c r="B23" s="174" t="s">
        <v>171</v>
      </c>
    </row>
    <row r="24" spans="1:2" x14ac:dyDescent="0.25">
      <c r="B24" s="174" t="s">
        <v>172</v>
      </c>
    </row>
    <row r="25" spans="1:2" x14ac:dyDescent="0.25">
      <c r="B25" s="174" t="s">
        <v>173</v>
      </c>
    </row>
    <row r="26" spans="1:2" x14ac:dyDescent="0.25">
      <c r="B26" s="174" t="s">
        <v>174</v>
      </c>
    </row>
    <row r="27" spans="1:2" x14ac:dyDescent="0.25">
      <c r="B27" s="174" t="s">
        <v>175</v>
      </c>
    </row>
    <row r="28" spans="1:2" x14ac:dyDescent="0.25">
      <c r="B28" s="174" t="s">
        <v>176</v>
      </c>
    </row>
    <row r="29" spans="1:2" x14ac:dyDescent="0.25">
      <c r="B29" s="174" t="s">
        <v>19</v>
      </c>
    </row>
    <row r="30" spans="1:2" x14ac:dyDescent="0.25">
      <c r="B30" s="174" t="s">
        <v>20</v>
      </c>
    </row>
    <row r="31" spans="1:2" x14ac:dyDescent="0.25">
      <c r="B31" s="174" t="s">
        <v>21</v>
      </c>
    </row>
    <row r="32" spans="1:2" x14ac:dyDescent="0.25">
      <c r="B32" s="174" t="s">
        <v>22</v>
      </c>
    </row>
    <row r="33" spans="2:2" x14ac:dyDescent="0.25">
      <c r="B33" s="174" t="s">
        <v>23</v>
      </c>
    </row>
    <row r="34" spans="2:2" x14ac:dyDescent="0.25">
      <c r="B34" s="174" t="s">
        <v>28</v>
      </c>
    </row>
    <row r="35" spans="2:2" x14ac:dyDescent="0.25">
      <c r="B35" s="174" t="s">
        <v>24</v>
      </c>
    </row>
    <row r="36" spans="2:2" x14ac:dyDescent="0.25">
      <c r="B36" s="174" t="s">
        <v>25</v>
      </c>
    </row>
    <row r="37" spans="2:2" x14ac:dyDescent="0.25">
      <c r="B37" s="174" t="s">
        <v>26</v>
      </c>
    </row>
    <row r="38" spans="2:2" x14ac:dyDescent="0.25">
      <c r="B38" s="174" t="s">
        <v>27</v>
      </c>
    </row>
    <row r="39" spans="2:2" x14ac:dyDescent="0.25">
      <c r="B39" s="174" t="s">
        <v>68</v>
      </c>
    </row>
    <row r="40" spans="2:2" x14ac:dyDescent="0.25">
      <c r="B40" s="174" t="s">
        <v>67</v>
      </c>
    </row>
    <row r="41" spans="2:2" x14ac:dyDescent="0.25">
      <c r="B41" s="174" t="s">
        <v>69</v>
      </c>
    </row>
    <row r="42" spans="2:2" x14ac:dyDescent="0.25">
      <c r="B42" s="174" t="s">
        <v>29</v>
      </c>
    </row>
    <row r="43" spans="2:2" x14ac:dyDescent="0.25">
      <c r="B43" s="174" t="s">
        <v>30</v>
      </c>
    </row>
    <row r="44" spans="2:2" x14ac:dyDescent="0.25">
      <c r="B44" s="174" t="s">
        <v>31</v>
      </c>
    </row>
    <row r="45" spans="2:2" x14ac:dyDescent="0.25">
      <c r="B45" s="174" t="s">
        <v>70</v>
      </c>
    </row>
    <row r="46" spans="2:2" x14ac:dyDescent="0.25">
      <c r="B46" s="174" t="s">
        <v>34</v>
      </c>
    </row>
    <row r="47" spans="2:2" x14ac:dyDescent="0.25">
      <c r="B47" s="174" t="s">
        <v>32</v>
      </c>
    </row>
    <row r="48" spans="2:2" x14ac:dyDescent="0.25">
      <c r="B48" s="174" t="s">
        <v>71</v>
      </c>
    </row>
    <row r="49" spans="1:2" x14ac:dyDescent="0.25">
      <c r="B49" s="174" t="s">
        <v>72</v>
      </c>
    </row>
    <row r="50" spans="1:2" x14ac:dyDescent="0.25">
      <c r="B50" s="174" t="s">
        <v>73</v>
      </c>
    </row>
    <row r="51" spans="1:2" x14ac:dyDescent="0.25">
      <c r="B51" s="174" t="s">
        <v>38</v>
      </c>
    </row>
    <row r="52" spans="1:2" x14ac:dyDescent="0.25">
      <c r="B52" s="174" t="s">
        <v>74</v>
      </c>
    </row>
    <row r="53" spans="1:2" x14ac:dyDescent="0.25">
      <c r="B53" s="174" t="s">
        <v>33</v>
      </c>
    </row>
    <row r="54" spans="1:2" x14ac:dyDescent="0.25">
      <c r="B54" s="174" t="s">
        <v>75</v>
      </c>
    </row>
    <row r="55" spans="1:2" x14ac:dyDescent="0.25">
      <c r="B55" s="174" t="s">
        <v>35</v>
      </c>
    </row>
    <row r="56" spans="1:2" x14ac:dyDescent="0.25">
      <c r="B56" s="174" t="s">
        <v>36</v>
      </c>
    </row>
    <row r="57" spans="1:2" x14ac:dyDescent="0.25">
      <c r="B57" s="174" t="s">
        <v>37</v>
      </c>
    </row>
    <row r="58" spans="1:2" x14ac:dyDescent="0.25">
      <c r="B58" s="174" t="s">
        <v>39</v>
      </c>
    </row>
    <row r="59" spans="1:2" x14ac:dyDescent="0.25">
      <c r="B59" s="174"/>
    </row>
    <row r="61" spans="1:2" x14ac:dyDescent="0.25">
      <c r="A61" s="1" t="s">
        <v>107</v>
      </c>
    </row>
    <row r="62" spans="1:2" x14ac:dyDescent="0.25">
      <c r="B62" t="s">
        <v>154</v>
      </c>
    </row>
    <row r="63" spans="1:2" x14ac:dyDescent="0.25">
      <c r="B63" t="s">
        <v>153</v>
      </c>
    </row>
    <row r="66" spans="1:2" x14ac:dyDescent="0.25">
      <c r="A66" s="1" t="s">
        <v>55</v>
      </c>
    </row>
    <row r="67" spans="1:2" x14ac:dyDescent="0.25">
      <c r="B67" t="s">
        <v>310</v>
      </c>
    </row>
    <row r="68" spans="1:2" x14ac:dyDescent="0.25">
      <c r="B68" t="s">
        <v>311</v>
      </c>
    </row>
    <row r="69" spans="1:2" x14ac:dyDescent="0.25">
      <c r="B69" t="s">
        <v>269</v>
      </c>
    </row>
    <row r="70" spans="1:2" x14ac:dyDescent="0.25">
      <c r="B70" t="s">
        <v>54</v>
      </c>
    </row>
    <row r="72" spans="1:2" x14ac:dyDescent="0.25">
      <c r="A72" s="1" t="s">
        <v>108</v>
      </c>
    </row>
    <row r="73" spans="1:2" x14ac:dyDescent="0.25">
      <c r="B73" t="s">
        <v>89</v>
      </c>
    </row>
    <row r="74" spans="1:2" x14ac:dyDescent="0.25">
      <c r="B74" t="s">
        <v>90</v>
      </c>
    </row>
    <row r="75" spans="1:2" x14ac:dyDescent="0.25">
      <c r="B75" t="s">
        <v>91</v>
      </c>
    </row>
    <row r="77" spans="1:2" x14ac:dyDescent="0.25">
      <c r="A77" s="1" t="s">
        <v>120</v>
      </c>
    </row>
    <row r="78" spans="1:2" x14ac:dyDescent="0.25">
      <c r="B78" t="s">
        <v>128</v>
      </c>
    </row>
    <row r="79" spans="1:2" x14ac:dyDescent="0.25">
      <c r="B79" t="s">
        <v>129</v>
      </c>
    </row>
    <row r="80" spans="1:2" x14ac:dyDescent="0.25">
      <c r="B80" t="s">
        <v>130</v>
      </c>
    </row>
    <row r="82" spans="1:2" x14ac:dyDescent="0.25">
      <c r="A82" s="1" t="s">
        <v>241</v>
      </c>
    </row>
    <row r="83" spans="1:2" x14ac:dyDescent="0.25">
      <c r="B83" s="294">
        <v>1</v>
      </c>
    </row>
    <row r="84" spans="1:2" x14ac:dyDescent="0.25">
      <c r="B84" s="294">
        <v>2</v>
      </c>
    </row>
    <row r="85" spans="1:2" x14ac:dyDescent="0.25">
      <c r="B85" s="294">
        <v>3</v>
      </c>
    </row>
    <row r="86" spans="1:2" x14ac:dyDescent="0.25">
      <c r="B86" s="294" t="s">
        <v>240</v>
      </c>
    </row>
    <row r="88" spans="1:2" x14ac:dyDescent="0.25">
      <c r="A88" s="1" t="s">
        <v>236</v>
      </c>
    </row>
    <row r="89" spans="1:2" x14ac:dyDescent="0.25">
      <c r="B89" t="s">
        <v>242</v>
      </c>
    </row>
    <row r="90" spans="1:2" x14ac:dyDescent="0.25">
      <c r="B90" t="s">
        <v>243</v>
      </c>
    </row>
    <row r="91" spans="1:2" x14ac:dyDescent="0.25">
      <c r="B91" t="s">
        <v>244</v>
      </c>
    </row>
    <row r="93" spans="1:2" x14ac:dyDescent="0.25">
      <c r="A93" s="1" t="s">
        <v>245</v>
      </c>
    </row>
    <row r="94" spans="1:2" x14ac:dyDescent="0.25">
      <c r="B94" t="s">
        <v>217</v>
      </c>
    </row>
    <row r="95" spans="1:2" x14ac:dyDescent="0.25">
      <c r="B95" t="s">
        <v>218</v>
      </c>
    </row>
    <row r="96" spans="1:2" x14ac:dyDescent="0.25">
      <c r="B96" t="s">
        <v>213</v>
      </c>
    </row>
    <row r="97" spans="1:2" x14ac:dyDescent="0.25">
      <c r="B97" t="s">
        <v>334</v>
      </c>
    </row>
    <row r="98" spans="1:2" x14ac:dyDescent="0.25">
      <c r="B98" t="s">
        <v>214</v>
      </c>
    </row>
    <row r="99" spans="1:2" x14ac:dyDescent="0.25">
      <c r="B99" t="s">
        <v>212</v>
      </c>
    </row>
    <row r="101" spans="1:2" x14ac:dyDescent="0.25">
      <c r="A101" s="1" t="s">
        <v>264</v>
      </c>
    </row>
    <row r="102" spans="1:2" x14ac:dyDescent="0.25">
      <c r="B102" t="s">
        <v>265</v>
      </c>
    </row>
    <row r="103" spans="1:2" x14ac:dyDescent="0.25">
      <c r="B103" t="s">
        <v>266</v>
      </c>
    </row>
    <row r="105" spans="1:2" x14ac:dyDescent="0.25">
      <c r="A105" s="1" t="s">
        <v>320</v>
      </c>
    </row>
    <row r="106" spans="1:2" x14ac:dyDescent="0.25">
      <c r="B106" t="s">
        <v>312</v>
      </c>
    </row>
    <row r="107" spans="1:2" x14ac:dyDescent="0.25">
      <c r="B107" t="s">
        <v>313</v>
      </c>
    </row>
    <row r="108" spans="1:2" x14ac:dyDescent="0.25">
      <c r="B108" t="s">
        <v>314</v>
      </c>
    </row>
    <row r="109" spans="1:2" x14ac:dyDescent="0.25">
      <c r="B109" t="s">
        <v>315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Project Assessment</vt:lpstr>
      <vt:lpstr>Catchment Assessment</vt:lpstr>
      <vt:lpstr>Metric Selection Guide</vt:lpstr>
      <vt:lpstr>Quantification Tool</vt:lpstr>
      <vt:lpstr>Monitoring Data</vt:lpstr>
      <vt:lpstr>Data Summary</vt:lpstr>
      <vt:lpstr>Reference Curves</vt:lpstr>
      <vt:lpstr>Pull Down Notes</vt:lpstr>
      <vt:lpstr>BedMaterial</vt:lpstr>
      <vt:lpstr>BEHI.NBS</vt:lpstr>
      <vt:lpstr>CatchmentAssessment</vt:lpstr>
      <vt:lpstr>Level</vt:lpstr>
      <vt:lpstr>'Catchment Assessment'!Print_Area</vt:lpstr>
      <vt:lpstr>'Data Summary'!Print_Area</vt:lpstr>
      <vt:lpstr>'Metric Selection Guide'!Print_Area</vt:lpstr>
      <vt:lpstr>'Monitoring Data'!Print_Area</vt:lpstr>
      <vt:lpstr>'Project Assessment'!Print_Area</vt:lpstr>
      <vt:lpstr>'Quantification Tool'!Print_Area</vt:lpstr>
      <vt:lpstr>'Catchment Assessment'!Print_Titles</vt:lpstr>
      <vt:lpstr>'Metric Selection Guide'!Print_Titles</vt:lpstr>
      <vt:lpstr>ProgramGoals</vt:lpstr>
      <vt:lpstr>StreamType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cjones</cp:lastModifiedBy>
  <cp:lastPrinted>2021-06-07T19:14:56Z</cp:lastPrinted>
  <dcterms:created xsi:type="dcterms:W3CDTF">2014-08-22T20:36:47Z</dcterms:created>
  <dcterms:modified xsi:type="dcterms:W3CDTF">2021-06-07T19:16:36Z</dcterms:modified>
</cp:coreProperties>
</file>